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defaultThemeVersion="124226"/>
  <xr:revisionPtr revIDLastSave="0" documentId="13_ncr:1_{AE5C1F64-E616-4B1B-81CE-7926CFBC9C0E}" xr6:coauthVersionLast="47" xr6:coauthVersionMax="47" xr10:uidLastSave="{00000000-0000-0000-0000-000000000000}"/>
  <bookViews>
    <workbookView xWindow="-108" yWindow="-108" windowWidth="23256" windowHeight="12456" tabRatio="786" firstSheet="2" activeTab="5" xr2:uid="{00000000-000D-0000-FFFF-FFFF00000000}"/>
  </bookViews>
  <sheets>
    <sheet name="Analysis 20-21" sheetId="70" state="hidden" r:id="rId1"/>
    <sheet name="WIP" sheetId="71" state="hidden" r:id="rId2"/>
    <sheet name="IT" sheetId="22" r:id="rId3"/>
    <sheet name="Disallowance" sheetId="91" state="hidden" r:id="rId4"/>
    <sheet name="policies old" sheetId="24" state="hidden" r:id="rId5"/>
    <sheet name="Cash Flow" sheetId="25" r:id="rId6"/>
    <sheet name="Audit entries FY 22-23" sheetId="86" r:id="rId7"/>
    <sheet name="BS" sheetId="8" r:id="rId8"/>
    <sheet name="Corporate &amp; Acctg Policies" sheetId="73" r:id="rId9"/>
    <sheet name="Sheet5" sheetId="74" state="hidden" r:id="rId10"/>
    <sheet name="bS TALLY" sheetId="66" state="hidden" r:id="rId11"/>
    <sheet name="PL TALLY" sheetId="67" state="hidden" r:id="rId12"/>
    <sheet name="TDS" sheetId="50" state="hidden" r:id="rId13"/>
    <sheet name="consolidated tb 18-19" sheetId="47" state="hidden" r:id="rId14"/>
    <sheet name="Sheet3" sheetId="48" state="hidden" r:id="rId15"/>
    <sheet name="PL" sheetId="9" r:id="rId16"/>
    <sheet name="Dep_Co" sheetId="31" r:id="rId17"/>
    <sheet name="Dep_IT" sheetId="32" r:id="rId18"/>
    <sheet name="Additional Disclosures" sheetId="81" r:id="rId19"/>
    <sheet name="Ratio" sheetId="82" r:id="rId20"/>
    <sheet name="Notes" sheetId="5" r:id="rId21"/>
    <sheet name="Trial Balance FY 22-23" sheetId="83" r:id="rId22"/>
    <sheet name="FA Register Final" sheetId="89" r:id="rId23"/>
    <sheet name="Sheet8" sheetId="93" state="hidden" r:id="rId24"/>
    <sheet name="Sheet1 (2)" sheetId="92" state="hidden" r:id="rId25"/>
    <sheet name="Fixed Assets" sheetId="90" r:id="rId26"/>
    <sheet name="Dep - Calc" sheetId="79" state="hidden" r:id="rId27"/>
    <sheet name="Sheet9" sheetId="94" state="hidden" r:id="rId28"/>
    <sheet name="Sheet10" sheetId="95" r:id="rId29"/>
    <sheet name="FA Register 22-23" sheetId="87" state="hidden" r:id="rId30"/>
    <sheet name="FA Register" sheetId="78" state="hidden" r:id="rId31"/>
    <sheet name="Final TB for Finan" sheetId="77" state="hidden" r:id="rId32"/>
    <sheet name="Divisions" sheetId="85" state="hidden" r:id="rId33"/>
    <sheet name="Sundry Creditors FY 22-23" sheetId="84" state="hidden" r:id="rId34"/>
    <sheet name="Audit Entries 21-22" sheetId="75" state="hidden" r:id="rId35"/>
    <sheet name="TB, 2014-15" sheetId="30" state="hidden" r:id="rId36"/>
    <sheet name="TB 16-17" sheetId="38" state="hidden" r:id="rId37"/>
    <sheet name="dep workings2" sheetId="49" state="hidden" r:id="rId38"/>
    <sheet name="Sheet4" sheetId="51" state="hidden" r:id="rId39"/>
    <sheet name="DTA" sheetId="80" state="hidden" r:id="rId40"/>
    <sheet name="TB2021" sheetId="56" state="hidden" r:id="rId41"/>
    <sheet name="Sheet6" sheetId="53" state="hidden" r:id="rId42"/>
    <sheet name="TRADE RECEIVABLE 20-21" sheetId="68" state="hidden" r:id="rId43"/>
    <sheet name="Sundry Creditor" sheetId="72" state="hidden" r:id="rId44"/>
    <sheet name="TB2021(SEIL)" sheetId="59" state="hidden" r:id="rId45"/>
    <sheet name="closing Entries 20-21" sheetId="69" state="hidden" r:id="rId46"/>
    <sheet name="TB2020" sheetId="52" state="hidden" r:id="rId47"/>
    <sheet name="bava" sheetId="57" state="hidden" r:id="rId48"/>
    <sheet name="bava 1" sheetId="58" state="hidden" r:id="rId49"/>
    <sheet name="DEP WORKINGS" sheetId="44" r:id="rId50"/>
    <sheet name="Sheet1" sheetId="40" state="hidden" r:id="rId51"/>
    <sheet name="Sheet2" sheetId="46" state="hidden" r:id="rId52"/>
    <sheet name="CONSOLIDATED TB 2019-20" sheetId="45" state="hidden" r:id="rId53"/>
    <sheet name="Consolidated TB 19-20" sheetId="43" state="hidden" r:id="rId54"/>
    <sheet name="Entries passed" sheetId="39" state="hidden" r:id="rId55"/>
    <sheet name="Trial Balance" sheetId="34" state="hidden" r:id="rId56"/>
    <sheet name="Demerger" sheetId="37" state="hidden" r:id="rId57"/>
    <sheet name="Sundry Debtors" sheetId="35" state="hidden" r:id="rId58"/>
    <sheet name="CF" sheetId="36" state="hidden" r:id="rId59"/>
    <sheet name="HO TB 17-18" sheetId="41" state="hidden" r:id="rId60"/>
    <sheet name="Branch TB 17-18" sheetId="42" state="hidden" r:id="rId61"/>
    <sheet name="Sheet7" sheetId="54" state="hidden" r:id="rId62"/>
    <sheet name="TB" sheetId="55" state="hidden" r:id="rId63"/>
  </sheets>
  <externalReferences>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_________C" localSheetId="58">'[1]B S'!#REF!</definedName>
    <definedName name="_________C" localSheetId="22">'[1]B S'!#REF!</definedName>
    <definedName name="_________C" localSheetId="46">'[1]B S'!#REF!</definedName>
    <definedName name="_________C">'[1]B S'!#REF!</definedName>
    <definedName name="_________ESC1" localSheetId="58">#REF!</definedName>
    <definedName name="_________ESC1" localSheetId="29">#REF!</definedName>
    <definedName name="_________ESC1" localSheetId="46">#REF!</definedName>
    <definedName name="_________ESC1">#REF!</definedName>
    <definedName name="_________TB1">[2]LIST!$C$123:$P$132</definedName>
    <definedName name="________C" localSheetId="58">'[1]B S'!#REF!</definedName>
    <definedName name="________C" localSheetId="29">'[1]B S'!#REF!</definedName>
    <definedName name="________C" localSheetId="46">'[1]B S'!#REF!</definedName>
    <definedName name="________C">'[1]B S'!#REF!</definedName>
    <definedName name="________ESC1" localSheetId="58">#REF!</definedName>
    <definedName name="________ESC1" localSheetId="29">#REF!</definedName>
    <definedName name="________ESC1" localSheetId="46">#REF!</definedName>
    <definedName name="________ESC1">#REF!</definedName>
    <definedName name="________TB1">[2]LIST!$C$123:$P$132</definedName>
    <definedName name="_______C" localSheetId="58">'[1]B S'!#REF!</definedName>
    <definedName name="_______C" localSheetId="29">'[1]B S'!#REF!</definedName>
    <definedName name="_______C" localSheetId="46">'[1]B S'!#REF!</definedName>
    <definedName name="_______C">'[1]B S'!#REF!</definedName>
    <definedName name="_______ESC1" localSheetId="58">#REF!</definedName>
    <definedName name="_______ESC1" localSheetId="29">#REF!</definedName>
    <definedName name="_______ESC1" localSheetId="46">#REF!</definedName>
    <definedName name="_______ESC1">#REF!</definedName>
    <definedName name="_______TB1">[2]LIST!$C$123:$P$132</definedName>
    <definedName name="______C" localSheetId="58">'[1]B S'!#REF!</definedName>
    <definedName name="______C" localSheetId="29">'[1]B S'!#REF!</definedName>
    <definedName name="______C" localSheetId="46">'[1]B S'!#REF!</definedName>
    <definedName name="______C">'[1]B S'!#REF!</definedName>
    <definedName name="______ESC1" localSheetId="58">#REF!</definedName>
    <definedName name="______ESC1" localSheetId="29">#REF!</definedName>
    <definedName name="______ESC1" localSheetId="46">#REF!</definedName>
    <definedName name="______ESC1">#REF!</definedName>
    <definedName name="______TB1">[2]LIST!$C$123:$P$132</definedName>
    <definedName name="_____C" localSheetId="58">'[1]B S'!#REF!</definedName>
    <definedName name="_____C" localSheetId="29">'[1]B S'!#REF!</definedName>
    <definedName name="_____C" localSheetId="46">'[1]B S'!#REF!</definedName>
    <definedName name="_____C">'[1]B S'!#REF!</definedName>
    <definedName name="_____ESC1" localSheetId="58">#REF!</definedName>
    <definedName name="_____ESC1" localSheetId="29">#REF!</definedName>
    <definedName name="_____ESC1" localSheetId="46">#REF!</definedName>
    <definedName name="_____ESC1">#REF!</definedName>
    <definedName name="_____TB1">[2]LIST!$C$123:$P$132</definedName>
    <definedName name="____C" localSheetId="58">'[1]B S'!#REF!</definedName>
    <definedName name="____C" localSheetId="29">'[1]B S'!#REF!</definedName>
    <definedName name="____C" localSheetId="46">'[1]B S'!#REF!</definedName>
    <definedName name="____C">'[1]B S'!#REF!</definedName>
    <definedName name="____ESC1" localSheetId="58">#REF!</definedName>
    <definedName name="____ESC1" localSheetId="29">#REF!</definedName>
    <definedName name="____ESC1" localSheetId="46">#REF!</definedName>
    <definedName name="____ESC1">#REF!</definedName>
    <definedName name="____TB1">[2]LIST!$C$123:$P$132</definedName>
    <definedName name="___C" localSheetId="58">'[1]B S'!#REF!</definedName>
    <definedName name="___C" localSheetId="29">'[1]B S'!#REF!</definedName>
    <definedName name="___C" localSheetId="46">'[1]B S'!#REF!</definedName>
    <definedName name="___C">'[1]B S'!#REF!</definedName>
    <definedName name="___ESC1" localSheetId="58">#REF!</definedName>
    <definedName name="___ESC1" localSheetId="29">#REF!</definedName>
    <definedName name="___ESC1" localSheetId="46">#REF!</definedName>
    <definedName name="___ESC1">#REF!</definedName>
    <definedName name="___INDEX_SHEET___ASAP_Utilities" localSheetId="58">#REF!</definedName>
    <definedName name="___INDEX_SHEET___ASAP_Utilities" localSheetId="29">#REF!</definedName>
    <definedName name="___INDEX_SHEET___ASAP_Utilities" localSheetId="46">#REF!</definedName>
    <definedName name="___INDEX_SHEET___ASAP_Utilities">#REF!</definedName>
    <definedName name="___TB1">[2]LIST!$C$123:$P$132</definedName>
    <definedName name="__C" localSheetId="58">'[1]B S'!#REF!</definedName>
    <definedName name="__C" localSheetId="29">'[1]B S'!#REF!</definedName>
    <definedName name="__C" localSheetId="46">'[1]B S'!#REF!</definedName>
    <definedName name="__C">'[1]B S'!#REF!</definedName>
    <definedName name="__ESC1" localSheetId="58">#REF!</definedName>
    <definedName name="__ESC1" localSheetId="29">#REF!</definedName>
    <definedName name="__ESC1" localSheetId="46">#REF!</definedName>
    <definedName name="__ESC1">#REF!</definedName>
    <definedName name="__TB1">[2]LIST!$C$123:$P$132</definedName>
    <definedName name="_C" localSheetId="58">'[1]B S'!#REF!</definedName>
    <definedName name="_C" localSheetId="29">'[1]B S'!#REF!</definedName>
    <definedName name="_C" localSheetId="46">'[1]B S'!#REF!</definedName>
    <definedName name="_C">'[1]B S'!#REF!</definedName>
    <definedName name="_ESC1" localSheetId="58">#REF!</definedName>
    <definedName name="_ESC1" localSheetId="29">#REF!</definedName>
    <definedName name="_ESC1" localSheetId="46">#REF!</definedName>
    <definedName name="_ESC1">#REF!</definedName>
    <definedName name="_xlnm._FilterDatabase" localSheetId="6" hidden="1">'Audit entries FY 22-23'!$E$1:$E$126</definedName>
    <definedName name="_xlnm._FilterDatabase" localSheetId="53" hidden="1">'Consolidated TB 19-20'!$A$1:$F$1129</definedName>
    <definedName name="_xlnm._FilterDatabase" localSheetId="52" hidden="1">'CONSOLIDATED TB 2019-20'!$A$1:$F$935</definedName>
    <definedName name="_xlnm._FilterDatabase" localSheetId="32" hidden="1">Divisions!$A$13:$E$102</definedName>
    <definedName name="_xlnm._FilterDatabase" localSheetId="29" hidden="1">'FA Register 22-23'!$B$2:$O$149</definedName>
    <definedName name="_xlnm._FilterDatabase" localSheetId="22" hidden="1">'FA Register Final'!$B$2:$P$154</definedName>
    <definedName name="_xlnm._FilterDatabase" localSheetId="31" hidden="1">'Final TB for Finan'!$A$6:$I$902</definedName>
    <definedName name="_xlnm._FilterDatabase" localSheetId="25" hidden="1">'Fixed Assets'!$A$10:$U$131</definedName>
    <definedName name="_xlnm._FilterDatabase" localSheetId="20" hidden="1">Notes!$C$275:$K$303</definedName>
    <definedName name="_xlnm._FilterDatabase" localSheetId="4" hidden="1">'policies old'!$B$8:$C$320</definedName>
    <definedName name="_xlnm._FilterDatabase" localSheetId="33" hidden="1">'Sundry Creditors FY 22-23'!$A$13:$G$338</definedName>
    <definedName name="_xlnm._FilterDatabase" localSheetId="36" hidden="1">'TB 16-17'!$A$5:$H$663</definedName>
    <definedName name="_xlnm._FilterDatabase" localSheetId="46" hidden="1">'TB2020'!$A$13:$E$635</definedName>
    <definedName name="_xlnm._FilterDatabase" localSheetId="40" hidden="1">'TB2021'!$F$17:$G$696</definedName>
    <definedName name="_xlnm._FilterDatabase" localSheetId="44" hidden="1">'TB2021(SEIL)'!$B$5:$H$763</definedName>
    <definedName name="_xlnm._FilterDatabase" localSheetId="21" hidden="1">'Trial Balance FY 22-23'!$G$1:$G$391</definedName>
    <definedName name="_xlnm._FilterDatabase" localSheetId="1" hidden="1">WIP!$A$13:$D$45</definedName>
    <definedName name="_Key1" localSheetId="58" hidden="1">#REF!</definedName>
    <definedName name="_Key1" localSheetId="29" hidden="1">#REF!</definedName>
    <definedName name="_Key1" localSheetId="46" hidden="1">#REF!</definedName>
    <definedName name="_Key1" hidden="1">#REF!</definedName>
    <definedName name="_Key2" localSheetId="58" hidden="1">#REF!</definedName>
    <definedName name="_Key2" localSheetId="29" hidden="1">#REF!</definedName>
    <definedName name="_Key2" localSheetId="46" hidden="1">#REF!</definedName>
    <definedName name="_Key2" hidden="1">#REF!</definedName>
    <definedName name="_Order1" hidden="1">255</definedName>
    <definedName name="_Order2" hidden="1">255</definedName>
    <definedName name="_Sort" localSheetId="58" hidden="1">#REF!</definedName>
    <definedName name="_Sort" localSheetId="29" hidden="1">#REF!</definedName>
    <definedName name="_Sort" localSheetId="46" hidden="1">#REF!</definedName>
    <definedName name="_Sort" hidden="1">#REF!</definedName>
    <definedName name="_TB1">[2]LIST!$C$123:$P$132</definedName>
    <definedName name="_xlcn.WorksheetConnection_FARegisterFinalC2P1501" hidden="1">'FA Register Final'!$C$2:$P$150</definedName>
    <definedName name="a">[3]Sheet1!$D$50:$D$104</definedName>
    <definedName name="AA" localSheetId="58">#REF!</definedName>
    <definedName name="AA" localSheetId="29">#REF!</definedName>
    <definedName name="AA" localSheetId="46">#REF!</definedName>
    <definedName name="AA">#REF!</definedName>
    <definedName name="AAA" localSheetId="58">#REF!</definedName>
    <definedName name="AAA" localSheetId="29">#REF!</definedName>
    <definedName name="AAA" localSheetId="46">#REF!</definedName>
    <definedName name="AAA">#REF!</definedName>
    <definedName name="aaaa">[4]Article!$B$74:$P$154</definedName>
    <definedName name="ABNORMAL" localSheetId="58">[5]Keyratios!#REF!</definedName>
    <definedName name="ABNORMAL" localSheetId="29">[5]Keyratios!#REF!</definedName>
    <definedName name="ABNORMAL" localSheetId="46">[5]Keyratios!#REF!</definedName>
    <definedName name="ABNORMAL">[5]Keyratios!#REF!</definedName>
    <definedName name="AC_3rd" localSheetId="58">#REF!</definedName>
    <definedName name="AC_3rd" localSheetId="29">#REF!</definedName>
    <definedName name="AC_3rd" localSheetId="46">#REF!</definedName>
    <definedName name="AC_3rd">#REF!</definedName>
    <definedName name="AC_6th" localSheetId="58">#REF!</definedName>
    <definedName name="AC_6th" localSheetId="29">#REF!</definedName>
    <definedName name="AC_6th" localSheetId="46">#REF!</definedName>
    <definedName name="AC_6th">#REF!</definedName>
    <definedName name="AC_7th" localSheetId="58">#REF!</definedName>
    <definedName name="AC_7th" localSheetId="29">#REF!</definedName>
    <definedName name="AC_7th" localSheetId="46">#REF!</definedName>
    <definedName name="AC_7th">#REF!</definedName>
    <definedName name="Acct_Hrs" localSheetId="58">#REF!</definedName>
    <definedName name="Acct_Hrs" localSheetId="46">#REF!</definedName>
    <definedName name="Acct_Hrs">#REF!</definedName>
    <definedName name="Address" localSheetId="58">#REF!</definedName>
    <definedName name="Address" localSheetId="46">#REF!</definedName>
    <definedName name="Address">#REF!</definedName>
    <definedName name="AddSTD">[6]Stats!$P$17:$P$18,[6]Stats!$P$20:$P$21,[6]Stats!$P$23:$P$24,[6]Stats!$P$26:$P$27,[6]Stats!$T$29,[6]Stats!$P$34:$P$35,[6]Stats!$T$34,[6]Stats!$P$43:$P$44,[6]Stats!$T$43,[6]Stats!$P$52:$P$53,[6]Stats!$T$52</definedName>
    <definedName name="Advertising_Fee_India" localSheetId="58">#REF!</definedName>
    <definedName name="Advertising_Fee_India" localSheetId="29">#REF!</definedName>
    <definedName name="Advertising_Fee_India" localSheetId="46">#REF!</definedName>
    <definedName name="Advertising_Fee_India">#REF!</definedName>
    <definedName name="Air_Date1" localSheetId="58">#REF!</definedName>
    <definedName name="Air_Date1" localSheetId="29">#REF!</definedName>
    <definedName name="Air_Date1" localSheetId="46">#REF!</definedName>
    <definedName name="Air_Date1">#REF!</definedName>
    <definedName name="Air_Date2" localSheetId="58">#REF!</definedName>
    <definedName name="Air_Date2" localSheetId="29">#REF!</definedName>
    <definedName name="Air_Date2" localSheetId="46">#REF!</definedName>
    <definedName name="Air_Date2">#REF!</definedName>
    <definedName name="Air_Date3" localSheetId="58">#REF!</definedName>
    <definedName name="Air_Date3" localSheetId="46">#REF!</definedName>
    <definedName name="Air_Date3">#REF!</definedName>
    <definedName name="Air_Trip1" localSheetId="58">#REF!</definedName>
    <definedName name="Air_Trip1" localSheetId="46">#REF!</definedName>
    <definedName name="Air_Trip1">#REF!</definedName>
    <definedName name="Air_Trip2" localSheetId="58">#REF!</definedName>
    <definedName name="Air_Trip2" localSheetId="46">#REF!</definedName>
    <definedName name="Air_Trip2">#REF!</definedName>
    <definedName name="Air_Trip3" localSheetId="58">#REF!</definedName>
    <definedName name="Air_Trip3" localSheetId="46">#REF!</definedName>
    <definedName name="Air_Trip3">#REF!</definedName>
    <definedName name="Airfare_Ex_Prog_pp" localSheetId="58">#REF!</definedName>
    <definedName name="Airfare_Ex_Prog_pp" localSheetId="46">#REF!</definedName>
    <definedName name="Airfare_Ex_Prog_pp">#REF!</definedName>
    <definedName name="amit" localSheetId="58">[7]MISBS!#REF!</definedName>
    <definedName name="amit" localSheetId="29">[7]MISBS!#REF!</definedName>
    <definedName name="amit" localSheetId="46">[7]MISBS!#REF!</definedName>
    <definedName name="amit">[7]MISBS!#REF!</definedName>
    <definedName name="amitt">'[7]BOD PL NEW'!$D$11</definedName>
    <definedName name="AMT" localSheetId="58">#REF!</definedName>
    <definedName name="AMT" localSheetId="29">#REF!</definedName>
    <definedName name="AMT" localSheetId="46">#REF!</definedName>
    <definedName name="AMT">#REF!</definedName>
    <definedName name="an">[8]Article!$B$58:$P$58</definedName>
    <definedName name="anu">[8]CUMAA!$D$11:$D$47</definedName>
    <definedName name="anuja">[8]CUMAA!$D$301:$D$305</definedName>
    <definedName name="anujaaaaa">[8]Article!$B$155:$P$155</definedName>
    <definedName name="Apr">'[9]BUD-D.XLS'!$AF$2:$AO$49</definedName>
    <definedName name="Argus" localSheetId="58">#REF!</definedName>
    <definedName name="Argus" localSheetId="29">#REF!</definedName>
    <definedName name="Argus" localSheetId="46">#REF!</definedName>
    <definedName name="Argus">#REF!</definedName>
    <definedName name="AS2DocOpenMode" hidden="1">"AS2DocumentEdit"</definedName>
    <definedName name="asset_ins_list" localSheetId="58">#REF!</definedName>
    <definedName name="asset_ins_list" localSheetId="29">#REF!</definedName>
    <definedName name="asset_ins_list" localSheetId="46">#REF!</definedName>
    <definedName name="asset_ins_list">#REF!</definedName>
    <definedName name="asset_prem_pmt" localSheetId="58">#REF!</definedName>
    <definedName name="asset_prem_pmt" localSheetId="29">#REF!</definedName>
    <definedName name="asset_prem_pmt" localSheetId="46">#REF!</definedName>
    <definedName name="asset_prem_pmt">#REF!</definedName>
    <definedName name="att" localSheetId="58">#REF!</definedName>
    <definedName name="att" localSheetId="29">#REF!</definedName>
    <definedName name="att" localSheetId="46">#REF!</definedName>
    <definedName name="att">#REF!</definedName>
    <definedName name="Attrition_Factor" localSheetId="58">#REF!</definedName>
    <definedName name="Attrition_Factor" localSheetId="46">#REF!</definedName>
    <definedName name="Attrition_Factor">#REF!</definedName>
    <definedName name="Attrition_Rate" localSheetId="58">#REF!</definedName>
    <definedName name="Attrition_Rate" localSheetId="46">#REF!</definedName>
    <definedName name="Attrition_Rate">#REF!</definedName>
    <definedName name="Aug">'[9]BUD-D.XLS'!$BT$2:$CC$49</definedName>
    <definedName name="aust">[10]Article!$B$145:$P$161</definedName>
    <definedName name="austo">[10]CUMAA!$D$251:$D$275</definedName>
    <definedName name="Av_TeamSize" localSheetId="58">#REF!</definedName>
    <definedName name="Av_TeamSize" localSheetId="29">#REF!</definedName>
    <definedName name="Av_TeamSize" localSheetId="46">#REF!</definedName>
    <definedName name="Av_TeamSize">#REF!</definedName>
    <definedName name="b">[11]CUMAA!$D$195:$D$257</definedName>
    <definedName name="BacklogErase">[6]BLProf!$P$11:$P$14,[6]BLProf!$S$11:$S$14,[6]BLProf!$V$11:$V$14,[6]BLProf!$Y$11:$Y$14,[6]BLProf!$AB$11:$AB$14,[6]BLProf!$AE$11:$AE$14,[6]BLProf!$P$37:$P$40,[6]BLProf!$S$37:$S$40,[6]BLProf!$V$37:$V$40,[6]BLProf!$Y$37:$Y$39,[6]BLProf!$Y$40,[6]BLProf!$AB$37:$AB$40,[6]BLProf!$AE$37:$AE$40</definedName>
    <definedName name="Baha" localSheetId="58">#REF!</definedName>
    <definedName name="Baha" localSheetId="29">#REF!</definedName>
    <definedName name="Baha" localSheetId="46">#REF!</definedName>
    <definedName name="Baha">#REF!</definedName>
    <definedName name="BAL" localSheetId="58">'[5]Cntrl Sheet'!#REF!</definedName>
    <definedName name="BAL" localSheetId="29">'[5]Cntrl Sheet'!#REF!</definedName>
    <definedName name="BAL" localSheetId="46">'[5]Cntrl Sheet'!#REF!</definedName>
    <definedName name="BAL">'[5]Cntrl Sheet'!#REF!</definedName>
    <definedName name="Balance_Sheet" localSheetId="58">#REF!</definedName>
    <definedName name="Balance_Sheet" localSheetId="29">#REF!</definedName>
    <definedName name="Balance_Sheet" localSheetId="46">#REF!</definedName>
    <definedName name="Balance_Sheet">#REF!</definedName>
    <definedName name="BALANCESHEET" localSheetId="58">#REF!</definedName>
    <definedName name="BALANCESHEET" localSheetId="29">#REF!</definedName>
    <definedName name="BALANCESHEET" localSheetId="46">#REF!</definedName>
    <definedName name="BALANCESHEET">#REF!</definedName>
    <definedName name="bang" localSheetId="58">#REF!</definedName>
    <definedName name="bang" localSheetId="29">#REF!</definedName>
    <definedName name="bang" localSheetId="46">#REF!</definedName>
    <definedName name="bang">#REF!</definedName>
    <definedName name="Benefits_India">[12]Assumptions!$K$9</definedName>
    <definedName name="Benefits_US">[12]Assumptions!$K$30</definedName>
    <definedName name="Bericht" localSheetId="58">#REF!</definedName>
    <definedName name="Bericht" localSheetId="29">#REF!</definedName>
    <definedName name="Bericht" localSheetId="46">#REF!</definedName>
    <definedName name="Bericht">#REF!</definedName>
    <definedName name="Bhagavathy_M" localSheetId="58">#REF!</definedName>
    <definedName name="Bhagavathy_M" localSheetId="29">#REF!</definedName>
    <definedName name="Bhagavathy_M" localSheetId="46">#REF!</definedName>
    <definedName name="Bhagavathy_M">#REF!</definedName>
    <definedName name="BLBudgetMove">[6]BLProf!$O$11:$O$14,[6]BLProf!$R$11:$R$14,[6]BLProf!$U$11:$U$14,[6]BLProf!$X$11:$X$14,[6]BLProf!$AA$11:$AA$14,[6]BLProf!$AD$11:$AD$14,[6]BLProf!$O$37:$O$40,[6]BLProf!$R$37:$R$40,[6]BLProf!$U$37:$U$40,[6]BLProf!$X$37:$X$40,[6]BLProf!$AA$37:$AA$40,[6]BLProf!$AD$37:$AD$40</definedName>
    <definedName name="BLFirstColumns">[6]BLProf!$I$11:$J$14,[6]BLProf!$I$37:$J$40</definedName>
    <definedName name="BLNotDecBudget">[6]BLProf!$AA$11:$AA$14,[6]BLProf!$AA$37:$AA$40</definedName>
    <definedName name="BLPriorSeason">[6]BLProf!$G$11:$G$14,[6]BLProf!$G$37:$G$40</definedName>
    <definedName name="BLProtectDown">[6]BLProf!$A$48,[6]BLProf!$B$38:$C$40,[6]BLProf!$E$37:$E$40,[6]BLProf!$G$37:$G$40,[6]BLProf!$I$37:$J$40,[6]BLProf!$L$37:$M$40,[6]BLProf!$O$37:$P$40,[6]BLProf!$R$37:$S$40,[6]BLProf!$U$37:$V$40,[6]BLProf!$X$37:$Y$40,[6]BLProf!$AA$37:$AB$40,[6]BLProf!$AD$37:$AE$40,[6]BLProf!$AJ$37:$AK$40,[6]BLProf!$AP$37:$AQ$40</definedName>
    <definedName name="BLProtectUp">[6]BLProf!$B$12:$C$14,[6]BLProf!$E$11:$E$14,[6]BLProf!$G$11:$G$14,[6]BLProf!$I$11:$J$14,[6]BLProf!$L$11:$M$14,[6]BLProf!$O$11:$P$14,[6]BLProf!$R$11:$S$14,[6]BLProf!$U$11:$V$14,[6]BLProf!$X$11:$Y$14,[6]BLProf!$AA$11:$AB$14,[6]BLProf!$AD$11:$AE$14,[6]BLProf!$AJ$11:$AK$14,[6]BLProf!$AP$11:$AQ$14</definedName>
    <definedName name="BLSTDBudget">[6]BLProf!$AJ$11:$AJ$14,[6]BLProf!$AP$11:$AP$14,[6]BLProf!$AJ$37:$AJ$40,[6]BLProf!$AP$37:$AP$40</definedName>
    <definedName name="BOD" localSheetId="58">#REF!</definedName>
    <definedName name="BOD" localSheetId="29">#REF!</definedName>
    <definedName name="BOD" localSheetId="46">#REF!</definedName>
    <definedName name="BOD">#REF!</definedName>
    <definedName name="Bonus_India">[12]Assumptions!$K$17</definedName>
    <definedName name="BRS">[13]BS!$A$1:$B$578</definedName>
    <definedName name="BSDescrip">[6]BS!$K$13:$K$16,[6]BS!$K$19,[6]BS!$K$21,[6]BS!$K$23,[6]BS!$K$30:$K$33,[6]BS!$K$36,[6]BS!$K$38,[6]BS!$K$41:$K$45,[6]BS!$F$52:$O$55</definedName>
    <definedName name="BSProtect">[6]BS!$H$13:$H$16,[6]BS!$J$13:$J$16,[6]BS!$N$13:$N$16,[6]BS!$H$19,[6]BS!$J$19,[6]BS!$N$19,[6]BS!$H$21,[6]BS!$J$21,[6]BS!$N$21,[6]BS!$H$23,[6]BS!$J$23,[6]BS!$N$23,[6]BS!$H$30:$H$33,[6]BS!$J$30:$J$33,[6]BS!$N$30:$N$33,[6]BS!$H$36,[6]BS!$J$36,[6]BS!$N$36,[6]BS!$H$38,[6]BS!$J$38,[6]BS!$N$38,[6]BS!$H$41:$H$45,[6]BS!$J$41:$J$45,[6]BS!$N$41:$N$45</definedName>
    <definedName name="Budget" localSheetId="58">#REF!</definedName>
    <definedName name="Budget" localSheetId="29">#REF!</definedName>
    <definedName name="Budget" localSheetId="46">#REF!</definedName>
    <definedName name="Budget">#REF!</definedName>
    <definedName name="BudgetSeason" localSheetId="58">#REF!</definedName>
    <definedName name="BudgetSeason" localSheetId="29">#REF!</definedName>
    <definedName name="BudgetSeason" localSheetId="46">#REF!</definedName>
    <definedName name="BudgetSeason">#REF!</definedName>
    <definedName name="BUDREC" localSheetId="58">#REF!</definedName>
    <definedName name="BUDREC" localSheetId="29">#REF!</definedName>
    <definedName name="BUDREC" localSheetId="46">#REF!</definedName>
    <definedName name="BUDREC">#REF!</definedName>
    <definedName name="BUPA" localSheetId="58">#REF!</definedName>
    <definedName name="BUPA" localSheetId="46">#REF!</definedName>
    <definedName name="BUPA">#REF!</definedName>
    <definedName name="ca">[2]Article!$B$10:$P$24</definedName>
    <definedName name="cac" localSheetId="58">#REF!</definedName>
    <definedName name="cac" localSheetId="29">#REF!</definedName>
    <definedName name="cac" localSheetId="46">#REF!</definedName>
    <definedName name="cac">#REF!</definedName>
    <definedName name="CAN" localSheetId="58">#REF!</definedName>
    <definedName name="CAN" localSheetId="29">#REF!</definedName>
    <definedName name="CAN" localSheetId="46">#REF!</definedName>
    <definedName name="CAN">#REF!</definedName>
    <definedName name="CAP" localSheetId="58">#REF!</definedName>
    <definedName name="CAP" localSheetId="29">#REF!</definedName>
    <definedName name="CAP" localSheetId="46">#REF!</definedName>
    <definedName name="CAP">#REF!</definedName>
    <definedName name="Carfare" localSheetId="58">#REF!</definedName>
    <definedName name="Carfare" localSheetId="46">#REF!</definedName>
    <definedName name="Carfare">#REF!</definedName>
    <definedName name="CAS" localSheetId="58">[5]NFF!#REF!</definedName>
    <definedName name="CAS" localSheetId="29">[5]NFF!#REF!</definedName>
    <definedName name="CAS" localSheetId="46">[5]NFF!#REF!</definedName>
    <definedName name="CAS">[5]NFF!#REF!</definedName>
    <definedName name="Cashflow" localSheetId="58">#REF!</definedName>
    <definedName name="Cashflow" localSheetId="29">#REF!</definedName>
    <definedName name="Cashflow" localSheetId="46">#REF!</definedName>
    <definedName name="Cashflow">#REF!</definedName>
    <definedName name="Cellphone_India" localSheetId="58">#REF!</definedName>
    <definedName name="Cellphone_India" localSheetId="29">#REF!</definedName>
    <definedName name="Cellphone_India" localSheetId="46">#REF!</definedName>
    <definedName name="Cellphone_India">#REF!</definedName>
    <definedName name="Cellphone_US" localSheetId="58">#REF!</definedName>
    <definedName name="Cellphone_US" localSheetId="29">#REF!</definedName>
    <definedName name="Cellphone_US" localSheetId="46">#REF!</definedName>
    <definedName name="Cellphone_US">#REF!</definedName>
    <definedName name="Cellphones" localSheetId="58">#REF!</definedName>
    <definedName name="Cellphones" localSheetId="46">#REF!</definedName>
    <definedName name="Cellphones">#REF!</definedName>
    <definedName name="ChallanDatabase">[14]Challan!$A$7:$S$51</definedName>
    <definedName name="ChallanSrnoList">[14]Challan!$A$7:$A$50</definedName>
    <definedName name="City" localSheetId="58">#REF!</definedName>
    <definedName name="City" localSheetId="29">#REF!</definedName>
    <definedName name="City" localSheetId="46">#REF!</definedName>
    <definedName name="City">#REF!</definedName>
    <definedName name="cj" localSheetId="58">#REF!</definedName>
    <definedName name="cj" localSheetId="29">#REF!</definedName>
    <definedName name="cj" localSheetId="46">#REF!</definedName>
    <definedName name="cj">#REF!</definedName>
    <definedName name="Code" localSheetId="58" hidden="1">#REF!</definedName>
    <definedName name="Code" localSheetId="29" hidden="1">#REF!</definedName>
    <definedName name="Code" localSheetId="46" hidden="1">#REF!</definedName>
    <definedName name="Code" hidden="1">#REF!</definedName>
    <definedName name="CommPrint" localSheetId="58">#REF!</definedName>
    <definedName name="CommPrint" localSheetId="46">#REF!</definedName>
    <definedName name="CommPrint">#REF!</definedName>
    <definedName name="Company" localSheetId="58">#REF!</definedName>
    <definedName name="Company" localSheetId="46">#REF!</definedName>
    <definedName name="Company">#REF!</definedName>
    <definedName name="Corp._House_Food" localSheetId="58">#REF!</definedName>
    <definedName name="Corp._House_Food" localSheetId="46">#REF!</definedName>
    <definedName name="Corp._House_Food">#REF!</definedName>
    <definedName name="Corp._House_Rent" localSheetId="58">#REF!</definedName>
    <definedName name="Corp._House_Rent" localSheetId="46">#REF!</definedName>
    <definedName name="Corp._House_Rent">#REF!</definedName>
    <definedName name="Corp._House_Services" localSheetId="58">#REF!</definedName>
    <definedName name="Corp._House_Services" localSheetId="46">#REF!</definedName>
    <definedName name="Corp._House_Services">#REF!</definedName>
    <definedName name="Corp._House_Utilities" localSheetId="58">#REF!</definedName>
    <definedName name="Corp._House_Utilities" localSheetId="46">#REF!</definedName>
    <definedName name="Corp._House_Utilities">#REF!</definedName>
    <definedName name="Corp._Houses_Number1" localSheetId="58">#REF!</definedName>
    <definedName name="Corp._Houses_Number1" localSheetId="46">#REF!</definedName>
    <definedName name="Corp._Houses_Number1">#REF!</definedName>
    <definedName name="Corp._Houses_Number2" localSheetId="58">#REF!</definedName>
    <definedName name="Corp._Houses_Number2" localSheetId="46">#REF!</definedName>
    <definedName name="Corp._Houses_Number2">#REF!</definedName>
    <definedName name="Corp._Houses_Number3" localSheetId="58">#REF!</definedName>
    <definedName name="Corp._Houses_Number3" localSheetId="46">#REF!</definedName>
    <definedName name="Corp._Houses_Number3">#REF!</definedName>
    <definedName name="Corp._Houses_Period1" localSheetId="58">#REF!</definedName>
    <definedName name="Corp._Houses_Period1" localSheetId="46">#REF!</definedName>
    <definedName name="Corp._Houses_Period1">#REF!</definedName>
    <definedName name="Corp._Houses_Period2" localSheetId="58">#REF!</definedName>
    <definedName name="Corp._Houses_Period2" localSheetId="46">#REF!</definedName>
    <definedName name="Corp._Houses_Period2">#REF!</definedName>
    <definedName name="Corp._Houses_Period3" localSheetId="58">#REF!</definedName>
    <definedName name="Corp._Houses_Period3" localSheetId="46">#REF!</definedName>
    <definedName name="Corp._Houses_Period3">#REF!</definedName>
    <definedName name="CorpFood" localSheetId="58">#REF!</definedName>
    <definedName name="CorpFood" localSheetId="46">#REF!</definedName>
    <definedName name="CorpFood">#REF!</definedName>
    <definedName name="Corporate_Start_Date" localSheetId="58">#REF!</definedName>
    <definedName name="Corporate_Start_Date" localSheetId="46">#REF!</definedName>
    <definedName name="Corporate_Start_Date">#REF!</definedName>
    <definedName name="CorpRent" localSheetId="58">#REF!</definedName>
    <definedName name="CorpRent" localSheetId="46">#REF!</definedName>
    <definedName name="CorpRent">#REF!</definedName>
    <definedName name="CorpServ" localSheetId="58">#REF!</definedName>
    <definedName name="CorpServ" localSheetId="46">#REF!</definedName>
    <definedName name="CorpServ">#REF!</definedName>
    <definedName name="CorpUtil" localSheetId="58">#REF!</definedName>
    <definedName name="CorpUtil" localSheetId="46">#REF!</definedName>
    <definedName name="CorpUtil">#REF!</definedName>
    <definedName name="Country" localSheetId="58">#REF!</definedName>
    <definedName name="Country" localSheetId="46">#REF!</definedName>
    <definedName name="Country">#REF!</definedName>
    <definedName name="_xlnm.Criteria" localSheetId="58">'[15]Rate-Jan'!#REF!</definedName>
    <definedName name="_xlnm.Criteria" localSheetId="29">'[15]Rate-Jan'!#REF!</definedName>
    <definedName name="_xlnm.Criteria" localSheetId="46">'[15]Rate-Jan'!#REF!</definedName>
    <definedName name="_xlnm.Criteria">'[15]Rate-Jan'!#REF!</definedName>
    <definedName name="CSBU" localSheetId="58">[5]Facility!#REF!</definedName>
    <definedName name="CSBU" localSheetId="29">[5]Facility!#REF!</definedName>
    <definedName name="CSBU" localSheetId="46">[5]Facility!#REF!</definedName>
    <definedName name="CSBU">[5]Facility!#REF!</definedName>
    <definedName name="cumcac">[2]CUMAA!$D$10:$D$43</definedName>
    <definedName name="cumot">[2]CUMAA!$D$168:$D$366</definedName>
    <definedName name="cumtil">[2]CUMAA!$D$382:$D$569</definedName>
    <definedName name="cumtio">[2]CUMAA!$D$110:$BZ$157</definedName>
    <definedName name="Cumulative">'[9]BUD-D.XLS'!$DR$2:$EA$49</definedName>
    <definedName name="cumvsc">[2]CUMAA!$D$46:$D$89</definedName>
    <definedName name="cumvsk">[2]CUMAA!$D$93:$D$98</definedName>
    <definedName name="CurrentMonthTxt">'[16]Date Setup'!$J$8</definedName>
    <definedName name="CurrentYear">'[16]Date Setup'!$J$10</definedName>
    <definedName name="CurrSTDStore">'[6]IS STD'!$I$10,'[6]IS STD'!$I$14,'[6]IS STD'!$I$23,'[6]IS STD'!$I$25,'[6]IS STD'!$I$34:$I$36,'[6]IS STD'!$I$43,'[6]IS STD'!$K$45</definedName>
    <definedName name="D" localSheetId="58">#REF!</definedName>
    <definedName name="D" localSheetId="29">#REF!</definedName>
    <definedName name="D" localSheetId="46">#REF!</definedName>
    <definedName name="D">#REF!</definedName>
    <definedName name="DAT" localSheetId="58">#REF!</definedName>
    <definedName name="DAT" localSheetId="29">#REF!</definedName>
    <definedName name="DAT" localSheetId="46">#REF!</definedName>
    <definedName name="DAT">#REF!</definedName>
    <definedName name="data">[17]Sheet1!$A$2:$C$300</definedName>
    <definedName name="data1" localSheetId="58" hidden="1">#REF!</definedName>
    <definedName name="data1" localSheetId="29" hidden="1">#REF!</definedName>
    <definedName name="data1" localSheetId="46" hidden="1">#REF!</definedName>
    <definedName name="data1" hidden="1">#REF!</definedName>
    <definedName name="data2" localSheetId="58" hidden="1">#REF!</definedName>
    <definedName name="data2" localSheetId="29" hidden="1">#REF!</definedName>
    <definedName name="data2" localSheetId="46" hidden="1">#REF!</definedName>
    <definedName name="data2" hidden="1">#REF!</definedName>
    <definedName name="data3" localSheetId="58" hidden="1">#REF!</definedName>
    <definedName name="data3" localSheetId="29" hidden="1">#REF!</definedName>
    <definedName name="data3" localSheetId="46" hidden="1">#REF!</definedName>
    <definedName name="data3" hidden="1">#REF!</definedName>
    <definedName name="_xlnm.Database" localSheetId="58">#REF!</definedName>
    <definedName name="_xlnm.Database" localSheetId="46">#REF!</definedName>
    <definedName name="_xlnm.Database">#REF!</definedName>
    <definedName name="Database_Start_Date" localSheetId="58">#REF!</definedName>
    <definedName name="Database_Start_Date" localSheetId="46">#REF!</definedName>
    <definedName name="Database_Start_Date">#REF!</definedName>
    <definedName name="dbase" localSheetId="58">#REF!</definedName>
    <definedName name="dbase" localSheetId="46">#REF!</definedName>
    <definedName name="dbase">#REF!</definedName>
    <definedName name="dd">'[9]BUD-D.XLS'!$BJ$2:$BS$49</definedName>
    <definedName name="dddd">'[9]BUD-D.XLS'!$AZ$2:$BI$49</definedName>
    <definedName name="ddddddd">'[9]BUD-D.XLS'!$V$2:$AE$49</definedName>
    <definedName name="DEB" localSheetId="58">[5]deb!#REF!</definedName>
    <definedName name="DEB" localSheetId="29">[5]deb!#REF!</definedName>
    <definedName name="DEB" localSheetId="46">[5]deb!#REF!</definedName>
    <definedName name="DEB">[5]deb!#REF!</definedName>
    <definedName name="Dec">'[9]BUD-D.XLS'!$DH$2:$DQ$49</definedName>
    <definedName name="DeleteFromBS">[6]BS!$H$13:$H$16,[6]BS!$J$13:$J$16,[6]BS!$H$19,[6]BS!$J$19,[6]BS!$H$21,[6]BS!$J$21,[6]BS!$H$23,[6]BS!$J$23,[6]BS!$H$30:$H$33,[6]BS!$J$30:$J$33,[6]BS!$H$36,[6]BS!$J$36,[6]BS!$H$38,[6]BS!$J$38,[6]BS!$H$41:$H$45,[6]BS!$J$41:$J$45</definedName>
    <definedName name="depmst" localSheetId="58">#REF!</definedName>
    <definedName name="depmst" localSheetId="29">#REF!</definedName>
    <definedName name="depmst" localSheetId="46">#REF!</definedName>
    <definedName name="depmst">#REF!</definedName>
    <definedName name="Disability" localSheetId="58">#REF!</definedName>
    <definedName name="Disability" localSheetId="29">#REF!</definedName>
    <definedName name="Disability" localSheetId="46">#REF!</definedName>
    <definedName name="Disability">#REF!</definedName>
    <definedName name="Discount" localSheetId="58" hidden="1">#REF!</definedName>
    <definedName name="Discount" localSheetId="29" hidden="1">#REF!</definedName>
    <definedName name="Discount" localSheetId="46" hidden="1">#REF!</definedName>
    <definedName name="Discount" hidden="1">#REF!</definedName>
    <definedName name="display_area_2" localSheetId="58" hidden="1">#REF!</definedName>
    <definedName name="display_area_2" localSheetId="46" hidden="1">#REF!</definedName>
    <definedName name="display_area_2" hidden="1">#REF!</definedName>
    <definedName name="Dom_Travel_Cost_per_Trip" localSheetId="58">#REF!</definedName>
    <definedName name="Dom_Travel_Cost_per_Trip" localSheetId="46">#REF!</definedName>
    <definedName name="Dom_Travel_Cost_per_Trip">#REF!</definedName>
    <definedName name="Dom_Travel_Cost1" localSheetId="58">#REF!</definedName>
    <definedName name="Dom_Travel_Cost1" localSheetId="46">#REF!</definedName>
    <definedName name="Dom_Travel_Cost1">#REF!</definedName>
    <definedName name="Dom_Travel_Cost2" localSheetId="58">#REF!</definedName>
    <definedName name="Dom_Travel_Cost2" localSheetId="46">#REF!</definedName>
    <definedName name="Dom_Travel_Cost2">#REF!</definedName>
    <definedName name="Dom_Travel_Cost3" localSheetId="58">#REF!</definedName>
    <definedName name="Dom_Travel_Cost3" localSheetId="46">#REF!</definedName>
    <definedName name="Dom_Travel_Cost3">#REF!</definedName>
    <definedName name="Dom_Travel_Date1" localSheetId="58">#REF!</definedName>
    <definedName name="Dom_Travel_Date1" localSheetId="46">#REF!</definedName>
    <definedName name="Dom_Travel_Date1">#REF!</definedName>
    <definedName name="Dom_Travel_Date2" localSheetId="58">#REF!</definedName>
    <definedName name="Dom_Travel_Date2" localSheetId="46">#REF!</definedName>
    <definedName name="Dom_Travel_Date2">#REF!</definedName>
    <definedName name="Dom_Travel_Date3" localSheetId="58">#REF!</definedName>
    <definedName name="Dom_Travel_Date3" localSheetId="46">#REF!</definedName>
    <definedName name="Dom_Travel_Date3">#REF!</definedName>
    <definedName name="duba">[18]Article!$B$150:$P$171</definedName>
    <definedName name="E" localSheetId="58">#REF!</definedName>
    <definedName name="E" localSheetId="29">#REF!</definedName>
    <definedName name="E" localSheetId="46">#REF!</definedName>
    <definedName name="E">#REF!</definedName>
    <definedName name="eee">'[9]BUD-D.XLS'!$CN$2:$CW$49</definedName>
    <definedName name="eeeee">'[9]BUD-D.XLS'!$CD$2:$CM$49</definedName>
    <definedName name="Elec_3rd" localSheetId="58">#REF!</definedName>
    <definedName name="Elec_3rd" localSheetId="29">#REF!</definedName>
    <definedName name="Elec_3rd" localSheetId="46">#REF!</definedName>
    <definedName name="Elec_3rd">#REF!</definedName>
    <definedName name="Elec_6th" localSheetId="58">#REF!</definedName>
    <definedName name="Elec_6th" localSheetId="29">#REF!</definedName>
    <definedName name="Elec_6th" localSheetId="46">#REF!</definedName>
    <definedName name="Elec_6th">#REF!</definedName>
    <definedName name="Elec_7th" localSheetId="58">#REF!</definedName>
    <definedName name="Elec_7th" localSheetId="29">#REF!</definedName>
    <definedName name="Elec_7th" localSheetId="46">#REF!</definedName>
    <definedName name="Elec_7th">#REF!</definedName>
    <definedName name="Email" localSheetId="58">#REF!</definedName>
    <definedName name="Email" localSheetId="46">#REF!</definedName>
    <definedName name="Email">#REF!</definedName>
    <definedName name="Employee_Food" localSheetId="58">#REF!</definedName>
    <definedName name="Employee_Food" localSheetId="46">#REF!</definedName>
    <definedName name="Employee_Food">#REF!</definedName>
    <definedName name="Employee_Transportation" localSheetId="58">#REF!</definedName>
    <definedName name="Employee_Transportation" localSheetId="46">#REF!</definedName>
    <definedName name="Employee_Transportation">#REF!</definedName>
    <definedName name="ESC" localSheetId="58">#REF!</definedName>
    <definedName name="ESC" localSheetId="46">#REF!</definedName>
    <definedName name="ESC">#REF!</definedName>
    <definedName name="Exch_Rate" localSheetId="58">#REF!</definedName>
    <definedName name="Exch_Rate" localSheetId="46">#REF!</definedName>
    <definedName name="Exch_Rate">#REF!</definedName>
    <definedName name="Exchange_Loss" localSheetId="58">#REF!</definedName>
    <definedName name="Exchange_Loss" localSheetId="46">#REF!</definedName>
    <definedName name="Exchange_Loss">#REF!</definedName>
    <definedName name="Exchange_Rate" localSheetId="58">#REF!</definedName>
    <definedName name="Exchange_Rate" localSheetId="46">#REF!</definedName>
    <definedName name="Exchange_Rate">#REF!</definedName>
    <definedName name="ExchRate">[16]Info!$F$9</definedName>
    <definedName name="Exports" localSheetId="58">#REF!</definedName>
    <definedName name="Exports" localSheetId="29">#REF!</definedName>
    <definedName name="Exports" localSheetId="46">#REF!</definedName>
    <definedName name="Exports">#REF!</definedName>
    <definedName name="_xlnm.Extract">'[15]Rate-Jan'!$B$5:$B$16384</definedName>
    <definedName name="FA_Hrs" localSheetId="58">#REF!</definedName>
    <definedName name="FA_Hrs" localSheetId="29">#REF!</definedName>
    <definedName name="FA_Hrs" localSheetId="46">#REF!</definedName>
    <definedName name="FA_Hrs">#REF!</definedName>
    <definedName name="Fax" localSheetId="58">#REF!</definedName>
    <definedName name="Fax" localSheetId="29">#REF!</definedName>
    <definedName name="Fax" localSheetId="46">#REF!</definedName>
    <definedName name="Fax">#REF!</definedName>
    <definedName name="FCode" localSheetId="58" hidden="1">#REF!</definedName>
    <definedName name="FCode" localSheetId="29" hidden="1">#REF!</definedName>
    <definedName name="FCode" localSheetId="46" hidden="1">#REF!</definedName>
    <definedName name="FCode" hidden="1">#REF!</definedName>
    <definedName name="Feb">'[9]BUD-D.XLS'!$L$2:$U$49</definedName>
    <definedName name="Forecast" localSheetId="58">#REF!</definedName>
    <definedName name="Forecast" localSheetId="29">#REF!</definedName>
    <definedName name="Forecast" localSheetId="46">#REF!</definedName>
    <definedName name="Forecast">#REF!</definedName>
    <definedName name="FRAN">[19]Article!$B$146:$P$260</definedName>
    <definedName name="FX_Change" localSheetId="58">#REF!</definedName>
    <definedName name="FX_Change" localSheetId="29">#REF!</definedName>
    <definedName name="FX_Change" localSheetId="46">#REF!</definedName>
    <definedName name="FX_Change">#REF!</definedName>
    <definedName name="gac" localSheetId="58">#REF!</definedName>
    <definedName name="gac" localSheetId="29">#REF!</definedName>
    <definedName name="gac" localSheetId="46">#REF!</definedName>
    <definedName name="gac">#REF!</definedName>
    <definedName name="Gen_3rd" localSheetId="58">#REF!</definedName>
    <definedName name="Gen_3rd" localSheetId="29">#REF!</definedName>
    <definedName name="Gen_3rd" localSheetId="46">#REF!</definedName>
    <definedName name="Gen_3rd">#REF!</definedName>
    <definedName name="Gen_6th" localSheetId="58">#REF!</definedName>
    <definedName name="Gen_6th" localSheetId="46">#REF!</definedName>
    <definedName name="Gen_6th">#REF!</definedName>
    <definedName name="Gen_7th" localSheetId="58">#REF!</definedName>
    <definedName name="Gen_7th" localSheetId="46">#REF!</definedName>
    <definedName name="Gen_7th">#REF!</definedName>
    <definedName name="gpa_pmt" localSheetId="58">#REF!</definedName>
    <definedName name="gpa_pmt" localSheetId="46">#REF!</definedName>
    <definedName name="gpa_pmt">#REF!</definedName>
    <definedName name="Gross_Area_3rd" localSheetId="58">#REF!</definedName>
    <definedName name="Gross_Area_3rd" localSheetId="46">#REF!</definedName>
    <definedName name="Gross_Area_3rd">#REF!</definedName>
    <definedName name="Gross_Area_6th" localSheetId="58">#REF!</definedName>
    <definedName name="Gross_Area_6th" localSheetId="46">#REF!</definedName>
    <definedName name="Gross_Area_6th">#REF!</definedName>
    <definedName name="Gross_Area_7th" localSheetId="58">#REF!</definedName>
    <definedName name="Gross_Area_7th" localSheetId="46">#REF!</definedName>
    <definedName name="Gross_Area_7th">#REF!</definedName>
    <definedName name="Gross_Area_Leased" localSheetId="58">#REF!</definedName>
    <definedName name="Gross_Area_Leased" localSheetId="46">#REF!</definedName>
    <definedName name="Gross_Area_Leased">#REF!</definedName>
    <definedName name="Group_Sales">'[20]Group Sales'!$A$3</definedName>
    <definedName name="HiddenRows" localSheetId="58" hidden="1">#REF!</definedName>
    <definedName name="HiddenRows" localSheetId="29" hidden="1">#REF!</definedName>
    <definedName name="HiddenRows" localSheetId="46" hidden="1">#REF!</definedName>
    <definedName name="HiddenRows" hidden="1">#REF!</definedName>
    <definedName name="Hotels" localSheetId="58">#REF!</definedName>
    <definedName name="Hotels" localSheetId="29">#REF!</definedName>
    <definedName name="Hotels" localSheetId="46">#REF!</definedName>
    <definedName name="Hotels">#REF!</definedName>
    <definedName name="i">[21]CUMAA!$D$280:$D$287</definedName>
    <definedName name="in" localSheetId="58">#REF!</definedName>
    <definedName name="in" localSheetId="29">#REF!</definedName>
    <definedName name="in" localSheetId="46">#REF!</definedName>
    <definedName name="in">#REF!</definedName>
    <definedName name="INDI" localSheetId="58">#REF!</definedName>
    <definedName name="INDI" localSheetId="29">#REF!</definedName>
    <definedName name="INDI" localSheetId="46">#REF!</definedName>
    <definedName name="INDI">#REF!</definedName>
    <definedName name="India_Airfare" localSheetId="58">#REF!</definedName>
    <definedName name="India_Airfare" localSheetId="29">#REF!</definedName>
    <definedName name="India_Airfare" localSheetId="46">#REF!</definedName>
    <definedName name="India_Airfare">#REF!</definedName>
    <definedName name="India_Benefits" localSheetId="58">#REF!</definedName>
    <definedName name="India_Benefits" localSheetId="46">#REF!</definedName>
    <definedName name="India_Benefits">#REF!</definedName>
    <definedName name="India_Bonus" localSheetId="58">#REF!</definedName>
    <definedName name="India_Bonus" localSheetId="46">#REF!</definedName>
    <definedName name="India_Bonus">#REF!</definedName>
    <definedName name="InfoProtect">[6]Info!$F$6,[6]Info!$F$9,[6]Info!$F$12,'[6]Date Setup'!$J$7,'[6]Date Setup'!$J$9,'[6]Date Setup'!$O$7,'[6]Date Setup'!$O$8,'[6]Date Setup'!$O$9,'[6]Date Setup'!$O$10,'[6]Date Setup'!$O$11,'[6]Date Setup'!$O$12,'[6]Date Setup'!$O$13</definedName>
    <definedName name="Int_3rd" localSheetId="58">#REF!</definedName>
    <definedName name="Int_3rd" localSheetId="29">#REF!</definedName>
    <definedName name="Int_3rd" localSheetId="46">#REF!</definedName>
    <definedName name="Int_3rd">#REF!</definedName>
    <definedName name="Int_6th" localSheetId="58">#REF!</definedName>
    <definedName name="Int_6th" localSheetId="29">#REF!</definedName>
    <definedName name="Int_6th" localSheetId="46">#REF!</definedName>
    <definedName name="Int_6th">#REF!</definedName>
    <definedName name="Int_7th" localSheetId="58">#REF!</definedName>
    <definedName name="Int_7th" localSheetId="29">#REF!</definedName>
    <definedName name="Int_7th" localSheetId="46">#REF!</definedName>
    <definedName name="Int_7th">#REF!</definedName>
    <definedName name="INTCAP" localSheetId="58">#REF!</definedName>
    <definedName name="INTCAP" localSheetId="46">#REF!</definedName>
    <definedName name="INTCAP">#REF!</definedName>
    <definedName name="IPLC_India" localSheetId="58">#REF!</definedName>
    <definedName name="IPLC_India" localSheetId="46">#REF!</definedName>
    <definedName name="IPLC_India">#REF!</definedName>
    <definedName name="is" localSheetId="58">#REF!</definedName>
    <definedName name="is" localSheetId="46">#REF!</definedName>
    <definedName name="is">#REF!</definedName>
    <definedName name="ISMonCurrentAdj">'[6]IS Mon'!$M$10,'[6]IS Mon'!$M$14,'[6]IS Mon'!$M$23,'[6]IS Mon'!$M$25,'[6]IS Mon'!$M$34:$M$36,'[6]IS Mon'!$M$43</definedName>
    <definedName name="ISMonDescrip">'[6]IS Mon'!$L$10:$L$11,'[6]IS Mon'!$L$14:$L$17,'[6]IS Mon'!$L$23:$L$28,'[6]IS Mon'!$L$34:$L$37,'[6]IS Mon'!$L$43,'[6]IS Mon'!$L$48:$L$49,'[6]IS Mon'!$L$51,'[6]IS Mon'!$L$54,'[6]IS Mon'!$G$61:$P$66</definedName>
    <definedName name="ISMonProtect">'[6]IS Mon'!$G$10,'[6]IS Mon'!$I$10,'[6]IS Mon'!$K$10:$K$11,'[6]IS Mon'!$O$10,'[6]IS Mon'!$G$14,'[6]IS Mon'!$I$14,'[6]IS Mon'!$K$14:$K$17,'[6]IS Mon'!$O$14,'[6]IS Mon'!$G$23:$G$25,'[6]IS Mon'!$I$23:$I$25,'[6]IS Mon'!$K$23:$K$28,'[6]IS Mon'!$O$23:$O$25,'[6]IS Mon'!$G$34:$I$36,'[6]IS Mon'!$K$34:$K$37,'[6]IS Mon'!$O$34:$O$36,'[6]IS Mon'!$G$43:$K$43,'[6]IS Mon'!$O$43,'[6]IS Mon'!$I$48:$K$49,'[6]IS Mon'!$I$51:$K$51,'[6]IS Mon'!$I$54:$K$54,'[6]IS Mon'!$I$59:$K$59</definedName>
    <definedName name="ISSTDCurrentAdj">'[6]IS STD'!$M$10,'[6]IS STD'!$M$14,'[6]IS STD'!$M$23,'[6]IS STD'!$M$25,'[6]IS STD'!$M$34:$M$36,'[6]IS STD'!$M$43</definedName>
    <definedName name="ISSTDDescrip">'[6]IS STD'!$L$10:$L$11,'[6]IS STD'!$L$14:$L$17,'[6]IS STD'!$L$23:$L$28,'[6]IS STD'!$L$34:$L$37,'[6]IS STD'!$L$43,'[6]IS STD'!$L$48:$L$49,'[6]IS STD'!$L$51,'[6]IS STD'!$L$54,'[6]IS STD'!$G$61:$P$66</definedName>
    <definedName name="ISSTDProtect">'[6]IS STD'!$G$10,'[6]IS STD'!$I$10,'[6]IS STD'!$K$10:$K$11,'[6]IS STD'!$O$10,'[6]IS STD'!$G$14,'[6]IS STD'!$I$14,'[6]IS STD'!$K$14:$K$17,'[6]IS STD'!$O$14,'[6]IS STD'!$G$23,'[6]IS STD'!$G$25,'[6]IS STD'!$I$23,'[6]IS STD'!$I$25,'[6]IS STD'!$K$23:$K$28,'[6]IS STD'!$O$23,'[6]IS STD'!$O$25,'[6]IS STD'!$G$34:$G$36,'[6]IS STD'!$I$34:$I$36,'[6]IS STD'!$K$34:$K$37,'[6]IS STD'!$O$34:$O$36,'[6]IS STD'!$G$43,'[6]IS STD'!$I$43,'[6]IS STD'!$K$43,'[6]IS STD'!$O$43,'[6]IS STD'!$I$48:$I$51,'[6]IS STD'!$K$48:$K$51,'[6]IS STD'!$I$54,'[6]IS STD'!$K$54,'[6]IS STD'!$I$59,'[6]IS STD'!$K$59</definedName>
    <definedName name="Jan">'[9]BUD-D.XLS'!$B$2:$K$49</definedName>
    <definedName name="jc" localSheetId="58">#REF!</definedName>
    <definedName name="jc" localSheetId="29">#REF!</definedName>
    <definedName name="jc" localSheetId="46">#REF!</definedName>
    <definedName name="jc">#REF!</definedName>
    <definedName name="JFA_Hrs" localSheetId="58">#REF!</definedName>
    <definedName name="JFA_Hrs" localSheetId="29">#REF!</definedName>
    <definedName name="JFA_Hrs" localSheetId="46">#REF!</definedName>
    <definedName name="JFA_Hrs">#REF!</definedName>
    <definedName name="jjvs" localSheetId="58">#REF!</definedName>
    <definedName name="jjvs" localSheetId="29">#REF!</definedName>
    <definedName name="jjvs" localSheetId="46">#REF!</definedName>
    <definedName name="jjvs">#REF!</definedName>
    <definedName name="JOC" localSheetId="58">#REF!</definedName>
    <definedName name="JOC" localSheetId="46">#REF!</definedName>
    <definedName name="JOC">#REF!</definedName>
    <definedName name="JOCE" localSheetId="58">#REF!</definedName>
    <definedName name="JOCE" localSheetId="46">#REF!</definedName>
    <definedName name="JOCE">#REF!</definedName>
    <definedName name="jr" localSheetId="58">[11]STOCKS!#REF!</definedName>
    <definedName name="jr" localSheetId="29">[11]STOCKS!#REF!</definedName>
    <definedName name="jr" localSheetId="46">[11]STOCKS!#REF!</definedName>
    <definedName name="jr">[11]STOCKS!#REF!</definedName>
    <definedName name="JR_Acct_Hrs" localSheetId="58">#REF!</definedName>
    <definedName name="JR_Acct_Hrs" localSheetId="29">#REF!</definedName>
    <definedName name="JR_Acct_Hrs" localSheetId="46">#REF!</definedName>
    <definedName name="JR_Acct_Hrs">#REF!</definedName>
    <definedName name="jt">[2]CUMAA!$D$168:$D$367</definedName>
    <definedName name="jtl" localSheetId="58">#REF!</definedName>
    <definedName name="jtl" localSheetId="29">#REF!</definedName>
    <definedName name="jtl" localSheetId="46">#REF!</definedName>
    <definedName name="jtl">#REF!</definedName>
    <definedName name="Jul">'[9]BUD-D.XLS'!$BJ$2:$BS$49</definedName>
    <definedName name="Jun">'[9]BUD-D.XLS'!$AZ$2:$BI$49</definedName>
    <definedName name="jvs">[2]CUMAA!$D$10:$D$43</definedName>
    <definedName name="jw" localSheetId="58">#REF!</definedName>
    <definedName name="jw" localSheetId="29">#REF!</definedName>
    <definedName name="jw" localSheetId="46">#REF!</definedName>
    <definedName name="jw">#REF!</definedName>
    <definedName name="k" localSheetId="58">#REF!</definedName>
    <definedName name="k" localSheetId="29">#REF!</definedName>
    <definedName name="k" localSheetId="46">#REF!</definedName>
    <definedName name="k">#REF!</definedName>
    <definedName name="LA" localSheetId="58">[5]Facility!#REF!</definedName>
    <definedName name="LA" localSheetId="29">[5]Facility!#REF!</definedName>
    <definedName name="LA" localSheetId="46">[5]Facility!#REF!</definedName>
    <definedName name="LA">[5]Facility!#REF!</definedName>
    <definedName name="Laptop" localSheetId="58">#REF!</definedName>
    <definedName name="Laptop" localSheetId="29">#REF!</definedName>
    <definedName name="Laptop" localSheetId="46">#REF!</definedName>
    <definedName name="Laptop">#REF!</definedName>
    <definedName name="lb" localSheetId="58">#REF!</definedName>
    <definedName name="lb" localSheetId="29">#REF!</definedName>
    <definedName name="lb" localSheetId="46">#REF!</definedName>
    <definedName name="lb">#REF!</definedName>
    <definedName name="LIST" localSheetId="58">#REF!</definedName>
    <definedName name="LIST" localSheetId="29">#REF!</definedName>
    <definedName name="LIST" localSheetId="46">#REF!</definedName>
    <definedName name="LIST">#REF!</definedName>
    <definedName name="loc">[22]Article!$B$160:$P$214</definedName>
    <definedName name="LocalCurr">[16]Info!$F$12</definedName>
    <definedName name="luc" localSheetId="58">#REF!</definedName>
    <definedName name="luc" localSheetId="29">#REF!</definedName>
    <definedName name="luc" localSheetId="46">#REF!</definedName>
    <definedName name="luc">#REF!</definedName>
    <definedName name="Maint_3rd" localSheetId="58">#REF!</definedName>
    <definedName name="Maint_3rd" localSheetId="29">#REF!</definedName>
    <definedName name="Maint_3rd" localSheetId="46">#REF!</definedName>
    <definedName name="Maint_3rd">#REF!</definedName>
    <definedName name="Maint_6th" localSheetId="58">#REF!</definedName>
    <definedName name="Maint_6th" localSheetId="29">#REF!</definedName>
    <definedName name="Maint_6th" localSheetId="46">#REF!</definedName>
    <definedName name="Maint_6th">#REF!</definedName>
    <definedName name="Maint_7th" localSheetId="58">#REF!</definedName>
    <definedName name="Maint_7th" localSheetId="46">#REF!</definedName>
    <definedName name="Maint_7th">#REF!</definedName>
    <definedName name="Manager_Hrs" localSheetId="58">#REF!</definedName>
    <definedName name="Manager_Hrs" localSheetId="46">#REF!</definedName>
    <definedName name="Manager_Hrs">#REF!</definedName>
    <definedName name="Manager_Salary_Increase" localSheetId="58">#REF!</definedName>
    <definedName name="Manager_Salary_Increase" localSheetId="46">#REF!</definedName>
    <definedName name="Manager_Salary_Increase">#REF!</definedName>
    <definedName name="Mar">'[9]BUD-D.XLS'!$V$2:$AE$49</definedName>
    <definedName name="Mast" localSheetId="58">#REF!</definedName>
    <definedName name="Mast" localSheetId="29">#REF!</definedName>
    <definedName name="Mast" localSheetId="46">#REF!</definedName>
    <definedName name="Mast">#REF!</definedName>
    <definedName name="May">'[9]BUD-D.XLS'!$AP$2:$AY$49</definedName>
    <definedName name="mc" localSheetId="58">#REF!</definedName>
    <definedName name="mc" localSheetId="29">#REF!</definedName>
    <definedName name="mc" localSheetId="46">#REF!</definedName>
    <definedName name="mc">#REF!</definedName>
    <definedName name="mcac">[2]Article!$B$10:$P$24</definedName>
    <definedName name="mediclaim_pmt" localSheetId="58">#REF!</definedName>
    <definedName name="mediclaim_pmt" localSheetId="29">#REF!</definedName>
    <definedName name="mediclaim_pmt" localSheetId="46">#REF!</definedName>
    <definedName name="mediclaim_pmt">#REF!</definedName>
    <definedName name="mill" localSheetId="58">#REF!</definedName>
    <definedName name="mill" localSheetId="29">#REF!</definedName>
    <definedName name="mill" localSheetId="46">#REF!</definedName>
    <definedName name="mill">#REF!</definedName>
    <definedName name="mis" localSheetId="58">#REF!</definedName>
    <definedName name="mis" localSheetId="29">#REF!</definedName>
    <definedName name="mis" localSheetId="46">#REF!</definedName>
    <definedName name="mis">#REF!</definedName>
    <definedName name="mmm" localSheetId="58">[11]STOCKS!#REF!</definedName>
    <definedName name="mmm" localSheetId="29">[11]STOCKS!#REF!</definedName>
    <definedName name="mmm" localSheetId="46">[11]STOCKS!#REF!</definedName>
    <definedName name="mmm">[11]STOCKS!#REF!</definedName>
    <definedName name="mn" localSheetId="58">#REF!</definedName>
    <definedName name="mn" localSheetId="29">#REF!</definedName>
    <definedName name="mn" localSheetId="46">#REF!</definedName>
    <definedName name="mn">#REF!</definedName>
    <definedName name="mons" localSheetId="58">#REF!</definedName>
    <definedName name="mons" localSheetId="29">#REF!</definedName>
    <definedName name="mons" localSheetId="46">#REF!</definedName>
    <definedName name="mons">#REF!</definedName>
    <definedName name="Monthly_AC_3rd" localSheetId="58">#REF!</definedName>
    <definedName name="Monthly_AC_3rd" localSheetId="29">#REF!</definedName>
    <definedName name="Monthly_AC_3rd" localSheetId="46">#REF!</definedName>
    <definedName name="Monthly_AC_3rd">#REF!</definedName>
    <definedName name="Monthly_AC_6th" localSheetId="58">#REF!</definedName>
    <definedName name="Monthly_AC_6th" localSheetId="46">#REF!</definedName>
    <definedName name="Monthly_AC_6th">#REF!</definedName>
    <definedName name="Monthly_AC_7th" localSheetId="58">#REF!</definedName>
    <definedName name="Monthly_AC_7th" localSheetId="46">#REF!</definedName>
    <definedName name="Monthly_AC_7th">#REF!</definedName>
    <definedName name="Monthly_Base_Rent_3rd" localSheetId="58">#REF!</definedName>
    <definedName name="Monthly_Base_Rent_3rd" localSheetId="46">#REF!</definedName>
    <definedName name="Monthly_Base_Rent_3rd">#REF!</definedName>
    <definedName name="Monthly_Base_Rent_6th" localSheetId="58">#REF!</definedName>
    <definedName name="Monthly_Base_Rent_6th" localSheetId="46">#REF!</definedName>
    <definedName name="Monthly_Base_Rent_6th">#REF!</definedName>
    <definedName name="Monthly_Base_Rent_7th" localSheetId="58">#REF!</definedName>
    <definedName name="Monthly_Base_Rent_7th" localSheetId="46">#REF!</definedName>
    <definedName name="Monthly_Base_Rent_7th">#REF!</definedName>
    <definedName name="Monthly_Electrical_3rd" localSheetId="58">#REF!</definedName>
    <definedName name="Monthly_Electrical_3rd" localSheetId="46">#REF!</definedName>
    <definedName name="Monthly_Electrical_3rd">#REF!</definedName>
    <definedName name="Monthly_Electrical_6th" localSheetId="58">#REF!</definedName>
    <definedName name="Monthly_Electrical_6th" localSheetId="46">#REF!</definedName>
    <definedName name="Monthly_Electrical_6th">#REF!</definedName>
    <definedName name="Monthly_Electrical_7th" localSheetId="58">#REF!</definedName>
    <definedName name="Monthly_Electrical_7th" localSheetId="46">#REF!</definedName>
    <definedName name="Monthly_Electrical_7th">#REF!</definedName>
    <definedName name="Monthly_Generator_3rd" localSheetId="58">#REF!</definedName>
    <definedName name="Monthly_Generator_3rd" localSheetId="46">#REF!</definedName>
    <definedName name="Monthly_Generator_3rd">#REF!</definedName>
    <definedName name="Monthly_Generator_6th" localSheetId="58">#REF!</definedName>
    <definedName name="Monthly_Generator_6th" localSheetId="46">#REF!</definedName>
    <definedName name="Monthly_Generator_6th">#REF!</definedName>
    <definedName name="Monthly_Generator_7th" localSheetId="58">#REF!</definedName>
    <definedName name="Monthly_Generator_7th" localSheetId="46">#REF!</definedName>
    <definedName name="Monthly_Generator_7th">#REF!</definedName>
    <definedName name="Monthly_Interest_Fee_3rd" localSheetId="58">#REF!</definedName>
    <definedName name="Monthly_Interest_Fee_3rd" localSheetId="46">#REF!</definedName>
    <definedName name="Monthly_Interest_Fee_3rd">#REF!</definedName>
    <definedName name="Monthly_Interest_Fee_6th" localSheetId="58">#REF!</definedName>
    <definedName name="Monthly_Interest_Fee_6th" localSheetId="46">#REF!</definedName>
    <definedName name="Monthly_Interest_Fee_6th">#REF!</definedName>
    <definedName name="Monthly_Interest_Fee_7th" localSheetId="58">#REF!</definedName>
    <definedName name="Monthly_Interest_Fee_7th" localSheetId="46">#REF!</definedName>
    <definedName name="Monthly_Interest_Fee_7th">#REF!</definedName>
    <definedName name="Monthly_Maintenance_3rd" localSheetId="58">#REF!</definedName>
    <definedName name="Monthly_Maintenance_3rd" localSheetId="46">#REF!</definedName>
    <definedName name="Monthly_Maintenance_3rd">#REF!</definedName>
    <definedName name="Monthly_Maintenance_6th" localSheetId="58">#REF!</definedName>
    <definedName name="Monthly_Maintenance_6th" localSheetId="46">#REF!</definedName>
    <definedName name="Monthly_Maintenance_6th">#REF!</definedName>
    <definedName name="Monthly_Maintenance_7th" localSheetId="58">#REF!</definedName>
    <definedName name="Monthly_Maintenance_7th" localSheetId="46">#REF!</definedName>
    <definedName name="Monthly_Maintenance_7th">#REF!</definedName>
    <definedName name="mot">[2]Article!$B$94:$P$140</definedName>
    <definedName name="mti" localSheetId="58">#REF!</definedName>
    <definedName name="mti" localSheetId="29">#REF!</definedName>
    <definedName name="mti" localSheetId="46">#REF!</definedName>
    <definedName name="mti">#REF!</definedName>
    <definedName name="mtil">[2]Article!$B$156:$P$229</definedName>
    <definedName name="mtio">[2]Article!$B$59:$P$86</definedName>
    <definedName name="mv" localSheetId="58">#REF!</definedName>
    <definedName name="mv" localSheetId="29">#REF!</definedName>
    <definedName name="mv" localSheetId="46">#REF!</definedName>
    <definedName name="mv">#REF!</definedName>
    <definedName name="mvsc">[2]Article!$B$28:$P$41</definedName>
    <definedName name="mvsk">[2]Article!$B$51:$P$53</definedName>
    <definedName name="Name" localSheetId="58">#REF!</definedName>
    <definedName name="Name" localSheetId="29">#REF!</definedName>
    <definedName name="Name" localSheetId="46">#REF!</definedName>
    <definedName name="Name">#REF!</definedName>
    <definedName name="new" localSheetId="58">#REF!</definedName>
    <definedName name="new" localSheetId="29">#REF!</definedName>
    <definedName name="new" localSheetId="46">#REF!</definedName>
    <definedName name="new">#REF!</definedName>
    <definedName name="New_Space_Takedown1" localSheetId="58">#REF!</definedName>
    <definedName name="New_Space_Takedown1" localSheetId="29">#REF!</definedName>
    <definedName name="New_Space_Takedown1" localSheetId="46">#REF!</definedName>
    <definedName name="New_Space_Takedown1">#REF!</definedName>
    <definedName name="New_Space_Takedown2" localSheetId="58">#REF!</definedName>
    <definedName name="New_Space_Takedown2" localSheetId="46">#REF!</definedName>
    <definedName name="New_Space_Takedown2">#REF!</definedName>
    <definedName name="NOTES" localSheetId="58">#REF!</definedName>
    <definedName name="NOTES" localSheetId="46">#REF!</definedName>
    <definedName name="NOTES">#REF!</definedName>
    <definedName name="Nov">'[9]BUD-D.XLS'!$CX$2:$DG$49</definedName>
    <definedName name="Oct">'[9]BUD-D.XLS'!$CN$2:$CW$49</definedName>
    <definedName name="Office_Supplies_India" localSheetId="58">#REF!</definedName>
    <definedName name="Office_Supplies_India" localSheetId="29">#REF!</definedName>
    <definedName name="Office_Supplies_India" localSheetId="46">#REF!</definedName>
    <definedName name="Office_Supplies_India">#REF!</definedName>
    <definedName name="Office_Supplies_US" localSheetId="58">#REF!</definedName>
    <definedName name="Office_Supplies_US" localSheetId="29">#REF!</definedName>
    <definedName name="Office_Supplies_US" localSheetId="46">#REF!</definedName>
    <definedName name="Office_Supplies_US">#REF!</definedName>
    <definedName name="oj" localSheetId="58">#REF!</definedName>
    <definedName name="oj" localSheetId="29">#REF!</definedName>
    <definedName name="oj" localSheetId="46">#REF!</definedName>
    <definedName name="oj">#REF!</definedName>
    <definedName name="OrderTable" localSheetId="58" hidden="1">#REF!</definedName>
    <definedName name="OrderTable" localSheetId="46" hidden="1">#REF!</definedName>
    <definedName name="OrderTable" hidden="1">#REF!</definedName>
    <definedName name="OS" localSheetId="58">#REF!</definedName>
    <definedName name="OS" localSheetId="46">#REF!</definedName>
    <definedName name="OS">#REF!</definedName>
    <definedName name="oth" localSheetId="58">#REF!</definedName>
    <definedName name="oth" localSheetId="46">#REF!</definedName>
    <definedName name="oth">#REF!</definedName>
    <definedName name="ots" localSheetId="58">#REF!</definedName>
    <definedName name="ots" localSheetId="46">#REF!</definedName>
    <definedName name="ots">#REF!</definedName>
    <definedName name="ott" localSheetId="58">#REF!</definedName>
    <definedName name="ott" localSheetId="46">#REF!</definedName>
    <definedName name="ott">#REF!</definedName>
    <definedName name="p" localSheetId="58">#REF!</definedName>
    <definedName name="p" localSheetId="46">#REF!</definedName>
    <definedName name="p">#REF!</definedName>
    <definedName name="PANDL" localSheetId="58">#REF!</definedName>
    <definedName name="PANDL" localSheetId="46">#REF!</definedName>
    <definedName name="PANDL">#REF!</definedName>
    <definedName name="Pay_Start_6th_Floor" localSheetId="58">#REF!</definedName>
    <definedName name="Pay_Start_6th_Floor" localSheetId="46">#REF!</definedName>
    <definedName name="Pay_Start_6th_Floor">#REF!</definedName>
    <definedName name="Pay_Start_7th_Floor" localSheetId="58">#REF!</definedName>
    <definedName name="Pay_Start_7th_Floor" localSheetId="46">#REF!</definedName>
    <definedName name="Pay_Start_7th_Floor">#REF!</definedName>
    <definedName name="Pay_Start_US" localSheetId="58">#REF!</definedName>
    <definedName name="Pay_Start_US" localSheetId="46">#REF!</definedName>
    <definedName name="Pay_Start_US">#REF!</definedName>
    <definedName name="Pay_Start_US2" localSheetId="58">#REF!</definedName>
    <definedName name="Pay_Start_US2" localSheetId="46">#REF!</definedName>
    <definedName name="Pay_Start_US2">#REF!</definedName>
    <definedName name="PENAL" localSheetId="58">#REF!</definedName>
    <definedName name="PENAL" localSheetId="46">#REF!</definedName>
    <definedName name="PENAL">#REF!</definedName>
    <definedName name="Phone" localSheetId="58">#REF!</definedName>
    <definedName name="Phone" localSheetId="46">#REF!</definedName>
    <definedName name="Phone">#REF!</definedName>
    <definedName name="PNMoveSeason">[6]ProjNext!$G$11:$K$12,[6]ProjNext!$G$17:$K$18,[6]ProjNext!$G$24:$K$26,[6]ProjNext!$G$32:$K$32,[6]ProjNext!$G$36:$K$36,[6]ProjNext!$O$11:$S$12,[6]ProjNext!$O$17:$S$18,[6]ProjNext!$O$24:$S$26,[6]ProjNext!$O$32:$S$32,[6]ProjNext!$O$36:$S$36,[6]ProjNext!$Z$11:$AB$12,[6]ProjNext!$Z$17:$AB$18,[6]ProjNext!$Z$24:$AB$26,[6]ProjNext!$Z$32:$AB$32,[6]ProjNext!$Z$36:$AB$36</definedName>
    <definedName name="_xlnm.Print_Area" localSheetId="18">'Additional Disclosures'!$A$1:$J$101</definedName>
    <definedName name="_xlnm.Print_Area" localSheetId="7">BS!$A$2:$G$64</definedName>
    <definedName name="_xlnm.Print_Area" localSheetId="5">'Cash Flow'!$B$1:$G$163</definedName>
    <definedName name="_xlnm.Print_Area" localSheetId="58">CF!$B$2:$G$176</definedName>
    <definedName name="_xlnm.Print_Area" localSheetId="8">'Corporate &amp; Acctg Policies'!$A$2:$J$337</definedName>
    <definedName name="_xlnm.Print_Area" localSheetId="56">Demerger!$A$1:$E$10</definedName>
    <definedName name="_xlnm.Print_Area" localSheetId="16">Dep_Co!$D$3:$O$26</definedName>
    <definedName name="_xlnm.Print_Area" localSheetId="17">Dep_IT!$B$1:$L$23</definedName>
    <definedName name="_xlnm.Print_Area" localSheetId="29">#REF!</definedName>
    <definedName name="_xlnm.Print_Area" localSheetId="22">#REF!</definedName>
    <definedName name="_xlnm.Print_Area" localSheetId="2">IT!$B$2:$E$75</definedName>
    <definedName name="_xlnm.Print_Area" localSheetId="20">Notes!$B$2:$K$357</definedName>
    <definedName name="_xlnm.Print_Area" localSheetId="15">PL!$A$2:$D$64</definedName>
    <definedName name="_xlnm.Print_Area" localSheetId="4">'policies old'!$A$2:$K$293</definedName>
    <definedName name="_xlnm.Print_Area" localSheetId="19">Ratio!$A$1:$G$31</definedName>
    <definedName name="_xlnm.Print_Area" localSheetId="36">'TB 16-17'!$B$1:$E$661</definedName>
    <definedName name="_xlnm.Print_Area" localSheetId="46">#REF!</definedName>
    <definedName name="_xlnm.Print_Area">#REF!</definedName>
    <definedName name="Print_Area_1" localSheetId="7">BS!$A$2:$F$64</definedName>
    <definedName name="Print_Area_2" localSheetId="20">Notes!$B$2:$K$357</definedName>
    <definedName name="Print_Area_3" localSheetId="7">BS!$A$2:$F$64</definedName>
    <definedName name="PRINT_AREA_MI" localSheetId="58">#REF!</definedName>
    <definedName name="PRINT_AREA_MI" localSheetId="29">#REF!</definedName>
    <definedName name="PRINT_AREA_MI" localSheetId="46">#REF!</definedName>
    <definedName name="PRINT_AREA_MI">#REF!</definedName>
    <definedName name="_xlnm.Print_Titles" localSheetId="5">'Cash Flow'!$8:$9</definedName>
    <definedName name="_xlnm.Print_Titles" localSheetId="58">CF!$7:$8</definedName>
    <definedName name="ProdForm" localSheetId="58" hidden="1">#REF!</definedName>
    <definedName name="ProdForm" localSheetId="29" hidden="1">#REF!</definedName>
    <definedName name="ProdForm" localSheetId="46" hidden="1">#REF!</definedName>
    <definedName name="ProdForm" hidden="1">#REF!</definedName>
    <definedName name="Product" localSheetId="58" hidden="1">#REF!</definedName>
    <definedName name="Product" localSheetId="46" hidden="1">#REF!</definedName>
    <definedName name="Product" hidden="1">#REF!</definedName>
    <definedName name="ProjCurrProtect">[6]ProjCurr!$G$11:$K$12,[6]ProjCurr!$O$11:$S$12,[6]ProjCurr!$G$17:$K$18,[6]ProjCurr!$O$17:$S$18,[6]ProjCurr!$G$24:$K$26,[6]ProjCurr!$O$24:$S$26,[6]ProjCurr!$G$32:$K$32,[6]ProjCurr!$O$32:$S$32,[6]ProjCurr!$G$36:$K$36,[6]ProjCurr!$O$36:$S$36,[6]ProjCurr!$Z$11:$AB$12,[6]ProjCurr!$Z$17:$AB$18,[6]ProjCurr!$Z$24:$AB$26,[6]ProjCurr!$Z$32:$AB$32,[6]ProjCurr!$Z$36:$AB$36</definedName>
    <definedName name="pvs" localSheetId="58">#REF!</definedName>
    <definedName name="pvs" localSheetId="29">#REF!</definedName>
    <definedName name="pvs" localSheetId="46">#REF!</definedName>
    <definedName name="pvs">#REF!</definedName>
    <definedName name="q" localSheetId="58">#REF!</definedName>
    <definedName name="q" localSheetId="29">#REF!</definedName>
    <definedName name="q" localSheetId="46">#REF!</definedName>
    <definedName name="q">#REF!</definedName>
    <definedName name="Ramesh_S" localSheetId="58">#REF!</definedName>
    <definedName name="Ramesh_S" localSheetId="29">#REF!</definedName>
    <definedName name="Ramesh_S" localSheetId="46">#REF!</definedName>
    <definedName name="Ramesh_S">#REF!</definedName>
    <definedName name="Ramji_M" localSheetId="58">#REF!</definedName>
    <definedName name="Ramji_M" localSheetId="46">#REF!</definedName>
    <definedName name="Ramji_M">#REF!</definedName>
    <definedName name="Range" localSheetId="58">#REF!</definedName>
    <definedName name="Range" localSheetId="46">#REF!</definedName>
    <definedName name="Range">#REF!</definedName>
    <definedName name="Range1" localSheetId="58">#REF!</definedName>
    <definedName name="Range1" localSheetId="46">#REF!</definedName>
    <definedName name="Range1">#REF!</definedName>
    <definedName name="RATE" localSheetId="58">#REF!</definedName>
    <definedName name="RATE" localSheetId="46">#REF!</definedName>
    <definedName name="RATE">#REF!</definedName>
    <definedName name="rate1">'[23]CAPEX''00'!$B$104:$C$108</definedName>
    <definedName name="RATES">[24]Sheet2!$A$1:$F$819</definedName>
    <definedName name="ratios" localSheetId="58">#REF!</definedName>
    <definedName name="ratios" localSheetId="29">#REF!</definedName>
    <definedName name="ratios" localSheetId="46">#REF!</definedName>
    <definedName name="ratios">#REF!</definedName>
    <definedName name="RCArea" localSheetId="58" hidden="1">#REF!</definedName>
    <definedName name="RCArea" localSheetId="29" hidden="1">#REF!</definedName>
    <definedName name="RCArea" localSheetId="46" hidden="1">#REF!</definedName>
    <definedName name="RCArea" hidden="1">#REF!</definedName>
    <definedName name="rdate" localSheetId="58">#REF!</definedName>
    <definedName name="rdate" localSheetId="29">#REF!</definedName>
    <definedName name="rdate" localSheetId="46">#REF!</definedName>
    <definedName name="rdate">#REF!</definedName>
    <definedName name="re" localSheetId="58">#REF!</definedName>
    <definedName name="re" localSheetId="46">#REF!</definedName>
    <definedName name="re">#REF!</definedName>
    <definedName name="recdec" localSheetId="58">[11]STOCKS!#REF!</definedName>
    <definedName name="recdec" localSheetId="29">[11]STOCKS!#REF!</definedName>
    <definedName name="recdec" localSheetId="46">[11]STOCKS!#REF!</definedName>
    <definedName name="recdec">[11]STOCKS!#REF!</definedName>
    <definedName name="reco" localSheetId="58">#REF!</definedName>
    <definedName name="reco" localSheetId="29">#REF!</definedName>
    <definedName name="reco" localSheetId="46">#REF!</definedName>
    <definedName name="reco">#REF!</definedName>
    <definedName name="Recruiting_Fee_India" localSheetId="58">#REF!</definedName>
    <definedName name="Recruiting_Fee_India" localSheetId="29">#REF!</definedName>
    <definedName name="Recruiting_Fee_India" localSheetId="46">#REF!</definedName>
    <definedName name="Recruiting_Fee_India">#REF!</definedName>
    <definedName name="Recruitment_Fee" localSheetId="58">#REF!</definedName>
    <definedName name="Recruitment_Fee" localSheetId="29">#REF!</definedName>
    <definedName name="Recruitment_Fee" localSheetId="46">#REF!</definedName>
    <definedName name="Recruitment_Fee">#REF!</definedName>
    <definedName name="Rent_6th" localSheetId="58">#REF!</definedName>
    <definedName name="Rent_6th" localSheetId="46">#REF!</definedName>
    <definedName name="Rent_6th">#REF!</definedName>
    <definedName name="Rent_7th" localSheetId="58">#REF!</definedName>
    <definedName name="Rent_7th" localSheetId="46">#REF!</definedName>
    <definedName name="Rent_7th">#REF!</definedName>
    <definedName name="Residential_Start_Date" localSheetId="58">#REF!</definedName>
    <definedName name="Residential_Start_Date" localSheetId="46">#REF!</definedName>
    <definedName name="Residential_Start_Date">#REF!</definedName>
    <definedName name="resserv" localSheetId="58">#REF!</definedName>
    <definedName name="resserv" localSheetId="46">#REF!</definedName>
    <definedName name="resserv">#REF!</definedName>
    <definedName name="rj" localSheetId="58">[11]STOCKS!#REF!</definedName>
    <definedName name="rj" localSheetId="29">[11]STOCKS!#REF!</definedName>
    <definedName name="rj" localSheetId="46">[11]STOCKS!#REF!</definedName>
    <definedName name="rj">[11]STOCKS!#REF!</definedName>
    <definedName name="s">'[9]BUD-D.XLS'!$AP$2:$AY$49</definedName>
    <definedName name="SA_Hrs" localSheetId="58">#REF!</definedName>
    <definedName name="SA_Hrs" localSheetId="29">#REF!</definedName>
    <definedName name="SA_Hrs" localSheetId="46">#REF!</definedName>
    <definedName name="SA_Hrs">#REF!</definedName>
    <definedName name="SAUD">[25]Article!$B$139:$P$153</definedName>
    <definedName name="sec" localSheetId="58">#REF!</definedName>
    <definedName name="sec" localSheetId="29">#REF!</definedName>
    <definedName name="sec" localSheetId="46">#REF!</definedName>
    <definedName name="sec">#REF!</definedName>
    <definedName name="Sep">'[9]BUD-D.XLS'!$CD$2:$CM$49</definedName>
    <definedName name="SeriesB_Completion_Date" localSheetId="58">#REF!</definedName>
    <definedName name="SeriesB_Completion_Date" localSheetId="29">#REF!</definedName>
    <definedName name="SeriesB_Completion_Date" localSheetId="46">#REF!</definedName>
    <definedName name="SeriesB_Completion_Date">#REF!</definedName>
    <definedName name="SeriesB_Legal_Bills_Date" localSheetId="58">#REF!</definedName>
    <definedName name="SeriesB_Legal_Bills_Date" localSheetId="29">#REF!</definedName>
    <definedName name="SeriesB_Legal_Bills_Date" localSheetId="46">#REF!</definedName>
    <definedName name="SeriesB_Legal_Bills_Date">#REF!</definedName>
    <definedName name="SeriesB_Legal_Bills_Payment" localSheetId="58">#REF!</definedName>
    <definedName name="SeriesB_Legal_Bills_Payment" localSheetId="29">#REF!</definedName>
    <definedName name="SeriesB_Legal_Bills_Payment" localSheetId="46">#REF!</definedName>
    <definedName name="SeriesB_Legal_Bills_Payment">#REF!</definedName>
    <definedName name="shi" localSheetId="58">[26]STOCKS!#REF!</definedName>
    <definedName name="shi" localSheetId="29">[26]STOCKS!#REF!</definedName>
    <definedName name="shi" localSheetId="46">[26]STOCKS!#REF!</definedName>
    <definedName name="shi">[26]STOCKS!#REF!</definedName>
    <definedName name="Shipping" localSheetId="58">#REF!</definedName>
    <definedName name="Shipping" localSheetId="29">#REF!</definedName>
    <definedName name="Shipping" localSheetId="46">#REF!</definedName>
    <definedName name="Shipping">#REF!</definedName>
    <definedName name="SLOT">[19]Article!$B$339:$P$339</definedName>
    <definedName name="SpecialPrice" localSheetId="58" hidden="1">#REF!</definedName>
    <definedName name="SpecialPrice" localSheetId="29" hidden="1">#REF!</definedName>
    <definedName name="SpecialPrice" localSheetId="46" hidden="1">#REF!</definedName>
    <definedName name="SpecialPrice" hidden="1">#REF!</definedName>
    <definedName name="spr" localSheetId="58">[5]SPR!#REF!</definedName>
    <definedName name="spr" localSheetId="29">[5]SPR!#REF!</definedName>
    <definedName name="spr" localSheetId="46">[5]SPR!#REF!</definedName>
    <definedName name="spr">[5]SPR!#REF!</definedName>
    <definedName name="SR_Acct_Hrs" localSheetId="58">#REF!</definedName>
    <definedName name="SR_Acct_Hrs" localSheetId="29">#REF!</definedName>
    <definedName name="SR_Acct_Hrs" localSheetId="46">#REF!</definedName>
    <definedName name="SR_Acct_Hrs">#REF!</definedName>
    <definedName name="ss">'[9]BUD-D.XLS'!$B$2:$K$49</definedName>
    <definedName name="staff_ins_list" localSheetId="58">#REF!</definedName>
    <definedName name="staff_ins_list" localSheetId="29">#REF!</definedName>
    <definedName name="staff_ins_list" localSheetId="46">#REF!</definedName>
    <definedName name="staff_ins_list">#REF!</definedName>
    <definedName name="Staff_Recruited" localSheetId="58">#REF!</definedName>
    <definedName name="Staff_Recruited" localSheetId="29">#REF!</definedName>
    <definedName name="Staff_Recruited" localSheetId="46">#REF!</definedName>
    <definedName name="Staff_Recruited">#REF!</definedName>
    <definedName name="Stamford_Apt_Rent" localSheetId="58">#REF!</definedName>
    <definedName name="Stamford_Apt_Rent" localSheetId="29">#REF!</definedName>
    <definedName name="Stamford_Apt_Rent" localSheetId="46">#REF!</definedName>
    <definedName name="Stamford_Apt_Rent">#REF!</definedName>
    <definedName name="State" localSheetId="58">#REF!</definedName>
    <definedName name="State" localSheetId="46">#REF!</definedName>
    <definedName name="State">#REF!</definedName>
    <definedName name="StatsProtectDn">[6]Stats!$N$34,[6]Stats!$P$34:$P$35,[6]Stats!$T$34,[6]Stats!$J$43:$J$44,[6]Stats!$N$43,[6]Stats!$P$43:$P$44,[6]Stats!$T$43,[6]Stats!$J$52:$J$53,[6]Stats!$N$52,[6]Stats!$P$52:$P$53,[6]Stats!$T$52,[6]Stats!$H$61,[6]Stats!$J$61,[6]Stats!$L$61,[6]Stats!$T$61,[6]Stats!$H$61:$L$61,[6]Stats!$L$65:$L$66,[6]Stats!$R$66,[6]Stats!$H$72:$J$72,[6]Stats!$N$72,[6]Stats!$T$72</definedName>
    <definedName name="StatsProtectUp">[6]Stats!$J$8,[6]Stats!$H$10:$J$10,[6]Stats!$H$12:$J$12,[6]Stats!$R$10:$T$10,[6]Stats!$R$12:$T$12,[6]Stats!$J$17:$J$18,[6]Stats!$N$17,[6]Stats!$J$20:$J$21,[6]Stats!$J$23:$J$24,[6]Stats!$J$26:$J$27,[6]Stats!$N$20,[6]Stats!$N$23,[6]Stats!$N$26,[6]Stats!$N$29,[6]Stats!$P$17:$P$18,[6]Stats!$P$20:$P$21,[6]Stats!$P$23:$P$24,[6]Stats!$P$26:$P$27,[6]Stats!$T$17:$T$29,[6]Stats!$N$17:$N$29,[6]Stats!$J$34:$J$35</definedName>
    <definedName name="STD" localSheetId="58">[5]Facility!#REF!</definedName>
    <definedName name="STD" localSheetId="29">[5]Facility!#REF!</definedName>
    <definedName name="STD" localSheetId="46">[5]Facility!#REF!</definedName>
    <definedName name="STD">[5]Facility!#REF!</definedName>
    <definedName name="Stipend" localSheetId="58">#REF!</definedName>
    <definedName name="Stipend" localSheetId="29">#REF!</definedName>
    <definedName name="Stipend" localSheetId="46">#REF!</definedName>
    <definedName name="Stipend">#REF!</definedName>
    <definedName name="Stipend_pp" localSheetId="58">#REF!</definedName>
    <definedName name="Stipend_pp" localSheetId="29">#REF!</definedName>
    <definedName name="Stipend_pp" localSheetId="46">#REF!</definedName>
    <definedName name="Stipend_pp">#REF!</definedName>
    <definedName name="Stocks_Written_Off" localSheetId="58">#REF!</definedName>
    <definedName name="Stocks_Written_Off" localSheetId="29">#REF!</definedName>
    <definedName name="Stocks_Written_Off" localSheetId="46">#REF!</definedName>
    <definedName name="Stocks_Written_Off">#REF!</definedName>
    <definedName name="su" localSheetId="58" hidden="1">#REF!</definedName>
    <definedName name="su" localSheetId="46" hidden="1">#REF!</definedName>
    <definedName name="su" hidden="1">#REF!</definedName>
    <definedName name="tatata" localSheetId="58">[11]STOCKS!#REF!</definedName>
    <definedName name="tatata" localSheetId="29">[11]STOCKS!#REF!</definedName>
    <definedName name="tatata" localSheetId="46">[11]STOCKS!#REF!</definedName>
    <definedName name="tatata">[11]STOCKS!#REF!</definedName>
    <definedName name="tbl_ProdInfo" localSheetId="58" hidden="1">#REF!</definedName>
    <definedName name="tbl_ProdInfo" localSheetId="29" hidden="1">#REF!</definedName>
    <definedName name="tbl_ProdInfo" localSheetId="46" hidden="1">#REF!</definedName>
    <definedName name="tbl_ProdInfo" hidden="1">#REF!</definedName>
    <definedName name="Team_Size" localSheetId="58">#REF!</definedName>
    <definedName name="Team_Size" localSheetId="29">#REF!</definedName>
    <definedName name="Team_Size" localSheetId="46">#REF!</definedName>
    <definedName name="Team_Size">#REF!</definedName>
    <definedName name="Team_Size_CM" localSheetId="58">#REF!</definedName>
    <definedName name="Team_Size_CM" localSheetId="29">#REF!</definedName>
    <definedName name="Team_Size_CM" localSheetId="46">#REF!</definedName>
    <definedName name="Team_Size_CM">#REF!</definedName>
    <definedName name="Team_Size_FA" localSheetId="58">#REF!</definedName>
    <definedName name="Team_Size_FA" localSheetId="46">#REF!</definedName>
    <definedName name="Team_Size_FA">#REF!</definedName>
    <definedName name="Team_Size_Serv" localSheetId="58">#REF!</definedName>
    <definedName name="Team_Size_Serv" localSheetId="46">#REF!</definedName>
    <definedName name="Team_Size_Serv">#REF!</definedName>
    <definedName name="Team_Size_Serv_SA" localSheetId="58">#REF!</definedName>
    <definedName name="Team_Size_Serv_SA" localSheetId="46">#REF!</definedName>
    <definedName name="Team_Size_Serv_SA">#REF!</definedName>
    <definedName name="Team_Size_Serv_TL" localSheetId="58">#REF!</definedName>
    <definedName name="Team_Size_Serv_TL" localSheetId="46">#REF!</definedName>
    <definedName name="Team_Size_Serv_TL">#REF!</definedName>
    <definedName name="Team_SizeFA" localSheetId="58">#REF!</definedName>
    <definedName name="Team_SizeFA" localSheetId="46">#REF!</definedName>
    <definedName name="Team_SizeFA">#REF!</definedName>
    <definedName name="Team_SizeJFA" localSheetId="58">#REF!</definedName>
    <definedName name="Team_SizeJFA" localSheetId="46">#REF!</definedName>
    <definedName name="Team_SizeJFA">#REF!</definedName>
    <definedName name="Tech_Start1" localSheetId="58">#REF!</definedName>
    <definedName name="Tech_Start1" localSheetId="46">#REF!</definedName>
    <definedName name="Tech_Start1">#REF!</definedName>
    <definedName name="Tech_Start2" localSheetId="58">#REF!</definedName>
    <definedName name="Tech_Start2" localSheetId="46">#REF!</definedName>
    <definedName name="Tech_Start2">#REF!</definedName>
    <definedName name="Tech_Start3" localSheetId="58">#REF!</definedName>
    <definedName name="Tech_Start3" localSheetId="46">#REF!</definedName>
    <definedName name="Tech_Start3">#REF!</definedName>
    <definedName name="Tech_Start4" localSheetId="58">#REF!</definedName>
    <definedName name="Tech_Start4" localSheetId="46">#REF!</definedName>
    <definedName name="Tech_Start4">#REF!</definedName>
    <definedName name="Tech_Start5" localSheetId="58">#REF!</definedName>
    <definedName name="Tech_Start5" localSheetId="46">#REF!</definedName>
    <definedName name="Tech_Start5">#REF!</definedName>
    <definedName name="TextRefCopyRangeCount" hidden="1">3</definedName>
    <definedName name="ti" localSheetId="58">#REF!</definedName>
    <definedName name="ti" localSheetId="29">#REF!</definedName>
    <definedName name="ti" localSheetId="46">#REF!</definedName>
    <definedName name="ti">#REF!</definedName>
    <definedName name="tij" localSheetId="58">#REF!</definedName>
    <definedName name="tij" localSheetId="29">#REF!</definedName>
    <definedName name="tij" localSheetId="46">#REF!</definedName>
    <definedName name="tij">#REF!</definedName>
    <definedName name="TIL" localSheetId="58">#REF!</definedName>
    <definedName name="TIL" localSheetId="29">#REF!</definedName>
    <definedName name="TIL" localSheetId="46">#REF!</definedName>
    <definedName name="TIL">#REF!</definedName>
    <definedName name="tilc" localSheetId="58">#REF!</definedName>
    <definedName name="tilc" localSheetId="46">#REF!</definedName>
    <definedName name="tilc">#REF!</definedName>
    <definedName name="tilj" localSheetId="58">#REF!</definedName>
    <definedName name="tilj" localSheetId="46">#REF!</definedName>
    <definedName name="tilj">#REF!</definedName>
    <definedName name="tilr" localSheetId="58">#REF!</definedName>
    <definedName name="tilr" localSheetId="46">#REF!</definedName>
    <definedName name="tilr">#REF!</definedName>
    <definedName name="tio" localSheetId="58">#REF!</definedName>
    <definedName name="tio" localSheetId="46">#REF!</definedName>
    <definedName name="tio">#REF!</definedName>
    <definedName name="TL" localSheetId="58">[5]Facility!#REF!</definedName>
    <definedName name="TL" localSheetId="29">[5]Facility!#REF!</definedName>
    <definedName name="TL" localSheetId="46">[5]Facility!#REF!</definedName>
    <definedName name="TL">[5]Facility!#REF!</definedName>
    <definedName name="TL_Hrs" localSheetId="58">#REF!</definedName>
    <definedName name="TL_Hrs" localSheetId="29">#REF!</definedName>
    <definedName name="TL_Hrs" localSheetId="46">#REF!</definedName>
    <definedName name="TL_Hrs">#REF!</definedName>
    <definedName name="tra" localSheetId="58">[11]STOCKS!#REF!</definedName>
    <definedName name="tra" localSheetId="29">[11]STOCKS!#REF!</definedName>
    <definedName name="tra" localSheetId="46">[11]STOCKS!#REF!</definedName>
    <definedName name="tra">[11]STOCKS!#REF!</definedName>
    <definedName name="Trips_per_Q_1" localSheetId="58">#REF!</definedName>
    <definedName name="Trips_per_Q_1" localSheetId="29">#REF!</definedName>
    <definedName name="Trips_per_Q_1" localSheetId="46">#REF!</definedName>
    <definedName name="Trips_per_Q_1">#REF!</definedName>
    <definedName name="Trips_per_Q_2" localSheetId="58">#REF!</definedName>
    <definedName name="Trips_per_Q_2" localSheetId="29">#REF!</definedName>
    <definedName name="Trips_per_Q_2" localSheetId="46">#REF!</definedName>
    <definedName name="Trips_per_Q_2">#REF!</definedName>
    <definedName name="Trips_per_Q_3" localSheetId="58">#REF!</definedName>
    <definedName name="Trips_per_Q_3" localSheetId="29">#REF!</definedName>
    <definedName name="Trips_per_Q_3" localSheetId="46">#REF!</definedName>
    <definedName name="Trips_per_Q_3">#REF!</definedName>
    <definedName name="tt" localSheetId="58">#REF!</definedName>
    <definedName name="tt" localSheetId="46">#REF!</definedName>
    <definedName name="tt">#REF!</definedName>
    <definedName name="TTT" localSheetId="58">#REF!</definedName>
    <definedName name="TTT" localSheetId="46">#REF!</definedName>
    <definedName name="TTT">#REF!</definedName>
    <definedName name="tttt" localSheetId="58">#REF!</definedName>
    <definedName name="tttt" localSheetId="46">#REF!</definedName>
    <definedName name="tttt">#REF!</definedName>
    <definedName name="U">[11]CUMAA!$D$261:$D$265</definedName>
    <definedName name="UAE" localSheetId="58">#REF!</definedName>
    <definedName name="UAE" localSheetId="29">#REF!</definedName>
    <definedName name="UAE" localSheetId="46">#REF!</definedName>
    <definedName name="UAE">#REF!</definedName>
    <definedName name="UNIT">[19]Article!$B$137:$P$142</definedName>
    <definedName name="US_Apt_Date1" localSheetId="58">#REF!</definedName>
    <definedName name="US_Apt_Date1" localSheetId="29">#REF!</definedName>
    <definedName name="US_Apt_Date1" localSheetId="46">#REF!</definedName>
    <definedName name="US_Apt_Date1">#REF!</definedName>
    <definedName name="US_Apt_Date2" localSheetId="58">#REF!</definedName>
    <definedName name="US_Apt_Date2" localSheetId="29">#REF!</definedName>
    <definedName name="US_Apt_Date2" localSheetId="46">#REF!</definedName>
    <definedName name="US_Apt_Date2">#REF!</definedName>
    <definedName name="US_Apt_Date3" localSheetId="58">#REF!</definedName>
    <definedName name="US_Apt_Date3" localSheetId="29">#REF!</definedName>
    <definedName name="US_Apt_Date3" localSheetId="46">#REF!</definedName>
    <definedName name="US_Apt_Date3">#REF!</definedName>
    <definedName name="US_Apts1" localSheetId="58">#REF!</definedName>
    <definedName name="US_Apts1" localSheetId="46">#REF!</definedName>
    <definedName name="US_Apts1">#REF!</definedName>
    <definedName name="US_Apts2" localSheetId="58">#REF!</definedName>
    <definedName name="US_Apts2" localSheetId="46">#REF!</definedName>
    <definedName name="US_Apts2">#REF!</definedName>
    <definedName name="US_Apts3" localSheetId="58">#REF!</definedName>
    <definedName name="US_Apts3" localSheetId="46">#REF!</definedName>
    <definedName name="US_Apts3">#REF!</definedName>
    <definedName name="US_Benefits" localSheetId="58">#REF!</definedName>
    <definedName name="US_Benefits" localSheetId="46">#REF!</definedName>
    <definedName name="US_Benefits">#REF!</definedName>
    <definedName name="US_Gross_Area_11th" localSheetId="58">#REF!</definedName>
    <definedName name="US_Gross_Area_11th" localSheetId="46">#REF!</definedName>
    <definedName name="US_Gross_Area_11th">#REF!</definedName>
    <definedName name="US_Gross_Area_12th" localSheetId="58">#REF!</definedName>
    <definedName name="US_Gross_Area_12th" localSheetId="46">#REF!</definedName>
    <definedName name="US_Gross_Area_12th">#REF!</definedName>
    <definedName name="US_Gross_Area_13th" localSheetId="58">#REF!</definedName>
    <definedName name="US_Gross_Area_13th" localSheetId="46">#REF!</definedName>
    <definedName name="US_Gross_Area_13th">#REF!</definedName>
    <definedName name="US_Parking_pp" localSheetId="58">#REF!</definedName>
    <definedName name="US_Parking_pp" localSheetId="46">#REF!</definedName>
    <definedName name="US_Parking_pp">#REF!</definedName>
    <definedName name="US_Pay_Start2" localSheetId="58">#REF!</definedName>
    <definedName name="US_Pay_Start2" localSheetId="46">#REF!</definedName>
    <definedName name="US_Pay_Start2">#REF!</definedName>
    <definedName name="US_Rent_11th" localSheetId="58">#REF!</definedName>
    <definedName name="US_Rent_11th" localSheetId="46">#REF!</definedName>
    <definedName name="US_Rent_11th">#REF!</definedName>
    <definedName name="US_Rent_12th" localSheetId="58">#REF!</definedName>
    <definedName name="US_Rent_12th" localSheetId="46">#REF!</definedName>
    <definedName name="US_Rent_12th">#REF!</definedName>
    <definedName name="US_Rent_13th" localSheetId="58">#REF!</definedName>
    <definedName name="US_Rent_13th" localSheetId="46">#REF!</definedName>
    <definedName name="US_Rent_13th">#REF!</definedName>
    <definedName name="US_Salary_Increase" localSheetId="58">#REF!</definedName>
    <definedName name="US_Salary_Increase" localSheetId="46">#REF!</definedName>
    <definedName name="US_Salary_Increase">#REF!</definedName>
    <definedName name="US_Utilities_11th" localSheetId="58">#REF!</definedName>
    <definedName name="US_Utilities_11th" localSheetId="46">#REF!</definedName>
    <definedName name="US_Utilities_11th">#REF!</definedName>
    <definedName name="US_Utilities_12th" localSheetId="58">#REF!</definedName>
    <definedName name="US_Utilities_12th" localSheetId="46">#REF!</definedName>
    <definedName name="US_Utilities_12th">#REF!</definedName>
    <definedName name="US_Utilities_13th" localSheetId="58">#REF!</definedName>
    <definedName name="US_Utilities_13th" localSheetId="46">#REF!</definedName>
    <definedName name="US_Utilities_13th">#REF!</definedName>
    <definedName name="USA" localSheetId="58">#REF!</definedName>
    <definedName name="USA" localSheetId="46">#REF!</definedName>
    <definedName name="USA">#REF!</definedName>
    <definedName name="VB" localSheetId="58">[5]PAP!#REF!</definedName>
    <definedName name="VB" localSheetId="29">[5]PAP!#REF!</definedName>
    <definedName name="VB" localSheetId="46">[5]PAP!#REF!</definedName>
    <definedName name="VB">[5]PAP!#REF!</definedName>
    <definedName name="vcc">[27]Article!$B$42:$P$45</definedName>
    <definedName name="vs" localSheetId="58">#REF!</definedName>
    <definedName name="vs" localSheetId="29">#REF!</definedName>
    <definedName name="vs" localSheetId="46">#REF!</definedName>
    <definedName name="vs">#REF!</definedName>
    <definedName name="vsa" localSheetId="58">#REF!</definedName>
    <definedName name="vsa" localSheetId="29">#REF!</definedName>
    <definedName name="vsa" localSheetId="46">#REF!</definedName>
    <definedName name="vsa">#REF!</definedName>
    <definedName name="vsj" localSheetId="58">#REF!</definedName>
    <definedName name="vsj" localSheetId="29">#REF!</definedName>
    <definedName name="vsj" localSheetId="46">#REF!</definedName>
    <definedName name="vsj">#REF!</definedName>
    <definedName name="w" localSheetId="58">#REF!</definedName>
    <definedName name="w" localSheetId="46">#REF!</definedName>
    <definedName name="w">#REF!</definedName>
    <definedName name="Working_Actual" localSheetId="58">#REF!</definedName>
    <definedName name="Working_Actual" localSheetId="46">#REF!</definedName>
    <definedName name="Working_Actual">#REF!</definedName>
    <definedName name="Working_Budget" localSheetId="58">#REF!</definedName>
    <definedName name="Working_Budget" localSheetId="46">#REF!</definedName>
    <definedName name="Working_Budget">#REF!</definedName>
    <definedName name="Working_Last_Year" localSheetId="58">#REF!</definedName>
    <definedName name="Working_Last_Year" localSheetId="46">#REF!</definedName>
    <definedName name="Working_Last_Year">#REF!</definedName>
    <definedName name="Workstation_PC" localSheetId="58">#REF!</definedName>
    <definedName name="Workstation_PC" localSheetId="46">#REF!</definedName>
    <definedName name="Workstation_PC">#REF!</definedName>
    <definedName name="Workstation_Software" localSheetId="58">#REF!</definedName>
    <definedName name="Workstation_Software" localSheetId="46">#REF!</definedName>
    <definedName name="Workstation_Software">#REF!</definedName>
    <definedName name="ww" localSheetId="58">#REF!</definedName>
    <definedName name="ww" localSheetId="46">#REF!</definedName>
    <definedName name="ww">#REF!</definedName>
    <definedName name="wwww">'[9]BUD-D.XLS'!$CX$2:$DG$49</definedName>
    <definedName name="x">[28]Article!$B$74:$P$154</definedName>
    <definedName name="XREF_COLUMN_1" localSheetId="58" hidden="1">#REF!</definedName>
    <definedName name="XREF_COLUMN_1" localSheetId="29" hidden="1">#REF!</definedName>
    <definedName name="XREF_COLUMN_1" localSheetId="46" hidden="1">#REF!</definedName>
    <definedName name="XREF_COLUMN_1" hidden="1">#REF!</definedName>
    <definedName name="XREF_COLUMN_2" localSheetId="58" hidden="1">#REF!</definedName>
    <definedName name="XREF_COLUMN_2" localSheetId="29" hidden="1">#REF!</definedName>
    <definedName name="XREF_COLUMN_2" localSheetId="46" hidden="1">#REF!</definedName>
    <definedName name="XREF_COLUMN_2" hidden="1">#REF!</definedName>
    <definedName name="XRefColumnsCount" hidden="1">1</definedName>
    <definedName name="XRefCopy1" localSheetId="58" hidden="1">#REF!</definedName>
    <definedName name="XRefCopy1" localSheetId="29" hidden="1">#REF!</definedName>
    <definedName name="XRefCopy1" localSheetId="46" hidden="1">#REF!</definedName>
    <definedName name="XRefCopy1" hidden="1">#REF!</definedName>
    <definedName name="XRefCopyRangeCount" hidden="1">1</definedName>
    <definedName name="XRefPaste1" localSheetId="58" hidden="1">#REF!</definedName>
    <definedName name="XRefPaste1" localSheetId="46" hidden="1">#REF!</definedName>
    <definedName name="XRefPaste1" hidden="1">#REF!</definedName>
    <definedName name="XRefPaste11" localSheetId="58" hidden="1">#REF!</definedName>
    <definedName name="XRefPaste11" localSheetId="46" hidden="1">#REF!</definedName>
    <definedName name="XRefPaste11" hidden="1">#REF!</definedName>
    <definedName name="XRefPaste12" localSheetId="58" hidden="1">#REF!</definedName>
    <definedName name="XRefPaste12" localSheetId="46" hidden="1">#REF!</definedName>
    <definedName name="XRefPaste12" hidden="1">#REF!</definedName>
    <definedName name="XRefPaste13" localSheetId="58" hidden="1">#REF!</definedName>
    <definedName name="XRefPaste13" localSheetId="46" hidden="1">#REF!</definedName>
    <definedName name="XRefPaste13" hidden="1">#REF!</definedName>
    <definedName name="XRefPaste14" localSheetId="58" hidden="1">#REF!</definedName>
    <definedName name="XRefPaste14" localSheetId="46" hidden="1">#REF!</definedName>
    <definedName name="XRefPaste14" hidden="1">#REF!</definedName>
    <definedName name="XRefPaste15" localSheetId="58" hidden="1">#REF!</definedName>
    <definedName name="XRefPaste15" localSheetId="46" hidden="1">#REF!</definedName>
    <definedName name="XRefPaste15" hidden="1">#REF!</definedName>
    <definedName name="XRefPaste16" localSheetId="58" hidden="1">#REF!</definedName>
    <definedName name="XRefPaste16" localSheetId="46" hidden="1">#REF!</definedName>
    <definedName name="XRefPaste16" hidden="1">#REF!</definedName>
    <definedName name="XRefPaste17" localSheetId="58" hidden="1">#REF!</definedName>
    <definedName name="XRefPaste17" localSheetId="46" hidden="1">#REF!</definedName>
    <definedName name="XRefPaste17" hidden="1">#REF!</definedName>
    <definedName name="XRefPaste18" localSheetId="58" hidden="1">#REF!</definedName>
    <definedName name="XRefPaste18" localSheetId="46" hidden="1">#REF!</definedName>
    <definedName name="XRefPaste18" hidden="1">#REF!</definedName>
    <definedName name="XRefPaste19" localSheetId="58" hidden="1">#REF!</definedName>
    <definedName name="XRefPaste19" localSheetId="46" hidden="1">#REF!</definedName>
    <definedName name="XRefPaste19" hidden="1">#REF!</definedName>
    <definedName name="XRefPaste2" localSheetId="58" hidden="1">#REF!</definedName>
    <definedName name="XRefPaste2" localSheetId="46" hidden="1">#REF!</definedName>
    <definedName name="XRefPaste2" hidden="1">#REF!</definedName>
    <definedName name="XRefPaste20" localSheetId="58" hidden="1">#REF!</definedName>
    <definedName name="XRefPaste20" localSheetId="46" hidden="1">#REF!</definedName>
    <definedName name="XRefPaste20" hidden="1">#REF!</definedName>
    <definedName name="XRefPaste21" localSheetId="58" hidden="1">#REF!</definedName>
    <definedName name="XRefPaste21" localSheetId="46" hidden="1">#REF!</definedName>
    <definedName name="XRefPaste21" hidden="1">#REF!</definedName>
    <definedName name="XRefPaste22" localSheetId="58" hidden="1">#REF!</definedName>
    <definedName name="XRefPaste22" localSheetId="46" hidden="1">#REF!</definedName>
    <definedName name="XRefPaste22" hidden="1">#REF!</definedName>
    <definedName name="XRefPaste23" localSheetId="58" hidden="1">#REF!</definedName>
    <definedName name="XRefPaste23" localSheetId="46" hidden="1">#REF!</definedName>
    <definedName name="XRefPaste23" hidden="1">#REF!</definedName>
    <definedName name="XRefPaste24" localSheetId="58" hidden="1">#REF!</definedName>
    <definedName name="XRefPaste24" localSheetId="46" hidden="1">#REF!</definedName>
    <definedName name="XRefPaste24" hidden="1">#REF!</definedName>
    <definedName name="XRefPaste25" localSheetId="58" hidden="1">#REF!</definedName>
    <definedName name="XRefPaste25" localSheetId="46" hidden="1">#REF!</definedName>
    <definedName name="XRefPaste25" hidden="1">#REF!</definedName>
    <definedName name="XRefPaste26" localSheetId="58" hidden="1">#REF!</definedName>
    <definedName name="XRefPaste26" localSheetId="46" hidden="1">#REF!</definedName>
    <definedName name="XRefPaste26" hidden="1">#REF!</definedName>
    <definedName name="XRefPaste27" localSheetId="58" hidden="1">#REF!</definedName>
    <definedName name="XRefPaste27" localSheetId="46" hidden="1">#REF!</definedName>
    <definedName name="XRefPaste27" hidden="1">#REF!</definedName>
    <definedName name="XRefPaste2Row" localSheetId="58" hidden="1">[29]XREF!#REF!</definedName>
    <definedName name="XRefPaste2Row" localSheetId="29" hidden="1">[29]XREF!#REF!</definedName>
    <definedName name="XRefPaste2Row" localSheetId="46" hidden="1">[29]XREF!#REF!</definedName>
    <definedName name="XRefPaste2Row" hidden="1">[29]XREF!#REF!</definedName>
    <definedName name="XRefPaste3" localSheetId="58" hidden="1">#REF!</definedName>
    <definedName name="XRefPaste3" localSheetId="29" hidden="1">#REF!</definedName>
    <definedName name="XRefPaste3" localSheetId="46" hidden="1">#REF!</definedName>
    <definedName name="XRefPaste3" hidden="1">#REF!</definedName>
    <definedName name="XRefPaste32" localSheetId="58" hidden="1">#REF!</definedName>
    <definedName name="XRefPaste32" localSheetId="29" hidden="1">#REF!</definedName>
    <definedName name="XRefPaste32" localSheetId="46" hidden="1">#REF!</definedName>
    <definedName name="XRefPaste32" hidden="1">#REF!</definedName>
    <definedName name="XRefPaste33" localSheetId="58" hidden="1">#REF!</definedName>
    <definedName name="XRefPaste33" localSheetId="29" hidden="1">#REF!</definedName>
    <definedName name="XRefPaste33" localSheetId="46" hidden="1">#REF!</definedName>
    <definedName name="XRefPaste33" hidden="1">#REF!</definedName>
    <definedName name="XRefPaste34" localSheetId="58" hidden="1">#REF!</definedName>
    <definedName name="XRefPaste34" localSheetId="46" hidden="1">#REF!</definedName>
    <definedName name="XRefPaste34" hidden="1">#REF!</definedName>
    <definedName name="XRefPaste35" localSheetId="58" hidden="1">#REF!</definedName>
    <definedName name="XRefPaste35" localSheetId="46" hidden="1">#REF!</definedName>
    <definedName name="XRefPaste35" hidden="1">#REF!</definedName>
    <definedName name="XRefPaste36" localSheetId="58" hidden="1">#REF!</definedName>
    <definedName name="XRefPaste36" localSheetId="46" hidden="1">#REF!</definedName>
    <definedName name="XRefPaste36" hidden="1">#REF!</definedName>
    <definedName name="XRefPaste37" localSheetId="58" hidden="1">#REF!</definedName>
    <definedName name="XRefPaste37" localSheetId="46" hidden="1">#REF!</definedName>
    <definedName name="XRefPaste37" hidden="1">#REF!</definedName>
    <definedName name="XRefPaste38" localSheetId="58" hidden="1">#REF!</definedName>
    <definedName name="XRefPaste38" localSheetId="46" hidden="1">#REF!</definedName>
    <definedName name="XRefPaste38" hidden="1">#REF!</definedName>
    <definedName name="XRefPaste39" localSheetId="58" hidden="1">#REF!</definedName>
    <definedName name="XRefPaste39" localSheetId="46" hidden="1">#REF!</definedName>
    <definedName name="XRefPaste39" hidden="1">#REF!</definedName>
    <definedName name="XRefPaste3Row" localSheetId="58" hidden="1">[29]XREF!#REF!</definedName>
    <definedName name="XRefPaste3Row" localSheetId="29" hidden="1">[29]XREF!#REF!</definedName>
    <definedName name="XRefPaste3Row" localSheetId="46" hidden="1">[29]XREF!#REF!</definedName>
    <definedName name="XRefPaste3Row" hidden="1">[29]XREF!#REF!</definedName>
    <definedName name="XRefPaste4" localSheetId="58" hidden="1">#REF!</definedName>
    <definedName name="XRefPaste4" localSheetId="29" hidden="1">#REF!</definedName>
    <definedName name="XRefPaste4" localSheetId="46" hidden="1">#REF!</definedName>
    <definedName name="XRefPaste4" hidden="1">#REF!</definedName>
    <definedName name="XRefPaste40" localSheetId="58" hidden="1">#REF!</definedName>
    <definedName name="XRefPaste40" localSheetId="29" hidden="1">#REF!</definedName>
    <definedName name="XRefPaste40" localSheetId="46" hidden="1">#REF!</definedName>
    <definedName name="XRefPaste40" hidden="1">#REF!</definedName>
    <definedName name="XRefPaste41" localSheetId="58" hidden="1">#REF!</definedName>
    <definedName name="XRefPaste41" localSheetId="29" hidden="1">#REF!</definedName>
    <definedName name="XRefPaste41" localSheetId="46" hidden="1">#REF!</definedName>
    <definedName name="XRefPaste41" hidden="1">#REF!</definedName>
    <definedName name="XRefPaste41Row" localSheetId="58" hidden="1">[29]XREF!#REF!</definedName>
    <definedName name="XRefPaste41Row" localSheetId="29" hidden="1">[29]XREF!#REF!</definedName>
    <definedName name="XRefPaste41Row" localSheetId="46" hidden="1">[29]XREF!#REF!</definedName>
    <definedName name="XRefPaste41Row" hidden="1">[29]XREF!#REF!</definedName>
    <definedName name="XRefPaste42" localSheetId="58" hidden="1">#REF!</definedName>
    <definedName name="XRefPaste42" localSheetId="29" hidden="1">#REF!</definedName>
    <definedName name="XRefPaste42" localSheetId="46" hidden="1">#REF!</definedName>
    <definedName name="XRefPaste42" hidden="1">#REF!</definedName>
    <definedName name="XRefPaste43" localSheetId="58" hidden="1">#REF!</definedName>
    <definedName name="XRefPaste43" localSheetId="29" hidden="1">#REF!</definedName>
    <definedName name="XRefPaste43" localSheetId="46" hidden="1">#REF!</definedName>
    <definedName name="XRefPaste43" hidden="1">#REF!</definedName>
    <definedName name="XRefPaste4Row" localSheetId="58" hidden="1">[29]XREF!#REF!</definedName>
    <definedName name="XRefPaste4Row" localSheetId="29" hidden="1">[29]XREF!#REF!</definedName>
    <definedName name="XRefPaste4Row" localSheetId="46" hidden="1">[29]XREF!#REF!</definedName>
    <definedName name="XRefPaste4Row" hidden="1">[29]XREF!#REF!</definedName>
    <definedName name="XRefPaste5" localSheetId="58" hidden="1">#REF!</definedName>
    <definedName name="XRefPaste5" localSheetId="29" hidden="1">#REF!</definedName>
    <definedName name="XRefPaste5" localSheetId="46" hidden="1">#REF!</definedName>
    <definedName name="XRefPaste5" hidden="1">#REF!</definedName>
    <definedName name="XRefPaste5Row" localSheetId="58" hidden="1">[29]XREF!#REF!</definedName>
    <definedName name="XRefPaste5Row" localSheetId="29" hidden="1">[29]XREF!#REF!</definedName>
    <definedName name="XRefPaste5Row" localSheetId="46" hidden="1">[29]XREF!#REF!</definedName>
    <definedName name="XRefPaste5Row" hidden="1">[29]XREF!#REF!</definedName>
    <definedName name="XRefPaste6" localSheetId="58" hidden="1">#REF!</definedName>
    <definedName name="XRefPaste6" localSheetId="29" hidden="1">#REF!</definedName>
    <definedName name="XRefPaste6" localSheetId="46" hidden="1">#REF!</definedName>
    <definedName name="XRefPaste6" hidden="1">#REF!</definedName>
    <definedName name="XRefPaste6Row" localSheetId="58" hidden="1">[29]XREF!#REF!</definedName>
    <definedName name="XRefPaste6Row" localSheetId="29" hidden="1">[29]XREF!#REF!</definedName>
    <definedName name="XRefPaste6Row" localSheetId="46" hidden="1">[29]XREF!#REF!</definedName>
    <definedName name="XRefPaste6Row" hidden="1">[29]XREF!#REF!</definedName>
    <definedName name="XRefPaste7" localSheetId="58" hidden="1">#REF!</definedName>
    <definedName name="XRefPaste7" localSheetId="29" hidden="1">#REF!</definedName>
    <definedName name="XRefPaste7" localSheetId="46" hidden="1">#REF!</definedName>
    <definedName name="XRefPaste7" hidden="1">#REF!</definedName>
    <definedName name="XRefPaste8" localSheetId="58" hidden="1">#REF!</definedName>
    <definedName name="XRefPaste8" localSheetId="29" hidden="1">#REF!</definedName>
    <definedName name="XRefPaste8" localSheetId="46" hidden="1">#REF!</definedName>
    <definedName name="XRefPaste8" hidden="1">#REF!</definedName>
    <definedName name="XRefPaste9" localSheetId="58" hidden="1">#REF!</definedName>
    <definedName name="XRefPaste9" localSheetId="29" hidden="1">#REF!</definedName>
    <definedName name="XRefPaste9" localSheetId="46" hidden="1">#REF!</definedName>
    <definedName name="XRefPaste9" hidden="1">#REF!</definedName>
    <definedName name="XRefPasteRangeCount" hidden="1">43</definedName>
    <definedName name="xx">[28]Article!$B$74:$P$154</definedName>
    <definedName name="Z_9426E38C_13B4_4AE0_934B_D7DFB740B66C_.wvu.PrintArea" localSheetId="4" hidden="1">'policies old'!$A$2:$C$43</definedName>
    <definedName name="Z_9426E38C_13B4_4AE0_934B_D7DFB740B66C_.wvu.PrintTitles" localSheetId="5" hidden="1">'Cash Flow'!$8:$9</definedName>
    <definedName name="Z_9426E38C_13B4_4AE0_934B_D7DFB740B66C_.wvu.PrintTitles" localSheetId="58" hidden="1">CF!$7:$8</definedName>
    <definedName name="Z_E404B47D_A9AC_4475_A047_589A322020CF_.wvu.PrintArea" localSheetId="2" hidden="1">IT!$A$41:$E$67,IT!$A$1:$E$39</definedName>
    <definedName name="Zip" localSheetId="58">#REF!</definedName>
    <definedName name="Zip" localSheetId="29">#REF!</definedName>
    <definedName name="Zip" localSheetId="46">#REF!</definedName>
    <definedName name="Zip">#REF!</definedName>
    <definedName name="zz">'[9]BUD-D.XLS'!$DH$2:$DQ$49</definedName>
  </definedNames>
  <calcPr calcId="191029"/>
  <pivotCaches>
    <pivotCache cacheId="0" r:id="rId97"/>
  </pivotCaches>
  <extLst>
    <ext xmlns:x15="http://schemas.microsoft.com/office/spreadsheetml/2010/11/main" uri="{FCE2AD5D-F65C-4FA6-A056-5C36A1767C68}">
      <x15:dataModel>
        <x15:modelTables>
          <x15:modelTable id="Range" name="Range" connection="WorksheetConnection_FA Register Final!$C$2:$P$15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1" i="25" l="1"/>
  <c r="D19" i="25"/>
  <c r="K3" i="89"/>
  <c r="L8" i="89"/>
  <c r="I3" i="89"/>
  <c r="F15" i="31"/>
  <c r="J53" i="5"/>
  <c r="G62" i="83"/>
  <c r="G13" i="81" l="1"/>
  <c r="G17" i="81"/>
  <c r="E19" i="81"/>
  <c r="G14" i="81" s="1"/>
  <c r="G16" i="81" l="1"/>
  <c r="G12" i="81"/>
  <c r="G15" i="81"/>
  <c r="G18" i="81"/>
  <c r="F14" i="25"/>
  <c r="F13" i="25"/>
  <c r="E47" i="22"/>
  <c r="J187" i="5"/>
  <c r="G145" i="25"/>
  <c r="G138" i="25"/>
  <c r="G135" i="25"/>
  <c r="G133" i="25"/>
  <c r="G130" i="25"/>
  <c r="G129" i="25"/>
  <c r="G124" i="25"/>
  <c r="G121" i="25"/>
  <c r="G118" i="25"/>
  <c r="F116" i="25"/>
  <c r="G107" i="25"/>
  <c r="G104" i="25"/>
  <c r="G101" i="25"/>
  <c r="G43" i="25"/>
  <c r="G40" i="25"/>
  <c r="K316" i="5"/>
  <c r="G39" i="25"/>
  <c r="G23" i="25"/>
  <c r="G24" i="25" s="1"/>
  <c r="G11" i="25"/>
  <c r="D53" i="25"/>
  <c r="E43" i="25"/>
  <c r="E50" i="8"/>
  <c r="E49" i="8"/>
  <c r="E48" i="8"/>
  <c r="E47" i="8"/>
  <c r="E46" i="8"/>
  <c r="E41" i="8"/>
  <c r="E35" i="8"/>
  <c r="E27" i="8"/>
  <c r="E26" i="8"/>
  <c r="E25" i="8"/>
  <c r="E24" i="8"/>
  <c r="E20" i="8"/>
  <c r="E14" i="8"/>
  <c r="E13" i="8"/>
  <c r="D18" i="25"/>
  <c r="D42" i="9"/>
  <c r="D40" i="9"/>
  <c r="D30" i="9"/>
  <c r="D25" i="9"/>
  <c r="D24" i="9"/>
  <c r="D23" i="9"/>
  <c r="D22" i="9"/>
  <c r="D21" i="9"/>
  <c r="D20" i="9"/>
  <c r="D19" i="9"/>
  <c r="E9" i="9"/>
  <c r="D12" i="9"/>
  <c r="D11" i="9"/>
  <c r="C10" i="95"/>
  <c r="B9" i="95"/>
  <c r="J155" i="5" s="1"/>
  <c r="D29" i="22"/>
  <c r="K21" i="32"/>
  <c r="K19" i="32"/>
  <c r="K17" i="32"/>
  <c r="K15" i="32"/>
  <c r="K13" i="32"/>
  <c r="K11" i="32"/>
  <c r="F27" i="32"/>
  <c r="G19" i="32"/>
  <c r="F19" i="32"/>
  <c r="F15" i="32"/>
  <c r="F13" i="32"/>
  <c r="E15" i="32"/>
  <c r="E13" i="32"/>
  <c r="D21" i="32"/>
  <c r="D19" i="32"/>
  <c r="D17" i="32"/>
  <c r="D15" i="32"/>
  <c r="D13" i="32"/>
  <c r="D11" i="32"/>
  <c r="D22" i="22"/>
  <c r="G19" i="81" l="1"/>
  <c r="O14" i="31"/>
  <c r="L21" i="31"/>
  <c r="J23" i="31"/>
  <c r="J21" i="31"/>
  <c r="J19" i="31"/>
  <c r="J17" i="31"/>
  <c r="J15" i="31"/>
  <c r="E27" i="31"/>
  <c r="G21" i="31"/>
  <c r="G17" i="31"/>
  <c r="G15" i="31"/>
  <c r="F23" i="31"/>
  <c r="F22" i="31"/>
  <c r="F21" i="31"/>
  <c r="F20" i="31"/>
  <c r="F19" i="31"/>
  <c r="F17" i="31"/>
  <c r="F13" i="31"/>
  <c r="H21" i="31"/>
  <c r="K53" i="5"/>
  <c r="K51" i="5"/>
  <c r="K50" i="5"/>
  <c r="K46" i="5"/>
  <c r="K45" i="5"/>
  <c r="K44" i="5"/>
  <c r="L42" i="5"/>
  <c r="K56" i="5"/>
  <c r="I14" i="5"/>
  <c r="K14" i="5" s="1"/>
  <c r="I11" i="5"/>
  <c r="K11" i="5" s="1"/>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L276" i="5"/>
  <c r="J304" i="5"/>
  <c r="J303" i="5"/>
  <c r="J302" i="5"/>
  <c r="J301" i="5"/>
  <c r="J300" i="5"/>
  <c r="J298" i="5"/>
  <c r="J297" i="5"/>
  <c r="J296" i="5"/>
  <c r="J295" i="5"/>
  <c r="J294" i="5"/>
  <c r="J293" i="5"/>
  <c r="J292" i="5"/>
  <c r="J291" i="5"/>
  <c r="J290" i="5"/>
  <c r="J289" i="5"/>
  <c r="J287" i="5"/>
  <c r="J285" i="5"/>
  <c r="J283" i="5"/>
  <c r="J282" i="5"/>
  <c r="J281" i="5"/>
  <c r="J278" i="5"/>
  <c r="J277" i="5"/>
  <c r="J276" i="5"/>
  <c r="K270" i="5"/>
  <c r="K268" i="5"/>
  <c r="K267" i="5"/>
  <c r="K266" i="5"/>
  <c r="J270" i="5"/>
  <c r="J269" i="5"/>
  <c r="J268" i="5"/>
  <c r="J266" i="5"/>
  <c r="J257" i="5"/>
  <c r="K257" i="5"/>
  <c r="K253" i="5"/>
  <c r="K246" i="5"/>
  <c r="K245" i="5"/>
  <c r="K244" i="5"/>
  <c r="J245" i="5"/>
  <c r="J246" i="5"/>
  <c r="J238" i="5"/>
  <c r="J237" i="5"/>
  <c r="J236" i="5"/>
  <c r="J235" i="5"/>
  <c r="K238" i="5"/>
  <c r="K236" i="5"/>
  <c r="K235" i="5"/>
  <c r="K228" i="5"/>
  <c r="J228" i="5"/>
  <c r="K221" i="5"/>
  <c r="K219" i="5"/>
  <c r="J221" i="5"/>
  <c r="K211" i="5"/>
  <c r="K210" i="5"/>
  <c r="K208" i="5"/>
  <c r="K205" i="5"/>
  <c r="K204" i="5"/>
  <c r="K203" i="5"/>
  <c r="K57" i="5" l="1"/>
  <c r="K47" i="5"/>
  <c r="K59" i="5" l="1"/>
  <c r="J210" i="5" l="1"/>
  <c r="J208" i="5"/>
  <c r="J205" i="5"/>
  <c r="J203" i="5"/>
  <c r="K191" i="5"/>
  <c r="K190" i="5"/>
  <c r="K187" i="5"/>
  <c r="K186" i="5"/>
  <c r="J191" i="5"/>
  <c r="J190" i="5"/>
  <c r="J186" i="5"/>
  <c r="K179" i="5"/>
  <c r="K178" i="5"/>
  <c r="K171" i="5"/>
  <c r="J171" i="5"/>
  <c r="K163" i="5"/>
  <c r="K162" i="5"/>
  <c r="K155" i="5"/>
  <c r="K145" i="5"/>
  <c r="K110" i="5"/>
  <c r="K102" i="5"/>
  <c r="K99" i="5"/>
  <c r="K98" i="5"/>
  <c r="K96" i="5"/>
  <c r="K95" i="5"/>
  <c r="K92" i="5"/>
  <c r="K91" i="5"/>
  <c r="K90" i="5"/>
  <c r="H35" i="81" l="1"/>
  <c r="J99" i="5"/>
  <c r="J97" i="5"/>
  <c r="J96" i="5"/>
  <c r="J95" i="5"/>
  <c r="J93" i="5"/>
  <c r="J91" i="5"/>
  <c r="J90" i="5"/>
  <c r="K80" i="5"/>
  <c r="E44" i="81" s="1"/>
  <c r="J80" i="5"/>
  <c r="C44" i="81" s="1"/>
  <c r="K71" i="5"/>
  <c r="J71" i="5"/>
  <c r="K64" i="5"/>
  <c r="O45" i="5"/>
  <c r="J64" i="5"/>
  <c r="J44" i="5"/>
  <c r="J50" i="5"/>
  <c r="K198" i="5"/>
  <c r="E124" i="25"/>
  <c r="C12" i="95"/>
  <c r="C20" i="95" s="1"/>
  <c r="C62" i="86"/>
  <c r="D63" i="86" s="1"/>
  <c r="F42" i="8"/>
  <c r="F51" i="8"/>
  <c r="D32" i="82"/>
  <c r="I27" i="31"/>
  <c r="L30" i="8"/>
  <c r="M30" i="8" s="1"/>
  <c r="O30" i="8" s="1"/>
  <c r="L26" i="8"/>
  <c r="L28" i="8" s="1"/>
  <c r="M157" i="5"/>
  <c r="M158" i="5" s="1"/>
  <c r="M146" i="5"/>
  <c r="M147" i="5"/>
  <c r="M148" i="5"/>
  <c r="M149" i="5"/>
  <c r="M150" i="5"/>
  <c r="M151" i="5"/>
  <c r="M152" i="5"/>
  <c r="M153" i="5"/>
  <c r="M154" i="5"/>
  <c r="C42" i="9" l="1"/>
  <c r="H31" i="9"/>
  <c r="H22" i="22"/>
  <c r="H23" i="22" s="1"/>
  <c r="D20" i="22" s="1"/>
  <c r="A3" i="82" l="1"/>
  <c r="G18" i="22" l="1"/>
  <c r="H18" i="22" s="1"/>
  <c r="I18" i="22" s="1"/>
  <c r="D18" i="22" s="1"/>
  <c r="D12" i="91"/>
  <c r="F28" i="8"/>
  <c r="J226" i="5"/>
  <c r="K226" i="5"/>
  <c r="I30" i="81"/>
  <c r="I29" i="81"/>
  <c r="J12" i="8" l="1"/>
  <c r="F30" i="9"/>
  <c r="F10" i="9"/>
  <c r="J353" i="5"/>
  <c r="M349" i="5"/>
  <c r="G342" i="5"/>
  <c r="G339" i="5"/>
  <c r="G338" i="5"/>
  <c r="G335" i="5"/>
  <c r="G334" i="5"/>
  <c r="G333" i="5"/>
  <c r="G332" i="5"/>
  <c r="J342" i="5"/>
  <c r="J334" i="5"/>
  <c r="J332" i="5"/>
  <c r="M332" i="5"/>
  <c r="M316" i="5"/>
  <c r="J305" i="5"/>
  <c r="M277" i="5"/>
  <c r="M265" i="5"/>
  <c r="O252" i="5"/>
  <c r="K247" i="5"/>
  <c r="N244" i="5"/>
  <c r="K222" i="5"/>
  <c r="O220" i="5"/>
  <c r="M203" i="5"/>
  <c r="J198" i="5"/>
  <c r="H37" i="81" s="1"/>
  <c r="N178" i="5"/>
  <c r="N171" i="5"/>
  <c r="N160" i="5"/>
  <c r="K156" i="5"/>
  <c r="E21" i="8" s="1"/>
  <c r="F22" i="8" s="1"/>
  <c r="M110" i="5"/>
  <c r="M94" i="5"/>
  <c r="M73" i="5"/>
  <c r="K65" i="5"/>
  <c r="M64" i="5"/>
  <c r="H47" i="9"/>
  <c r="M45" i="5"/>
  <c r="M25" i="5"/>
  <c r="M11" i="5"/>
  <c r="Q10" i="31"/>
  <c r="N11" i="32" l="1"/>
  <c r="I19" i="32" l="1"/>
  <c r="K114" i="89"/>
  <c r="K115" i="89"/>
  <c r="K116" i="89"/>
  <c r="K117" i="89"/>
  <c r="K118" i="89"/>
  <c r="K119" i="89"/>
  <c r="K120" i="89"/>
  <c r="K121" i="89"/>
  <c r="K122" i="89"/>
  <c r="K123" i="89"/>
  <c r="K124" i="89"/>
  <c r="K125" i="89"/>
  <c r="K126" i="89"/>
  <c r="K127" i="89"/>
  <c r="K128" i="89"/>
  <c r="K129" i="89"/>
  <c r="K130" i="89"/>
  <c r="K131" i="89"/>
  <c r="K132" i="89"/>
  <c r="K133" i="89"/>
  <c r="K134" i="89"/>
  <c r="K135" i="89"/>
  <c r="K136" i="89"/>
  <c r="K137" i="89"/>
  <c r="K138" i="89"/>
  <c r="K139" i="89"/>
  <c r="K140" i="89"/>
  <c r="K141" i="89"/>
  <c r="K142" i="89"/>
  <c r="K143" i="89"/>
  <c r="F125" i="89"/>
  <c r="H125" i="89" s="1"/>
  <c r="I125" i="89" s="1"/>
  <c r="K38" i="92"/>
  <c r="D126" i="86" s="1"/>
  <c r="J299" i="5" s="1"/>
  <c r="L37" i="92"/>
  <c r="M37" i="92" s="1"/>
  <c r="F143" i="89" s="1"/>
  <c r="H143" i="89" s="1"/>
  <c r="I143" i="89" s="1"/>
  <c r="L36" i="92"/>
  <c r="M36" i="92" s="1"/>
  <c r="F142" i="89" s="1"/>
  <c r="H142" i="89" s="1"/>
  <c r="I142" i="89" s="1"/>
  <c r="M35" i="92"/>
  <c r="F141" i="89" s="1"/>
  <c r="H141" i="89" s="1"/>
  <c r="I141" i="89" s="1"/>
  <c r="L35" i="92"/>
  <c r="L34" i="92"/>
  <c r="M34" i="92" s="1"/>
  <c r="F140" i="89" s="1"/>
  <c r="H140" i="89" s="1"/>
  <c r="I140" i="89" s="1"/>
  <c r="L33" i="92"/>
  <c r="M33" i="92" s="1"/>
  <c r="F139" i="89" s="1"/>
  <c r="H139" i="89" s="1"/>
  <c r="I139" i="89" s="1"/>
  <c r="L32" i="92"/>
  <c r="M32" i="92" s="1"/>
  <c r="F138" i="89" s="1"/>
  <c r="H138" i="89" s="1"/>
  <c r="I138" i="89" s="1"/>
  <c r="M31" i="92"/>
  <c r="F137" i="89" s="1"/>
  <c r="H137" i="89" s="1"/>
  <c r="I137" i="89" s="1"/>
  <c r="L31" i="92"/>
  <c r="L30" i="92"/>
  <c r="M30" i="92" s="1"/>
  <c r="F136" i="89" s="1"/>
  <c r="H136" i="89" s="1"/>
  <c r="I136" i="89" s="1"/>
  <c r="L29" i="92"/>
  <c r="M29" i="92" s="1"/>
  <c r="F135" i="89" s="1"/>
  <c r="H135" i="89" s="1"/>
  <c r="I135" i="89" s="1"/>
  <c r="L28" i="92"/>
  <c r="M28" i="92" s="1"/>
  <c r="F134" i="89" s="1"/>
  <c r="H134" i="89" s="1"/>
  <c r="I134" i="89" s="1"/>
  <c r="L27" i="92"/>
  <c r="M27" i="92" s="1"/>
  <c r="F133" i="89" s="1"/>
  <c r="H133" i="89" s="1"/>
  <c r="I133" i="89" s="1"/>
  <c r="L26" i="92"/>
  <c r="M26" i="92" s="1"/>
  <c r="F132" i="89" s="1"/>
  <c r="H132" i="89" s="1"/>
  <c r="I132" i="89" s="1"/>
  <c r="L25" i="92"/>
  <c r="M25" i="92" s="1"/>
  <c r="F131" i="89" s="1"/>
  <c r="H131" i="89" s="1"/>
  <c r="I131" i="89" s="1"/>
  <c r="L24" i="92"/>
  <c r="M24" i="92" s="1"/>
  <c r="F130" i="89" s="1"/>
  <c r="H130" i="89" s="1"/>
  <c r="I130" i="89" s="1"/>
  <c r="L23" i="92"/>
  <c r="M23" i="92" s="1"/>
  <c r="F129" i="89" s="1"/>
  <c r="H129" i="89" s="1"/>
  <c r="I129" i="89" s="1"/>
  <c r="L22" i="92"/>
  <c r="M22" i="92" s="1"/>
  <c r="F128" i="89" s="1"/>
  <c r="H128" i="89" s="1"/>
  <c r="I128" i="89" s="1"/>
  <c r="L21" i="92"/>
  <c r="M21" i="92" s="1"/>
  <c r="F127" i="89" s="1"/>
  <c r="H127" i="89" s="1"/>
  <c r="I127" i="89" s="1"/>
  <c r="L20" i="92"/>
  <c r="M20" i="92" s="1"/>
  <c r="F126" i="89" s="1"/>
  <c r="H126" i="89" s="1"/>
  <c r="I126" i="89" s="1"/>
  <c r="K17" i="92"/>
  <c r="K40" i="92" s="1"/>
  <c r="L16" i="92"/>
  <c r="M16" i="92" s="1"/>
  <c r="L15" i="92"/>
  <c r="M15" i="92" s="1"/>
  <c r="F124" i="89" s="1"/>
  <c r="H124" i="89" s="1"/>
  <c r="I124" i="89" s="1"/>
  <c r="L14" i="92"/>
  <c r="M14" i="92" s="1"/>
  <c r="F123" i="89" s="1"/>
  <c r="H123" i="89" s="1"/>
  <c r="I123" i="89" s="1"/>
  <c r="L13" i="92"/>
  <c r="M13" i="92" s="1"/>
  <c r="F122" i="89" s="1"/>
  <c r="H122" i="89" s="1"/>
  <c r="I122" i="89" s="1"/>
  <c r="L12" i="92"/>
  <c r="M12" i="92" s="1"/>
  <c r="F121" i="89" s="1"/>
  <c r="H121" i="89" s="1"/>
  <c r="I121" i="89" s="1"/>
  <c r="L11" i="92"/>
  <c r="M11" i="92" s="1"/>
  <c r="F120" i="89" s="1"/>
  <c r="H120" i="89" s="1"/>
  <c r="I120" i="89" s="1"/>
  <c r="L10" i="92"/>
  <c r="M10" i="92" s="1"/>
  <c r="F119" i="89" s="1"/>
  <c r="H119" i="89" s="1"/>
  <c r="I119" i="89" s="1"/>
  <c r="L9" i="92"/>
  <c r="M9" i="92" s="1"/>
  <c r="F118" i="89" s="1"/>
  <c r="H118" i="89" s="1"/>
  <c r="I118" i="89" s="1"/>
  <c r="L8" i="92"/>
  <c r="M8" i="92" s="1"/>
  <c r="F117" i="89" s="1"/>
  <c r="H117" i="89" s="1"/>
  <c r="I117" i="89" s="1"/>
  <c r="L7" i="92"/>
  <c r="M7" i="92" s="1"/>
  <c r="F116" i="89" s="1"/>
  <c r="H116" i="89" s="1"/>
  <c r="I116" i="89" s="1"/>
  <c r="L6" i="92"/>
  <c r="M6" i="92" s="1"/>
  <c r="F115" i="89" s="1"/>
  <c r="H115" i="89" s="1"/>
  <c r="I115" i="89" s="1"/>
  <c r="M5" i="92"/>
  <c r="F114" i="89" s="1"/>
  <c r="L5" i="92"/>
  <c r="F56" i="86"/>
  <c r="L188" i="5"/>
  <c r="B104" i="85"/>
  <c r="I32" i="9"/>
  <c r="D121" i="86"/>
  <c r="D101" i="86"/>
  <c r="D53" i="86"/>
  <c r="C31" i="9" l="1"/>
  <c r="D22" i="25"/>
  <c r="L138" i="89"/>
  <c r="M138" i="89" s="1"/>
  <c r="M38" i="92"/>
  <c r="C123" i="86" s="1"/>
  <c r="D125" i="86"/>
  <c r="L116" i="89"/>
  <c r="M116" i="89" s="1"/>
  <c r="L134" i="89"/>
  <c r="M134" i="89" s="1"/>
  <c r="L130" i="89"/>
  <c r="M130" i="89" s="1"/>
  <c r="L124" i="89"/>
  <c r="M124" i="89" s="1"/>
  <c r="L142" i="89"/>
  <c r="M142" i="89" s="1"/>
  <c r="L120" i="89"/>
  <c r="M120" i="89" s="1"/>
  <c r="L140" i="89"/>
  <c r="M140" i="89" s="1"/>
  <c r="L126" i="89"/>
  <c r="M126" i="89" s="1"/>
  <c r="L122" i="89"/>
  <c r="M122" i="89" s="1"/>
  <c r="L118" i="89"/>
  <c r="M118" i="89" s="1"/>
  <c r="L114" i="89"/>
  <c r="M114" i="89" s="1"/>
  <c r="H114" i="89"/>
  <c r="I114" i="89" s="1"/>
  <c r="L136" i="89"/>
  <c r="M136" i="89" s="1"/>
  <c r="L132" i="89"/>
  <c r="M132" i="89" s="1"/>
  <c r="L128" i="89"/>
  <c r="M128" i="89" s="1"/>
  <c r="L143" i="89"/>
  <c r="M143" i="89" s="1"/>
  <c r="L141" i="89"/>
  <c r="M141" i="89" s="1"/>
  <c r="L139" i="89"/>
  <c r="M139" i="89" s="1"/>
  <c r="L137" i="89"/>
  <c r="M137" i="89" s="1"/>
  <c r="L135" i="89"/>
  <c r="M135" i="89" s="1"/>
  <c r="L133" i="89"/>
  <c r="M133" i="89" s="1"/>
  <c r="L131" i="89"/>
  <c r="M131" i="89" s="1"/>
  <c r="L129" i="89"/>
  <c r="M129" i="89" s="1"/>
  <c r="L127" i="89"/>
  <c r="M127" i="89" s="1"/>
  <c r="L125" i="89"/>
  <c r="M125" i="89" s="1"/>
  <c r="L123" i="89"/>
  <c r="M123" i="89" s="1"/>
  <c r="L121" i="89"/>
  <c r="M121" i="89" s="1"/>
  <c r="L119" i="89"/>
  <c r="M119" i="89" s="1"/>
  <c r="L117" i="89"/>
  <c r="M117" i="89" s="1"/>
  <c r="L115" i="89"/>
  <c r="M115" i="89" s="1"/>
  <c r="C124" i="86" l="1"/>
  <c r="M342" i="5"/>
  <c r="M343" i="5" s="1"/>
  <c r="A12" i="86"/>
  <c r="N345" i="5" l="1"/>
  <c r="N344" i="5" s="1"/>
  <c r="D115" i="86"/>
  <c r="D114" i="86"/>
  <c r="F20" i="9"/>
  <c r="F21" i="9" s="1"/>
  <c r="F22" i="9" s="1"/>
  <c r="D118" i="86"/>
  <c r="C3" i="86"/>
  <c r="K307" i="5"/>
  <c r="B111" i="86"/>
  <c r="C113" i="86" s="1"/>
  <c r="C86" i="86"/>
  <c r="D98" i="86"/>
  <c r="D94" i="86"/>
  <c r="J204" i="5" l="1"/>
  <c r="J244" i="5"/>
  <c r="G27" i="32"/>
  <c r="L191" i="5"/>
  <c r="F19" i="9" l="1"/>
  <c r="A41" i="82"/>
  <c r="A42" i="82"/>
  <c r="A40" i="82"/>
  <c r="N339" i="5"/>
  <c r="J339" i="5" s="1"/>
  <c r="N338" i="5"/>
  <c r="J338" i="5" s="1"/>
  <c r="M339" i="5" l="1"/>
  <c r="M338" i="5"/>
  <c r="L48" i="8" l="1"/>
  <c r="F52" i="86" l="1"/>
  <c r="J81" i="5"/>
  <c r="F22" i="84"/>
  <c r="D90" i="86"/>
  <c r="J288" i="5" l="1"/>
  <c r="L15" i="8"/>
  <c r="D87" i="86"/>
  <c r="A86" i="86"/>
  <c r="D14" i="91"/>
  <c r="D17" i="22" s="1"/>
  <c r="B5" i="91"/>
  <c r="B6" i="91" s="1"/>
  <c r="B7" i="91" s="1"/>
  <c r="B8" i="91" s="1"/>
  <c r="B9" i="91" s="1"/>
  <c r="B10" i="91" s="1"/>
  <c r="E29" i="22"/>
  <c r="W113" i="89"/>
  <c r="W8" i="89"/>
  <c r="J178" i="5" l="1"/>
  <c r="E27" i="81" s="1"/>
  <c r="U130" i="90"/>
  <c r="V149" i="89"/>
  <c r="V13" i="31"/>
  <c r="T150" i="89"/>
  <c r="T113" i="89"/>
  <c r="T8" i="89"/>
  <c r="J130" i="90"/>
  <c r="I130" i="90"/>
  <c r="J129" i="90"/>
  <c r="I129" i="90"/>
  <c r="H129" i="90"/>
  <c r="G129" i="90"/>
  <c r="M128" i="90"/>
  <c r="U128" i="90" s="1"/>
  <c r="M127" i="90"/>
  <c r="U127" i="90" s="1"/>
  <c r="M126" i="90"/>
  <c r="U126" i="90" s="1"/>
  <c r="M125" i="90"/>
  <c r="M124" i="90"/>
  <c r="U124" i="90" s="1"/>
  <c r="M123" i="90"/>
  <c r="N123" i="90" s="1"/>
  <c r="M122" i="90"/>
  <c r="N122" i="90" s="1"/>
  <c r="H121" i="90"/>
  <c r="M121" i="90" s="1"/>
  <c r="N121" i="90" s="1"/>
  <c r="J120" i="90"/>
  <c r="I120" i="90"/>
  <c r="J119" i="90"/>
  <c r="I119" i="90"/>
  <c r="J118" i="90"/>
  <c r="I118" i="90"/>
  <c r="H117" i="90"/>
  <c r="M117" i="90" s="1"/>
  <c r="H116" i="90"/>
  <c r="M116" i="90" s="1"/>
  <c r="U116" i="90" s="1"/>
  <c r="H115" i="90"/>
  <c r="M115" i="90" s="1"/>
  <c r="N115" i="90" s="1"/>
  <c r="J114" i="90"/>
  <c r="I114" i="90"/>
  <c r="M113" i="90"/>
  <c r="N113" i="90" s="1"/>
  <c r="J112" i="90"/>
  <c r="I112" i="90"/>
  <c r="M111" i="90"/>
  <c r="N111" i="90" s="1"/>
  <c r="M110" i="90"/>
  <c r="N110" i="90" s="1"/>
  <c r="J109" i="90"/>
  <c r="I109" i="90"/>
  <c r="H108" i="90"/>
  <c r="M108" i="90" s="1"/>
  <c r="J107" i="90"/>
  <c r="I107" i="90"/>
  <c r="J106" i="90"/>
  <c r="I106" i="90"/>
  <c r="J105" i="90"/>
  <c r="I105" i="90"/>
  <c r="H104" i="90"/>
  <c r="M104" i="90" s="1"/>
  <c r="J103" i="90"/>
  <c r="I103" i="90"/>
  <c r="J102" i="90"/>
  <c r="I102" i="90"/>
  <c r="J101" i="90"/>
  <c r="I101" i="90"/>
  <c r="J100" i="90"/>
  <c r="I100" i="90"/>
  <c r="M99" i="90"/>
  <c r="N99" i="90" s="1"/>
  <c r="J98" i="90"/>
  <c r="I98" i="90"/>
  <c r="J97" i="90"/>
  <c r="I97" i="90"/>
  <c r="M96" i="90"/>
  <c r="N96" i="90" s="1"/>
  <c r="M95" i="90"/>
  <c r="N95" i="90" s="1"/>
  <c r="M94" i="90"/>
  <c r="U94" i="90" s="1"/>
  <c r="J93" i="90"/>
  <c r="I93" i="90"/>
  <c r="J92" i="90"/>
  <c r="I92" i="90"/>
  <c r="H91" i="90"/>
  <c r="M91" i="90" s="1"/>
  <c r="N91" i="90" s="1"/>
  <c r="J90" i="90"/>
  <c r="I90" i="90"/>
  <c r="J89" i="90"/>
  <c r="I89" i="90"/>
  <c r="H88" i="90"/>
  <c r="M88" i="90" s="1"/>
  <c r="U88" i="90" s="1"/>
  <c r="J87" i="90"/>
  <c r="I87" i="90"/>
  <c r="M86" i="90"/>
  <c r="N86" i="90" s="1"/>
  <c r="M85" i="90"/>
  <c r="N85" i="90" s="1"/>
  <c r="H84" i="90"/>
  <c r="M84" i="90" s="1"/>
  <c r="J83" i="90"/>
  <c r="I83" i="90"/>
  <c r="H82" i="90"/>
  <c r="M82" i="90" s="1"/>
  <c r="N82" i="90" s="1"/>
  <c r="J81" i="90"/>
  <c r="I81" i="90"/>
  <c r="H80" i="90"/>
  <c r="M80" i="90" s="1"/>
  <c r="N80" i="90" s="1"/>
  <c r="M79" i="90"/>
  <c r="N79" i="90" s="1"/>
  <c r="M78" i="90"/>
  <c r="J77" i="90"/>
  <c r="I77" i="90"/>
  <c r="J76" i="90"/>
  <c r="I76" i="90"/>
  <c r="M75" i="90"/>
  <c r="N75" i="90" s="1"/>
  <c r="H74" i="90"/>
  <c r="M74" i="90" s="1"/>
  <c r="N74" i="90" s="1"/>
  <c r="H73" i="90"/>
  <c r="M73" i="90" s="1"/>
  <c r="N73" i="90" s="1"/>
  <c r="M72" i="90"/>
  <c r="M71" i="90"/>
  <c r="N71" i="90" s="1"/>
  <c r="M70" i="90"/>
  <c r="N70" i="90" s="1"/>
  <c r="M69" i="90"/>
  <c r="N69" i="90" s="1"/>
  <c r="H68" i="90"/>
  <c r="M68" i="90" s="1"/>
  <c r="H67" i="90"/>
  <c r="M67" i="90" s="1"/>
  <c r="N67" i="90" s="1"/>
  <c r="J66" i="90"/>
  <c r="I66" i="90"/>
  <c r="J65" i="90"/>
  <c r="I65" i="90"/>
  <c r="H64" i="90"/>
  <c r="M64" i="90" s="1"/>
  <c r="N64" i="90" s="1"/>
  <c r="H63" i="90"/>
  <c r="M63" i="90" s="1"/>
  <c r="N63" i="90" s="1"/>
  <c r="H62" i="90"/>
  <c r="M62" i="90" s="1"/>
  <c r="H61" i="90"/>
  <c r="M61" i="90" s="1"/>
  <c r="N61" i="90" s="1"/>
  <c r="H60" i="90"/>
  <c r="M60" i="90" s="1"/>
  <c r="N60" i="90" s="1"/>
  <c r="H59" i="90"/>
  <c r="M59" i="90" s="1"/>
  <c r="N59" i="90" s="1"/>
  <c r="J58" i="90"/>
  <c r="I58" i="90"/>
  <c r="J57" i="90"/>
  <c r="I57" i="90"/>
  <c r="M56" i="90"/>
  <c r="M55" i="90"/>
  <c r="N55" i="90" s="1"/>
  <c r="J54" i="90"/>
  <c r="I54" i="90"/>
  <c r="J53" i="90"/>
  <c r="I53" i="90"/>
  <c r="J52" i="90"/>
  <c r="I52" i="90"/>
  <c r="J51" i="90"/>
  <c r="I51" i="90"/>
  <c r="J50" i="90"/>
  <c r="I50" i="90"/>
  <c r="J49" i="90"/>
  <c r="I49" i="90"/>
  <c r="M48" i="90"/>
  <c r="N48" i="90" s="1"/>
  <c r="M47" i="90"/>
  <c r="N47" i="90" s="1"/>
  <c r="M46" i="90"/>
  <c r="H45" i="90"/>
  <c r="M45" i="90" s="1"/>
  <c r="N45" i="90" s="1"/>
  <c r="M44" i="90"/>
  <c r="M43" i="90"/>
  <c r="N43" i="90" s="1"/>
  <c r="J42" i="90"/>
  <c r="I42" i="90"/>
  <c r="J41" i="90"/>
  <c r="I41" i="90"/>
  <c r="H40" i="90"/>
  <c r="M40" i="90" s="1"/>
  <c r="N40" i="90" s="1"/>
  <c r="J39" i="90"/>
  <c r="I39" i="90"/>
  <c r="J38" i="90"/>
  <c r="I38" i="90"/>
  <c r="M37" i="90"/>
  <c r="N37" i="90" s="1"/>
  <c r="M36" i="90"/>
  <c r="M35" i="90"/>
  <c r="N35" i="90" s="1"/>
  <c r="M34" i="90"/>
  <c r="N34" i="90" s="1"/>
  <c r="M33" i="90"/>
  <c r="M32" i="90"/>
  <c r="J31" i="90"/>
  <c r="I31" i="90"/>
  <c r="J30" i="90"/>
  <c r="I30" i="90"/>
  <c r="J29" i="90"/>
  <c r="I29" i="90"/>
  <c r="H28" i="90"/>
  <c r="M28" i="90" s="1"/>
  <c r="H27" i="90"/>
  <c r="M27" i="90" s="1"/>
  <c r="N27" i="90" s="1"/>
  <c r="H26" i="90"/>
  <c r="M26" i="90" s="1"/>
  <c r="N26" i="90" s="1"/>
  <c r="J25" i="90"/>
  <c r="I25" i="90"/>
  <c r="J24" i="90"/>
  <c r="I24" i="90"/>
  <c r="J23" i="90"/>
  <c r="I23" i="90"/>
  <c r="J22" i="90"/>
  <c r="I22" i="90"/>
  <c r="H21" i="90"/>
  <c r="M21" i="90" s="1"/>
  <c r="N21" i="90" s="1"/>
  <c r="H20" i="90"/>
  <c r="M20" i="90" s="1"/>
  <c r="J19" i="90"/>
  <c r="I19" i="90"/>
  <c r="J18" i="90"/>
  <c r="I18" i="90"/>
  <c r="J17" i="90"/>
  <c r="I17" i="90"/>
  <c r="H16" i="90"/>
  <c r="M16" i="90" s="1"/>
  <c r="N16" i="90" s="1"/>
  <c r="H15" i="90"/>
  <c r="M15" i="90" s="1"/>
  <c r="N15" i="90" s="1"/>
  <c r="J14" i="90"/>
  <c r="I14" i="90"/>
  <c r="J13" i="90"/>
  <c r="I13" i="90"/>
  <c r="J12" i="90"/>
  <c r="I12" i="90"/>
  <c r="J11" i="90"/>
  <c r="I11" i="90"/>
  <c r="M11" i="90" l="1"/>
  <c r="N11" i="90" s="1"/>
  <c r="M13" i="90"/>
  <c r="M23" i="90"/>
  <c r="N23" i="90" s="1"/>
  <c r="M25" i="90"/>
  <c r="U25" i="90" s="1"/>
  <c r="M42" i="90"/>
  <c r="N42" i="90" s="1"/>
  <c r="M92" i="90"/>
  <c r="M129" i="90"/>
  <c r="U129" i="90" s="1"/>
  <c r="M30" i="90"/>
  <c r="N30" i="90" s="1"/>
  <c r="M39" i="90"/>
  <c r="N39" i="90" s="1"/>
  <c r="N132" i="90"/>
  <c r="M100" i="90"/>
  <c r="N100" i="90" s="1"/>
  <c r="M102" i="90"/>
  <c r="U102" i="90" s="1"/>
  <c r="U74" i="90"/>
  <c r="U91" i="90"/>
  <c r="U55" i="90"/>
  <c r="M41" i="90"/>
  <c r="N41" i="90" s="1"/>
  <c r="M54" i="90"/>
  <c r="N54" i="90" s="1"/>
  <c r="M57" i="90"/>
  <c r="N57" i="90" s="1"/>
  <c r="M66" i="90"/>
  <c r="U34" i="90"/>
  <c r="U115" i="90"/>
  <c r="U35" i="90"/>
  <c r="U113" i="90"/>
  <c r="U86" i="90"/>
  <c r="U70" i="90"/>
  <c r="U110" i="90"/>
  <c r="U82" i="90"/>
  <c r="U67" i="90"/>
  <c r="U45" i="90"/>
  <c r="U26" i="90"/>
  <c r="U59" i="90"/>
  <c r="M77" i="90"/>
  <c r="N77" i="90" s="1"/>
  <c r="M106" i="90"/>
  <c r="U106" i="90" s="1"/>
  <c r="M76" i="90"/>
  <c r="N76" i="90" s="1"/>
  <c r="M98" i="90"/>
  <c r="U98" i="90" s="1"/>
  <c r="M109" i="90"/>
  <c r="N109" i="90" s="1"/>
  <c r="M112" i="90"/>
  <c r="N112" i="90" s="1"/>
  <c r="M118" i="90"/>
  <c r="N118" i="90" s="1"/>
  <c r="M120" i="90"/>
  <c r="U120" i="90" s="1"/>
  <c r="U121" i="90"/>
  <c r="U99" i="90"/>
  <c r="U79" i="90"/>
  <c r="U61" i="90"/>
  <c r="U42" i="90"/>
  <c r="U23" i="90"/>
  <c r="N68" i="90"/>
  <c r="U68" i="90"/>
  <c r="N46" i="90"/>
  <c r="U46" i="90"/>
  <c r="N56" i="90"/>
  <c r="U56" i="90"/>
  <c r="N62" i="90"/>
  <c r="U62" i="90"/>
  <c r="N92" i="90"/>
  <c r="U92" i="90"/>
  <c r="N104" i="90"/>
  <c r="U104" i="90"/>
  <c r="N106" i="90"/>
  <c r="N108" i="90"/>
  <c r="U108" i="90"/>
  <c r="N117" i="90"/>
  <c r="U117" i="90"/>
  <c r="U122" i="90"/>
  <c r="N66" i="90"/>
  <c r="U66" i="90"/>
  <c r="N72" i="90"/>
  <c r="U72" i="90"/>
  <c r="N78" i="90"/>
  <c r="U78" i="90"/>
  <c r="N84" i="90"/>
  <c r="U84" i="90"/>
  <c r="M87" i="90"/>
  <c r="U87" i="90" s="1"/>
  <c r="N98" i="90"/>
  <c r="N120" i="90"/>
  <c r="U111" i="90"/>
  <c r="U75" i="90"/>
  <c r="U43" i="90"/>
  <c r="N32" i="90"/>
  <c r="U32" i="90"/>
  <c r="N36" i="90"/>
  <c r="U36" i="90"/>
  <c r="U44" i="90"/>
  <c r="N44" i="90"/>
  <c r="U95" i="90"/>
  <c r="U63" i="90"/>
  <c r="N13" i="90"/>
  <c r="U13" i="90"/>
  <c r="N20" i="90"/>
  <c r="U20" i="90"/>
  <c r="N25" i="90"/>
  <c r="N28" i="90"/>
  <c r="U28" i="90"/>
  <c r="N33" i="90"/>
  <c r="U33" i="90"/>
  <c r="N125" i="90"/>
  <c r="U125" i="90"/>
  <c r="U11" i="90"/>
  <c r="U123" i="90"/>
  <c r="U71" i="90"/>
  <c r="U47" i="90"/>
  <c r="U27" i="90"/>
  <c r="U15" i="90"/>
  <c r="M52" i="90"/>
  <c r="U85" i="90"/>
  <c r="U73" i="90"/>
  <c r="U69" i="90"/>
  <c r="U37" i="90"/>
  <c r="U21" i="90"/>
  <c r="M38" i="90"/>
  <c r="M49" i="90"/>
  <c r="M53" i="90"/>
  <c r="M58" i="90"/>
  <c r="M65" i="90"/>
  <c r="M93" i="90"/>
  <c r="U93" i="90" s="1"/>
  <c r="N124" i="90"/>
  <c r="U96" i="90"/>
  <c r="U80" i="90"/>
  <c r="U64" i="90"/>
  <c r="U60" i="90"/>
  <c r="U48" i="90"/>
  <c r="U40" i="90"/>
  <c r="U16" i="90"/>
  <c r="M51" i="90"/>
  <c r="M83" i="90"/>
  <c r="U83" i="90" s="1"/>
  <c r="M101" i="90"/>
  <c r="M103" i="90"/>
  <c r="M12" i="90"/>
  <c r="M14" i="90"/>
  <c r="M29" i="90"/>
  <c r="M31" i="90"/>
  <c r="M50" i="90"/>
  <c r="M81" i="90"/>
  <c r="M97" i="90"/>
  <c r="M105" i="90"/>
  <c r="M107" i="90"/>
  <c r="M18" i="90"/>
  <c r="M90" i="90"/>
  <c r="M17" i="90"/>
  <c r="M19" i="90"/>
  <c r="M22" i="90"/>
  <c r="M24" i="90"/>
  <c r="M89" i="90"/>
  <c r="M114" i="90"/>
  <c r="M119" i="90"/>
  <c r="L37" i="32"/>
  <c r="M29" i="32"/>
  <c r="M30" i="32" s="1"/>
  <c r="M31" i="32" s="1"/>
  <c r="U30" i="90" l="1"/>
  <c r="N102" i="90"/>
  <c r="U100" i="90"/>
  <c r="U39" i="90"/>
  <c r="U41" i="90"/>
  <c r="U57" i="90"/>
  <c r="U118" i="90"/>
  <c r="U112" i="90"/>
  <c r="U76" i="90"/>
  <c r="U54" i="90"/>
  <c r="U109" i="90"/>
  <c r="U77" i="90"/>
  <c r="N24" i="90"/>
  <c r="U24" i="90"/>
  <c r="N90" i="90"/>
  <c r="U90" i="90"/>
  <c r="N31" i="90"/>
  <c r="U31" i="90"/>
  <c r="N103" i="90"/>
  <c r="U103" i="90"/>
  <c r="N49" i="90"/>
  <c r="U49" i="90"/>
  <c r="N119" i="90"/>
  <c r="U119" i="90"/>
  <c r="N22" i="90"/>
  <c r="U22" i="90"/>
  <c r="N18" i="90"/>
  <c r="U18" i="90"/>
  <c r="N97" i="90"/>
  <c r="U97" i="90"/>
  <c r="N29" i="90"/>
  <c r="U29" i="90"/>
  <c r="N101" i="90"/>
  <c r="U101" i="90"/>
  <c r="N65" i="90"/>
  <c r="U65" i="90"/>
  <c r="N38" i="90"/>
  <c r="U38" i="90"/>
  <c r="N114" i="90"/>
  <c r="U114" i="90"/>
  <c r="N19" i="90"/>
  <c r="U19" i="90"/>
  <c r="N107" i="90"/>
  <c r="U107" i="90"/>
  <c r="N81" i="90"/>
  <c r="U81" i="90"/>
  <c r="N14" i="90"/>
  <c r="U14" i="90"/>
  <c r="N58" i="90"/>
  <c r="U58" i="90"/>
  <c r="N89" i="90"/>
  <c r="U89" i="90"/>
  <c r="N17" i="90"/>
  <c r="U17" i="90"/>
  <c r="N105" i="90"/>
  <c r="U105" i="90"/>
  <c r="N50" i="90"/>
  <c r="U50" i="90"/>
  <c r="N12" i="90"/>
  <c r="U12" i="90"/>
  <c r="N51" i="90"/>
  <c r="U51" i="90"/>
  <c r="N53" i="90"/>
  <c r="U53" i="90"/>
  <c r="N52" i="90"/>
  <c r="U52" i="90"/>
  <c r="N131" i="90" l="1"/>
  <c r="O132" i="90" s="1"/>
  <c r="J68" i="86"/>
  <c r="H13" i="31"/>
  <c r="L26" i="31"/>
  <c r="J69" i="86"/>
  <c r="D80" i="86" l="1"/>
  <c r="E80" i="86" s="1"/>
  <c r="D99" i="25"/>
  <c r="J48" i="8"/>
  <c r="J27" i="31"/>
  <c r="K27" i="31" s="1"/>
  <c r="Q21" i="31"/>
  <c r="N70" i="86"/>
  <c r="F184" i="89"/>
  <c r="H183" i="89"/>
  <c r="I183" i="89" s="1"/>
  <c r="N183" i="89" s="1"/>
  <c r="O183" i="89" s="1"/>
  <c r="N159" i="89"/>
  <c r="C79" i="86" l="1"/>
  <c r="M159" i="89"/>
  <c r="A37" i="86"/>
  <c r="A42" i="86" s="1"/>
  <c r="A55" i="86" s="1"/>
  <c r="A58" i="86" s="1"/>
  <c r="A62" i="86" s="1"/>
  <c r="A65" i="86" s="1"/>
  <c r="J145" i="5"/>
  <c r="C24" i="9" l="1"/>
  <c r="H24" i="9" s="1"/>
  <c r="L12" i="80"/>
  <c r="M145" i="5"/>
  <c r="M142" i="5"/>
  <c r="C58" i="86"/>
  <c r="J220" i="5" s="1"/>
  <c r="D56" i="86"/>
  <c r="J219" i="5" l="1"/>
  <c r="F57" i="86"/>
  <c r="I22" i="25"/>
  <c r="D43" i="86" l="1"/>
  <c r="C37" i="86"/>
  <c r="D35" i="86"/>
  <c r="J92" i="5" l="1"/>
  <c r="J209" i="5"/>
  <c r="J102" i="5"/>
  <c r="F49" i="22"/>
  <c r="O32" i="83" l="1"/>
  <c r="G42" i="25"/>
  <c r="G45" i="25" s="1"/>
  <c r="G123" i="25" l="1"/>
  <c r="G127" i="25" s="1"/>
  <c r="O21" i="31"/>
  <c r="O19" i="31"/>
  <c r="O17" i="31"/>
  <c r="O15" i="31"/>
  <c r="O23" i="31"/>
  <c r="H26" i="31"/>
  <c r="J26" i="31"/>
  <c r="F26" i="31"/>
  <c r="O11" i="31"/>
  <c r="C86" i="79"/>
  <c r="G26" i="31"/>
  <c r="G27" i="31" s="1"/>
  <c r="L246" i="89"/>
  <c r="N246" i="89" s="1"/>
  <c r="P246" i="89" s="1"/>
  <c r="H246" i="89"/>
  <c r="I246" i="89" s="1"/>
  <c r="L245" i="89"/>
  <c r="N245" i="89" s="1"/>
  <c r="P245" i="89" s="1"/>
  <c r="H245" i="89"/>
  <c r="I245" i="89" s="1"/>
  <c r="P244" i="89"/>
  <c r="P243" i="89"/>
  <c r="L242" i="89"/>
  <c r="N242" i="89" s="1"/>
  <c r="P242" i="89" s="1"/>
  <c r="H242" i="89"/>
  <c r="I242" i="89" s="1"/>
  <c r="L241" i="89"/>
  <c r="N241" i="89" s="1"/>
  <c r="P241" i="89" s="1"/>
  <c r="H241" i="89"/>
  <c r="I241" i="89" s="1"/>
  <c r="L240" i="89"/>
  <c r="N240" i="89" s="1"/>
  <c r="P240" i="89" s="1"/>
  <c r="H240" i="89"/>
  <c r="I240" i="89" s="1"/>
  <c r="L239" i="89"/>
  <c r="N239" i="89" s="1"/>
  <c r="P239" i="89" s="1"/>
  <c r="H239" i="89"/>
  <c r="I239" i="89" s="1"/>
  <c r="L238" i="89"/>
  <c r="N238" i="89" s="1"/>
  <c r="P238" i="89" s="1"/>
  <c r="H238" i="89"/>
  <c r="I238" i="89" s="1"/>
  <c r="L237" i="89"/>
  <c r="N237" i="89" s="1"/>
  <c r="P237" i="89" s="1"/>
  <c r="H237" i="89"/>
  <c r="I237" i="89" s="1"/>
  <c r="L236" i="89"/>
  <c r="N236" i="89" s="1"/>
  <c r="P236" i="89" s="1"/>
  <c r="H236" i="89"/>
  <c r="I236" i="89" s="1"/>
  <c r="L235" i="89"/>
  <c r="N235" i="89" s="1"/>
  <c r="P235" i="89" s="1"/>
  <c r="H235" i="89"/>
  <c r="I235" i="89" s="1"/>
  <c r="L234" i="89"/>
  <c r="N234" i="89" s="1"/>
  <c r="P234" i="89" s="1"/>
  <c r="H234" i="89"/>
  <c r="I234" i="89" s="1"/>
  <c r="L233" i="89"/>
  <c r="N233" i="89" s="1"/>
  <c r="P233" i="89" s="1"/>
  <c r="H233" i="89"/>
  <c r="I233" i="89" s="1"/>
  <c r="L232" i="89"/>
  <c r="N232" i="89" s="1"/>
  <c r="P232" i="89" s="1"/>
  <c r="H232" i="89"/>
  <c r="I232" i="89" s="1"/>
  <c r="L231" i="89"/>
  <c r="N231" i="89" s="1"/>
  <c r="P231" i="89" s="1"/>
  <c r="H231" i="89"/>
  <c r="I231" i="89" s="1"/>
  <c r="L230" i="89"/>
  <c r="N230" i="89" s="1"/>
  <c r="P230" i="89" s="1"/>
  <c r="H230" i="89"/>
  <c r="I230" i="89" s="1"/>
  <c r="L229" i="89"/>
  <c r="N229" i="89" s="1"/>
  <c r="P229" i="89" s="1"/>
  <c r="H229" i="89"/>
  <c r="I229" i="89" s="1"/>
  <c r="L228" i="89"/>
  <c r="N228" i="89" s="1"/>
  <c r="P228" i="89" s="1"/>
  <c r="H228" i="89"/>
  <c r="I228" i="89" s="1"/>
  <c r="L227" i="89"/>
  <c r="N227" i="89" s="1"/>
  <c r="P227" i="89" s="1"/>
  <c r="H227" i="89"/>
  <c r="I227" i="89" s="1"/>
  <c r="L226" i="89"/>
  <c r="N226" i="89" s="1"/>
  <c r="P226" i="89" s="1"/>
  <c r="H226" i="89"/>
  <c r="I226" i="89" s="1"/>
  <c r="L225" i="89"/>
  <c r="N225" i="89" s="1"/>
  <c r="P225" i="89" s="1"/>
  <c r="H225" i="89"/>
  <c r="I225" i="89" s="1"/>
  <c r="L224" i="89"/>
  <c r="N224" i="89" s="1"/>
  <c r="P224" i="89" s="1"/>
  <c r="H224" i="89"/>
  <c r="I224" i="89" s="1"/>
  <c r="L223" i="89"/>
  <c r="N223" i="89" s="1"/>
  <c r="P223" i="89" s="1"/>
  <c r="H223" i="89"/>
  <c r="I223" i="89" s="1"/>
  <c r="L222" i="89"/>
  <c r="N222" i="89" s="1"/>
  <c r="P222" i="89" s="1"/>
  <c r="H222" i="89"/>
  <c r="I222" i="89" s="1"/>
  <c r="L221" i="89"/>
  <c r="N221" i="89" s="1"/>
  <c r="P221" i="89" s="1"/>
  <c r="H221" i="89"/>
  <c r="I221" i="89" s="1"/>
  <c r="L220" i="89"/>
  <c r="N220" i="89" s="1"/>
  <c r="P220" i="89" s="1"/>
  <c r="H220" i="89"/>
  <c r="I220" i="89" s="1"/>
  <c r="L219" i="89"/>
  <c r="N219" i="89" s="1"/>
  <c r="P219" i="89" s="1"/>
  <c r="H219" i="89"/>
  <c r="I219" i="89" s="1"/>
  <c r="L218" i="89"/>
  <c r="N218" i="89" s="1"/>
  <c r="P218" i="89" s="1"/>
  <c r="H218" i="89"/>
  <c r="I218" i="89" s="1"/>
  <c r="L217" i="89"/>
  <c r="N217" i="89" s="1"/>
  <c r="P217" i="89" s="1"/>
  <c r="H217" i="89"/>
  <c r="I217" i="89" s="1"/>
  <c r="L216" i="89"/>
  <c r="N216" i="89" s="1"/>
  <c r="P216" i="89" s="1"/>
  <c r="H216" i="89"/>
  <c r="I216" i="89" s="1"/>
  <c r="L215" i="89"/>
  <c r="N215" i="89" s="1"/>
  <c r="P215" i="89" s="1"/>
  <c r="H215" i="89"/>
  <c r="I215" i="89" s="1"/>
  <c r="L214" i="89"/>
  <c r="N214" i="89" s="1"/>
  <c r="P214" i="89" s="1"/>
  <c r="H214" i="89"/>
  <c r="I214" i="89" s="1"/>
  <c r="L213" i="89"/>
  <c r="N213" i="89" s="1"/>
  <c r="P213" i="89" s="1"/>
  <c r="H213" i="89"/>
  <c r="I213" i="89" s="1"/>
  <c r="L212" i="89"/>
  <c r="N212" i="89" s="1"/>
  <c r="P212" i="89" s="1"/>
  <c r="H212" i="89"/>
  <c r="I212" i="89" s="1"/>
  <c r="L211" i="89"/>
  <c r="N211" i="89" s="1"/>
  <c r="P211" i="89" s="1"/>
  <c r="H211" i="89"/>
  <c r="I211" i="89" s="1"/>
  <c r="L210" i="89"/>
  <c r="N210" i="89" s="1"/>
  <c r="P210" i="89" s="1"/>
  <c r="H210" i="89"/>
  <c r="I210" i="89" s="1"/>
  <c r="L209" i="89"/>
  <c r="N209" i="89" s="1"/>
  <c r="P209" i="89" s="1"/>
  <c r="H209" i="89"/>
  <c r="I209" i="89" s="1"/>
  <c r="L208" i="89"/>
  <c r="N208" i="89" s="1"/>
  <c r="P208" i="89" s="1"/>
  <c r="H208" i="89"/>
  <c r="I208" i="89" s="1"/>
  <c r="L207" i="89"/>
  <c r="N207" i="89" s="1"/>
  <c r="P207" i="89" s="1"/>
  <c r="H207" i="89"/>
  <c r="I207" i="89" s="1"/>
  <c r="L206" i="89"/>
  <c r="N206" i="89" s="1"/>
  <c r="P206" i="89" s="1"/>
  <c r="H206" i="89"/>
  <c r="I206" i="89" s="1"/>
  <c r="P205" i="89"/>
  <c r="P204" i="89"/>
  <c r="L203" i="89"/>
  <c r="N203" i="89" s="1"/>
  <c r="P203" i="89" s="1"/>
  <c r="H203" i="89"/>
  <c r="I203" i="89" s="1"/>
  <c r="L202" i="89"/>
  <c r="N202" i="89" s="1"/>
  <c r="P202" i="89" s="1"/>
  <c r="H202" i="89"/>
  <c r="I202" i="89" s="1"/>
  <c r="L201" i="89"/>
  <c r="N201" i="89" s="1"/>
  <c r="P201" i="89" s="1"/>
  <c r="H201" i="89"/>
  <c r="I201" i="89" s="1"/>
  <c r="L200" i="89"/>
  <c r="N200" i="89" s="1"/>
  <c r="P200" i="89" s="1"/>
  <c r="H200" i="89"/>
  <c r="I200" i="89" s="1"/>
  <c r="L199" i="89"/>
  <c r="N199" i="89" s="1"/>
  <c r="P199" i="89" s="1"/>
  <c r="H199" i="89"/>
  <c r="I199" i="89" s="1"/>
  <c r="P198" i="89"/>
  <c r="L197" i="89"/>
  <c r="N197" i="89" s="1"/>
  <c r="P197" i="89" s="1"/>
  <c r="H197" i="89"/>
  <c r="I197" i="89" s="1"/>
  <c r="L196" i="89"/>
  <c r="N196" i="89" s="1"/>
  <c r="P196" i="89" s="1"/>
  <c r="H196" i="89"/>
  <c r="I196" i="89" s="1"/>
  <c r="L195" i="89"/>
  <c r="N195" i="89" s="1"/>
  <c r="P195" i="89" s="1"/>
  <c r="H195" i="89"/>
  <c r="I195" i="89" s="1"/>
  <c r="L194" i="89"/>
  <c r="N194" i="89" s="1"/>
  <c r="P194" i="89" s="1"/>
  <c r="H194" i="89"/>
  <c r="I194" i="89" s="1"/>
  <c r="L193" i="89"/>
  <c r="N193" i="89" s="1"/>
  <c r="P193" i="89" s="1"/>
  <c r="H193" i="89"/>
  <c r="I193" i="89" s="1"/>
  <c r="L192" i="89"/>
  <c r="N192" i="89" s="1"/>
  <c r="P192" i="89" s="1"/>
  <c r="H192" i="89"/>
  <c r="I192" i="89" s="1"/>
  <c r="L191" i="89"/>
  <c r="N191" i="89" s="1"/>
  <c r="P191" i="89" s="1"/>
  <c r="H191" i="89"/>
  <c r="I191" i="89" s="1"/>
  <c r="L190" i="89"/>
  <c r="N190" i="89" s="1"/>
  <c r="P190" i="89" s="1"/>
  <c r="H190" i="89"/>
  <c r="I190" i="89" s="1"/>
  <c r="P189" i="89"/>
  <c r="L188" i="89"/>
  <c r="K23" i="31" s="1"/>
  <c r="H188" i="89"/>
  <c r="I188" i="89" s="1"/>
  <c r="L182" i="89"/>
  <c r="H182" i="89"/>
  <c r="O180" i="89"/>
  <c r="M180" i="89" s="1"/>
  <c r="K180" i="89"/>
  <c r="H180" i="89"/>
  <c r="I180" i="89" s="1"/>
  <c r="K178" i="89"/>
  <c r="L178" i="89" s="1"/>
  <c r="H178" i="89"/>
  <c r="I178" i="89" s="1"/>
  <c r="K177" i="89"/>
  <c r="L177" i="89" s="1"/>
  <c r="N177" i="89" s="1"/>
  <c r="H177" i="89"/>
  <c r="I177" i="89" s="1"/>
  <c r="K176" i="89"/>
  <c r="L176" i="89" s="1"/>
  <c r="H176" i="89"/>
  <c r="I176" i="89" s="1"/>
  <c r="K175" i="89"/>
  <c r="L175" i="89" s="1"/>
  <c r="N175" i="89" s="1"/>
  <c r="H175" i="89"/>
  <c r="I175" i="89" s="1"/>
  <c r="K174" i="89"/>
  <c r="L174" i="89" s="1"/>
  <c r="H174" i="89"/>
  <c r="I174" i="89" s="1"/>
  <c r="K173" i="89"/>
  <c r="L173" i="89" s="1"/>
  <c r="H173" i="89"/>
  <c r="I173" i="89" s="1"/>
  <c r="K172" i="89"/>
  <c r="L172" i="89" s="1"/>
  <c r="H172" i="89"/>
  <c r="I172" i="89" s="1"/>
  <c r="K171" i="89"/>
  <c r="L171" i="89" s="1"/>
  <c r="N171" i="89" s="1"/>
  <c r="H171" i="89"/>
  <c r="I171" i="89" s="1"/>
  <c r="K170" i="89"/>
  <c r="L170" i="89" s="1"/>
  <c r="H170" i="89"/>
  <c r="I170" i="89" s="1"/>
  <c r="K169" i="89"/>
  <c r="L169" i="89" s="1"/>
  <c r="H169" i="89"/>
  <c r="I169" i="89" s="1"/>
  <c r="K167" i="89"/>
  <c r="L167" i="89" s="1"/>
  <c r="M167" i="89" s="1"/>
  <c r="H167" i="89"/>
  <c r="I167" i="89" s="1"/>
  <c r="K166" i="89"/>
  <c r="L166" i="89" s="1"/>
  <c r="H166" i="89"/>
  <c r="I166" i="89" s="1"/>
  <c r="K165" i="89"/>
  <c r="L165" i="89" s="1"/>
  <c r="M165" i="89" s="1"/>
  <c r="H165" i="89"/>
  <c r="I165" i="89" s="1"/>
  <c r="K164" i="89"/>
  <c r="L164" i="89" s="1"/>
  <c r="H164" i="89"/>
  <c r="I164" i="89" s="1"/>
  <c r="K163" i="89"/>
  <c r="L163" i="89" s="1"/>
  <c r="H163" i="89"/>
  <c r="I163" i="89" s="1"/>
  <c r="K162" i="89"/>
  <c r="L162" i="89" s="1"/>
  <c r="M162" i="89" s="1"/>
  <c r="N162" i="89" s="1"/>
  <c r="H162" i="89"/>
  <c r="I162" i="89" s="1"/>
  <c r="K161" i="89"/>
  <c r="L161" i="89" s="1"/>
  <c r="M161" i="89" s="1"/>
  <c r="N161" i="89" s="1"/>
  <c r="H161" i="89"/>
  <c r="I161" i="89" s="1"/>
  <c r="K160" i="89"/>
  <c r="L160" i="89" s="1"/>
  <c r="H160" i="89"/>
  <c r="I160" i="89" s="1"/>
  <c r="K159" i="89"/>
  <c r="H159" i="89"/>
  <c r="I159" i="89" s="1"/>
  <c r="K150" i="89"/>
  <c r="L150" i="89" s="1"/>
  <c r="M150" i="89" s="1"/>
  <c r="H150" i="89"/>
  <c r="I150" i="89" s="1"/>
  <c r="K149" i="89"/>
  <c r="K148" i="89"/>
  <c r="L148" i="89" s="1"/>
  <c r="M148" i="89" s="1"/>
  <c r="H148" i="89"/>
  <c r="I148" i="89" s="1"/>
  <c r="K113" i="89"/>
  <c r="L113" i="89" s="1"/>
  <c r="M113" i="89" s="1"/>
  <c r="H113" i="89"/>
  <c r="I113" i="89" s="1"/>
  <c r="K112" i="89"/>
  <c r="L112" i="89" s="1"/>
  <c r="M112" i="89" s="1"/>
  <c r="H112" i="89"/>
  <c r="I112" i="89" s="1"/>
  <c r="K111" i="89"/>
  <c r="L111" i="89" s="1"/>
  <c r="M111" i="89" s="1"/>
  <c r="H111" i="89"/>
  <c r="I111" i="89" s="1"/>
  <c r="K110" i="89"/>
  <c r="L110" i="89" s="1"/>
  <c r="M110" i="89" s="1"/>
  <c r="H110" i="89"/>
  <c r="I110" i="89" s="1"/>
  <c r="K109" i="89"/>
  <c r="L109" i="89" s="1"/>
  <c r="M109" i="89" s="1"/>
  <c r="H109" i="89"/>
  <c r="I109" i="89" s="1"/>
  <c r="K108" i="89"/>
  <c r="L108" i="89" s="1"/>
  <c r="M108" i="89" s="1"/>
  <c r="H108" i="89"/>
  <c r="I108" i="89" s="1"/>
  <c r="K107" i="89"/>
  <c r="L107" i="89" s="1"/>
  <c r="M107" i="89" s="1"/>
  <c r="H107" i="89"/>
  <c r="I107" i="89" s="1"/>
  <c r="K106" i="89"/>
  <c r="L106" i="89" s="1"/>
  <c r="M106" i="89" s="1"/>
  <c r="H106" i="89"/>
  <c r="I106" i="89" s="1"/>
  <c r="K105" i="89"/>
  <c r="L105" i="89" s="1"/>
  <c r="M105" i="89" s="1"/>
  <c r="H105" i="89"/>
  <c r="I105" i="89" s="1"/>
  <c r="K104" i="89"/>
  <c r="L104" i="89" s="1"/>
  <c r="M104" i="89" s="1"/>
  <c r="H104" i="89"/>
  <c r="I104" i="89" s="1"/>
  <c r="K103" i="89"/>
  <c r="L103" i="89" s="1"/>
  <c r="M103" i="89" s="1"/>
  <c r="H103" i="89"/>
  <c r="I103" i="89" s="1"/>
  <c r="K102" i="89"/>
  <c r="L102" i="89" s="1"/>
  <c r="M102" i="89" s="1"/>
  <c r="H102" i="89"/>
  <c r="I102" i="89" s="1"/>
  <c r="K101" i="89"/>
  <c r="L101" i="89" s="1"/>
  <c r="M101" i="89" s="1"/>
  <c r="H101" i="89"/>
  <c r="I101" i="89" s="1"/>
  <c r="K100" i="89"/>
  <c r="L100" i="89" s="1"/>
  <c r="M100" i="89" s="1"/>
  <c r="H100" i="89"/>
  <c r="I100" i="89" s="1"/>
  <c r="K99" i="89"/>
  <c r="L99" i="89" s="1"/>
  <c r="M99" i="89" s="1"/>
  <c r="H99" i="89"/>
  <c r="I99" i="89" s="1"/>
  <c r="K98" i="89"/>
  <c r="L98" i="89" s="1"/>
  <c r="M98" i="89" s="1"/>
  <c r="H98" i="89"/>
  <c r="I98" i="89" s="1"/>
  <c r="K97" i="89"/>
  <c r="L97" i="89" s="1"/>
  <c r="M97" i="89" s="1"/>
  <c r="H97" i="89"/>
  <c r="I97" i="89" s="1"/>
  <c r="K96" i="89"/>
  <c r="L96" i="89" s="1"/>
  <c r="M96" i="89" s="1"/>
  <c r="H96" i="89"/>
  <c r="I96" i="89" s="1"/>
  <c r="K95" i="89"/>
  <c r="L95" i="89" s="1"/>
  <c r="M95" i="89" s="1"/>
  <c r="H95" i="89"/>
  <c r="I95" i="89" s="1"/>
  <c r="K94" i="89"/>
  <c r="L94" i="89" s="1"/>
  <c r="M94" i="89" s="1"/>
  <c r="H94" i="89"/>
  <c r="I94" i="89" s="1"/>
  <c r="K93" i="89"/>
  <c r="L93" i="89" s="1"/>
  <c r="M93" i="89" s="1"/>
  <c r="H93" i="89"/>
  <c r="I93" i="89" s="1"/>
  <c r="K92" i="89"/>
  <c r="L92" i="89" s="1"/>
  <c r="M92" i="89" s="1"/>
  <c r="H92" i="89"/>
  <c r="I92" i="89" s="1"/>
  <c r="K91" i="89"/>
  <c r="L91" i="89" s="1"/>
  <c r="M91" i="89" s="1"/>
  <c r="H91" i="89"/>
  <c r="I91" i="89" s="1"/>
  <c r="K90" i="89"/>
  <c r="L90" i="89" s="1"/>
  <c r="M90" i="89" s="1"/>
  <c r="H90" i="89"/>
  <c r="I90" i="89" s="1"/>
  <c r="K89" i="89"/>
  <c r="L89" i="89" s="1"/>
  <c r="M89" i="89" s="1"/>
  <c r="H89" i="89"/>
  <c r="I89" i="89" s="1"/>
  <c r="K88" i="89"/>
  <c r="L88" i="89" s="1"/>
  <c r="M88" i="89" s="1"/>
  <c r="H88" i="89"/>
  <c r="I88" i="89" s="1"/>
  <c r="K87" i="89"/>
  <c r="L87" i="89" s="1"/>
  <c r="M87" i="89" s="1"/>
  <c r="H87" i="89"/>
  <c r="I87" i="89" s="1"/>
  <c r="K86" i="89"/>
  <c r="L86" i="89" s="1"/>
  <c r="M86" i="89" s="1"/>
  <c r="H86" i="89"/>
  <c r="I86" i="89" s="1"/>
  <c r="K85" i="89"/>
  <c r="L85" i="89" s="1"/>
  <c r="M85" i="89" s="1"/>
  <c r="H85" i="89"/>
  <c r="I85" i="89" s="1"/>
  <c r="K84" i="89"/>
  <c r="L84" i="89" s="1"/>
  <c r="M84" i="89" s="1"/>
  <c r="H84" i="89"/>
  <c r="I84" i="89" s="1"/>
  <c r="K83" i="89"/>
  <c r="L83" i="89" s="1"/>
  <c r="M83" i="89" s="1"/>
  <c r="H83" i="89"/>
  <c r="I83" i="89" s="1"/>
  <c r="K82" i="89"/>
  <c r="L82" i="89" s="1"/>
  <c r="M82" i="89" s="1"/>
  <c r="H82" i="89"/>
  <c r="I82" i="89" s="1"/>
  <c r="K81" i="89"/>
  <c r="L81" i="89" s="1"/>
  <c r="M81" i="89" s="1"/>
  <c r="H81" i="89"/>
  <c r="I81" i="89" s="1"/>
  <c r="K80" i="89"/>
  <c r="L80" i="89" s="1"/>
  <c r="M80" i="89" s="1"/>
  <c r="H80" i="89"/>
  <c r="I80" i="89" s="1"/>
  <c r="K79" i="89"/>
  <c r="L79" i="89" s="1"/>
  <c r="M79" i="89" s="1"/>
  <c r="H79" i="89"/>
  <c r="I79" i="89" s="1"/>
  <c r="K78" i="89"/>
  <c r="L78" i="89" s="1"/>
  <c r="M78" i="89" s="1"/>
  <c r="H78" i="89"/>
  <c r="I78" i="89" s="1"/>
  <c r="K77" i="89"/>
  <c r="L77" i="89" s="1"/>
  <c r="M77" i="89" s="1"/>
  <c r="H77" i="89"/>
  <c r="I77" i="89" s="1"/>
  <c r="K76" i="89"/>
  <c r="L76" i="89" s="1"/>
  <c r="M76" i="89" s="1"/>
  <c r="H76" i="89"/>
  <c r="I76" i="89" s="1"/>
  <c r="K75" i="89"/>
  <c r="L75" i="89" s="1"/>
  <c r="M75" i="89" s="1"/>
  <c r="H75" i="89"/>
  <c r="I75" i="89" s="1"/>
  <c r="K74" i="89"/>
  <c r="L74" i="89" s="1"/>
  <c r="M74" i="89" s="1"/>
  <c r="H74" i="89"/>
  <c r="I74" i="89" s="1"/>
  <c r="K73" i="89"/>
  <c r="L73" i="89" s="1"/>
  <c r="M73" i="89" s="1"/>
  <c r="H73" i="89"/>
  <c r="I73" i="89" s="1"/>
  <c r="K72" i="89"/>
  <c r="L72" i="89" s="1"/>
  <c r="M72" i="89" s="1"/>
  <c r="H72" i="89"/>
  <c r="I72" i="89" s="1"/>
  <c r="K71" i="89"/>
  <c r="L71" i="89" s="1"/>
  <c r="M71" i="89" s="1"/>
  <c r="H71" i="89"/>
  <c r="I71" i="89" s="1"/>
  <c r="K70" i="89"/>
  <c r="L70" i="89" s="1"/>
  <c r="M70" i="89" s="1"/>
  <c r="H70" i="89"/>
  <c r="I70" i="89" s="1"/>
  <c r="K69" i="89"/>
  <c r="L69" i="89" s="1"/>
  <c r="M69" i="89" s="1"/>
  <c r="H69" i="89"/>
  <c r="I69" i="89" s="1"/>
  <c r="K68" i="89"/>
  <c r="L68" i="89" s="1"/>
  <c r="M68" i="89" s="1"/>
  <c r="H68" i="89"/>
  <c r="I68" i="89" s="1"/>
  <c r="K67" i="89"/>
  <c r="L67" i="89" s="1"/>
  <c r="M67" i="89" s="1"/>
  <c r="H67" i="89"/>
  <c r="I67" i="89" s="1"/>
  <c r="K66" i="89"/>
  <c r="L66" i="89" s="1"/>
  <c r="M66" i="89" s="1"/>
  <c r="H66" i="89"/>
  <c r="I66" i="89" s="1"/>
  <c r="K65" i="89"/>
  <c r="L65" i="89" s="1"/>
  <c r="M65" i="89" s="1"/>
  <c r="H65" i="89"/>
  <c r="I65" i="89" s="1"/>
  <c r="K64" i="89"/>
  <c r="L64" i="89" s="1"/>
  <c r="M64" i="89" s="1"/>
  <c r="H64" i="89"/>
  <c r="I64" i="89" s="1"/>
  <c r="K63" i="89"/>
  <c r="L63" i="89" s="1"/>
  <c r="M63" i="89" s="1"/>
  <c r="H63" i="89"/>
  <c r="I63" i="89" s="1"/>
  <c r="K62" i="89"/>
  <c r="L62" i="89" s="1"/>
  <c r="M62" i="89" s="1"/>
  <c r="H62" i="89"/>
  <c r="I62" i="89" s="1"/>
  <c r="K61" i="89"/>
  <c r="L61" i="89" s="1"/>
  <c r="M61" i="89" s="1"/>
  <c r="H61" i="89"/>
  <c r="I61" i="89" s="1"/>
  <c r="K60" i="89"/>
  <c r="L60" i="89" s="1"/>
  <c r="M60" i="89" s="1"/>
  <c r="H60" i="89"/>
  <c r="I60" i="89" s="1"/>
  <c r="K59" i="89"/>
  <c r="L59" i="89" s="1"/>
  <c r="M59" i="89" s="1"/>
  <c r="H59" i="89"/>
  <c r="I59" i="89" s="1"/>
  <c r="K58" i="89"/>
  <c r="L58" i="89" s="1"/>
  <c r="M58" i="89" s="1"/>
  <c r="H58" i="89"/>
  <c r="I58" i="89" s="1"/>
  <c r="K57" i="89"/>
  <c r="L57" i="89" s="1"/>
  <c r="M57" i="89" s="1"/>
  <c r="H57" i="89"/>
  <c r="I57" i="89" s="1"/>
  <c r="K56" i="89"/>
  <c r="L56" i="89" s="1"/>
  <c r="M56" i="89" s="1"/>
  <c r="H56" i="89"/>
  <c r="I56" i="89" s="1"/>
  <c r="K55" i="89"/>
  <c r="L55" i="89" s="1"/>
  <c r="M55" i="89" s="1"/>
  <c r="H55" i="89"/>
  <c r="I55" i="89" s="1"/>
  <c r="K54" i="89"/>
  <c r="L54" i="89" s="1"/>
  <c r="M54" i="89" s="1"/>
  <c r="H54" i="89"/>
  <c r="I54" i="89" s="1"/>
  <c r="K53" i="89"/>
  <c r="L53" i="89" s="1"/>
  <c r="M53" i="89" s="1"/>
  <c r="H53" i="89"/>
  <c r="I53" i="89" s="1"/>
  <c r="K52" i="89"/>
  <c r="L52" i="89" s="1"/>
  <c r="M52" i="89" s="1"/>
  <c r="H52" i="89"/>
  <c r="I52" i="89" s="1"/>
  <c r="K51" i="89"/>
  <c r="L51" i="89" s="1"/>
  <c r="M51" i="89" s="1"/>
  <c r="H51" i="89"/>
  <c r="I51" i="89" s="1"/>
  <c r="K50" i="89"/>
  <c r="L50" i="89" s="1"/>
  <c r="M50" i="89" s="1"/>
  <c r="H50" i="89"/>
  <c r="I50" i="89" s="1"/>
  <c r="K49" i="89"/>
  <c r="L49" i="89" s="1"/>
  <c r="M49" i="89" s="1"/>
  <c r="H49" i="89"/>
  <c r="I49" i="89" s="1"/>
  <c r="K48" i="89"/>
  <c r="L48" i="89" s="1"/>
  <c r="M48" i="89" s="1"/>
  <c r="H48" i="89"/>
  <c r="I48" i="89" s="1"/>
  <c r="K47" i="89"/>
  <c r="L47" i="89" s="1"/>
  <c r="M47" i="89" s="1"/>
  <c r="H47" i="89"/>
  <c r="I47" i="89" s="1"/>
  <c r="K46" i="89"/>
  <c r="L46" i="89" s="1"/>
  <c r="M46" i="89" s="1"/>
  <c r="H46" i="89"/>
  <c r="I46" i="89" s="1"/>
  <c r="K45" i="89"/>
  <c r="L45" i="89" s="1"/>
  <c r="M45" i="89" s="1"/>
  <c r="H45" i="89"/>
  <c r="I45" i="89" s="1"/>
  <c r="K44" i="89"/>
  <c r="L44" i="89" s="1"/>
  <c r="M44" i="89" s="1"/>
  <c r="H44" i="89"/>
  <c r="I44" i="89" s="1"/>
  <c r="K43" i="89"/>
  <c r="L43" i="89" s="1"/>
  <c r="M43" i="89" s="1"/>
  <c r="H43" i="89"/>
  <c r="I43" i="89" s="1"/>
  <c r="K42" i="89"/>
  <c r="L42" i="89" s="1"/>
  <c r="M42" i="89" s="1"/>
  <c r="H42" i="89"/>
  <c r="I42" i="89" s="1"/>
  <c r="K41" i="89"/>
  <c r="L41" i="89" s="1"/>
  <c r="M41" i="89" s="1"/>
  <c r="H41" i="89"/>
  <c r="I41" i="89" s="1"/>
  <c r="K40" i="89"/>
  <c r="L40" i="89" s="1"/>
  <c r="M40" i="89" s="1"/>
  <c r="H40" i="89"/>
  <c r="I40" i="89" s="1"/>
  <c r="K39" i="89"/>
  <c r="L39" i="89" s="1"/>
  <c r="M39" i="89" s="1"/>
  <c r="H39" i="89"/>
  <c r="I39" i="89" s="1"/>
  <c r="K38" i="89"/>
  <c r="L38" i="89" s="1"/>
  <c r="M38" i="89" s="1"/>
  <c r="H38" i="89"/>
  <c r="I38" i="89" s="1"/>
  <c r="K37" i="89"/>
  <c r="L37" i="89" s="1"/>
  <c r="M37" i="89" s="1"/>
  <c r="H37" i="89"/>
  <c r="I37" i="89" s="1"/>
  <c r="K36" i="89"/>
  <c r="L36" i="89" s="1"/>
  <c r="M36" i="89" s="1"/>
  <c r="H36" i="89"/>
  <c r="I36" i="89" s="1"/>
  <c r="K35" i="89"/>
  <c r="L35" i="89" s="1"/>
  <c r="M35" i="89" s="1"/>
  <c r="H35" i="89"/>
  <c r="I35" i="89" s="1"/>
  <c r="K34" i="89"/>
  <c r="L34" i="89" s="1"/>
  <c r="M34" i="89" s="1"/>
  <c r="H34" i="89"/>
  <c r="I34" i="89" s="1"/>
  <c r="K33" i="89"/>
  <c r="L33" i="89" s="1"/>
  <c r="M33" i="89" s="1"/>
  <c r="H33" i="89"/>
  <c r="I33" i="89" s="1"/>
  <c r="K32" i="89"/>
  <c r="L32" i="89" s="1"/>
  <c r="M32" i="89" s="1"/>
  <c r="H32" i="89"/>
  <c r="I32" i="89" s="1"/>
  <c r="K31" i="89"/>
  <c r="L31" i="89" s="1"/>
  <c r="M31" i="89" s="1"/>
  <c r="H31" i="89"/>
  <c r="I31" i="89" s="1"/>
  <c r="K30" i="89"/>
  <c r="L30" i="89" s="1"/>
  <c r="M30" i="89" s="1"/>
  <c r="H30" i="89"/>
  <c r="I30" i="89" s="1"/>
  <c r="K29" i="89"/>
  <c r="L29" i="89" s="1"/>
  <c r="M29" i="89" s="1"/>
  <c r="H29" i="89"/>
  <c r="I29" i="89" s="1"/>
  <c r="K28" i="89"/>
  <c r="L28" i="89" s="1"/>
  <c r="M28" i="89" s="1"/>
  <c r="H28" i="89"/>
  <c r="I28" i="89" s="1"/>
  <c r="K27" i="89"/>
  <c r="L27" i="89" s="1"/>
  <c r="M27" i="89" s="1"/>
  <c r="H27" i="89"/>
  <c r="I27" i="89" s="1"/>
  <c r="K26" i="89"/>
  <c r="L26" i="89" s="1"/>
  <c r="M26" i="89" s="1"/>
  <c r="H26" i="89"/>
  <c r="I26" i="89" s="1"/>
  <c r="K25" i="89"/>
  <c r="L25" i="89" s="1"/>
  <c r="M25" i="89" s="1"/>
  <c r="H25" i="89"/>
  <c r="I25" i="89" s="1"/>
  <c r="K24" i="89"/>
  <c r="L24" i="89" s="1"/>
  <c r="M24" i="89" s="1"/>
  <c r="H24" i="89"/>
  <c r="I24" i="89" s="1"/>
  <c r="K23" i="89"/>
  <c r="L23" i="89" s="1"/>
  <c r="M23" i="89" s="1"/>
  <c r="H23" i="89"/>
  <c r="I23" i="89" s="1"/>
  <c r="K22" i="89"/>
  <c r="L22" i="89" s="1"/>
  <c r="M22" i="89" s="1"/>
  <c r="H22" i="89"/>
  <c r="I22" i="89" s="1"/>
  <c r="K21" i="89"/>
  <c r="L21" i="89" s="1"/>
  <c r="M21" i="89" s="1"/>
  <c r="H21" i="89"/>
  <c r="I21" i="89" s="1"/>
  <c r="K20" i="89"/>
  <c r="L20" i="89" s="1"/>
  <c r="M20" i="89" s="1"/>
  <c r="H20" i="89"/>
  <c r="I20" i="89" s="1"/>
  <c r="K19" i="89"/>
  <c r="L19" i="89" s="1"/>
  <c r="M19" i="89" s="1"/>
  <c r="H19" i="89"/>
  <c r="I19" i="89" s="1"/>
  <c r="K18" i="89"/>
  <c r="L18" i="89" s="1"/>
  <c r="M18" i="89" s="1"/>
  <c r="H18" i="89"/>
  <c r="I18" i="89" s="1"/>
  <c r="K17" i="89"/>
  <c r="L17" i="89" s="1"/>
  <c r="M17" i="89" s="1"/>
  <c r="H17" i="89"/>
  <c r="I17" i="89" s="1"/>
  <c r="K16" i="89"/>
  <c r="L16" i="89" s="1"/>
  <c r="M16" i="89" s="1"/>
  <c r="H16" i="89"/>
  <c r="I16" i="89" s="1"/>
  <c r="K15" i="89"/>
  <c r="L15" i="89" s="1"/>
  <c r="M15" i="89" s="1"/>
  <c r="H15" i="89"/>
  <c r="I15" i="89" s="1"/>
  <c r="K14" i="89"/>
  <c r="L14" i="89" s="1"/>
  <c r="M14" i="89" s="1"/>
  <c r="H14" i="89"/>
  <c r="I14" i="89" s="1"/>
  <c r="K13" i="89"/>
  <c r="L13" i="89" s="1"/>
  <c r="M13" i="89" s="1"/>
  <c r="H13" i="89"/>
  <c r="I13" i="89" s="1"/>
  <c r="K12" i="89"/>
  <c r="L12" i="89" s="1"/>
  <c r="M12" i="89" s="1"/>
  <c r="H12" i="89"/>
  <c r="I12" i="89" s="1"/>
  <c r="K11" i="89"/>
  <c r="L11" i="89" s="1"/>
  <c r="M11" i="89" s="1"/>
  <c r="H11" i="89"/>
  <c r="I11" i="89" s="1"/>
  <c r="K10" i="89"/>
  <c r="L10" i="89" s="1"/>
  <c r="H10" i="89"/>
  <c r="I10" i="89" s="1"/>
  <c r="K8" i="89"/>
  <c r="M8" i="89" s="1"/>
  <c r="H8" i="89"/>
  <c r="I8" i="89" s="1"/>
  <c r="K7" i="89"/>
  <c r="L7" i="89" s="1"/>
  <c r="M7" i="89" s="1"/>
  <c r="H7" i="89"/>
  <c r="I7" i="89" s="1"/>
  <c r="K6" i="89"/>
  <c r="L6" i="89" s="1"/>
  <c r="M6" i="89" s="1"/>
  <c r="H6" i="89"/>
  <c r="I6" i="89" s="1"/>
  <c r="K5" i="89"/>
  <c r="L5" i="89" s="1"/>
  <c r="M5" i="89" s="1"/>
  <c r="H5" i="89"/>
  <c r="I5" i="89" s="1"/>
  <c r="K4" i="89"/>
  <c r="L4" i="89" s="1"/>
  <c r="M4" i="89" s="1"/>
  <c r="H4" i="89"/>
  <c r="I4" i="89" s="1"/>
  <c r="L3" i="89"/>
  <c r="H3" i="89"/>
  <c r="G23" i="32"/>
  <c r="K23" i="32"/>
  <c r="D23" i="32"/>
  <c r="O5" i="87"/>
  <c r="O6" i="87"/>
  <c r="O7" i="87"/>
  <c r="O8" i="87"/>
  <c r="O9" i="87"/>
  <c r="O10" i="87"/>
  <c r="O11" i="87"/>
  <c r="O12" i="87"/>
  <c r="O14" i="87"/>
  <c r="O15" i="87"/>
  <c r="O16" i="87"/>
  <c r="O17" i="87"/>
  <c r="O18" i="87"/>
  <c r="O19" i="87"/>
  <c r="O20" i="87"/>
  <c r="O21" i="87"/>
  <c r="O22" i="87"/>
  <c r="O23" i="87"/>
  <c r="O24" i="87"/>
  <c r="O25" i="87"/>
  <c r="O26" i="87"/>
  <c r="O27" i="87"/>
  <c r="O28" i="87"/>
  <c r="O29" i="87"/>
  <c r="O30" i="87"/>
  <c r="O31" i="87"/>
  <c r="O32" i="87"/>
  <c r="O33" i="87"/>
  <c r="O34" i="87"/>
  <c r="O35" i="87"/>
  <c r="O36" i="87"/>
  <c r="O37" i="87"/>
  <c r="O38" i="87"/>
  <c r="O39" i="87"/>
  <c r="O40" i="87"/>
  <c r="O41" i="87"/>
  <c r="O42" i="87"/>
  <c r="O43" i="87"/>
  <c r="O44" i="87"/>
  <c r="O45" i="87"/>
  <c r="O46" i="87"/>
  <c r="O47" i="87"/>
  <c r="O48" i="87"/>
  <c r="O49" i="87"/>
  <c r="O50" i="87"/>
  <c r="O51" i="87"/>
  <c r="O52" i="87"/>
  <c r="O53" i="87"/>
  <c r="O54" i="87"/>
  <c r="O55" i="87"/>
  <c r="O56" i="87"/>
  <c r="O57" i="87"/>
  <c r="O58" i="87"/>
  <c r="O59" i="87"/>
  <c r="O60" i="87"/>
  <c r="O61" i="87"/>
  <c r="O62" i="87"/>
  <c r="O63" i="87"/>
  <c r="O64" i="87"/>
  <c r="O65" i="87"/>
  <c r="O66" i="87"/>
  <c r="O67" i="87"/>
  <c r="O68" i="87"/>
  <c r="O69" i="87"/>
  <c r="O70" i="87"/>
  <c r="O71" i="87"/>
  <c r="O72" i="87"/>
  <c r="O73" i="87"/>
  <c r="O74" i="87"/>
  <c r="O75" i="87"/>
  <c r="O76" i="87"/>
  <c r="O77" i="87"/>
  <c r="O78" i="87"/>
  <c r="O79" i="87"/>
  <c r="O80" i="87"/>
  <c r="O81" i="87"/>
  <c r="O82" i="87"/>
  <c r="O83" i="87"/>
  <c r="O84" i="87"/>
  <c r="O85" i="87"/>
  <c r="O86" i="87"/>
  <c r="O87" i="87"/>
  <c r="O88" i="87"/>
  <c r="O89" i="87"/>
  <c r="O90" i="87"/>
  <c r="O91" i="87"/>
  <c r="O92" i="87"/>
  <c r="O93" i="87"/>
  <c r="O94" i="87"/>
  <c r="O95" i="87"/>
  <c r="O96" i="87"/>
  <c r="O97" i="87"/>
  <c r="O98" i="87"/>
  <c r="O99" i="87"/>
  <c r="O100" i="87"/>
  <c r="O101" i="87"/>
  <c r="O102" i="87"/>
  <c r="O103" i="87"/>
  <c r="O104" i="87"/>
  <c r="O105" i="87"/>
  <c r="O106" i="87"/>
  <c r="O107" i="87"/>
  <c r="O108" i="87"/>
  <c r="O109" i="87"/>
  <c r="O110" i="87"/>
  <c r="O111" i="87"/>
  <c r="O112" i="87"/>
  <c r="O113" i="87"/>
  <c r="O114" i="87"/>
  <c r="O115" i="87"/>
  <c r="O116" i="87"/>
  <c r="O117" i="87"/>
  <c r="O119" i="87"/>
  <c r="O120" i="87"/>
  <c r="O121" i="87"/>
  <c r="N8" i="32"/>
  <c r="W1" i="87"/>
  <c r="E120" i="87"/>
  <c r="N182" i="89" l="1"/>
  <c r="K17" i="31"/>
  <c r="N169" i="89"/>
  <c r="K15" i="31"/>
  <c r="M3" i="89"/>
  <c r="M10" i="89"/>
  <c r="M15" i="31"/>
  <c r="C27" i="31"/>
  <c r="D52" i="25"/>
  <c r="P141" i="31"/>
  <c r="M182" i="89"/>
  <c r="M184" i="89" s="1"/>
  <c r="N184" i="89"/>
  <c r="I182" i="89"/>
  <c r="I184" i="89" s="1"/>
  <c r="H184" i="89"/>
  <c r="H149" i="89"/>
  <c r="I149" i="89" s="1"/>
  <c r="K21" i="31" s="1"/>
  <c r="M171" i="89"/>
  <c r="M160" i="89"/>
  <c r="N160" i="89" s="1"/>
  <c r="M163" i="89"/>
  <c r="N163" i="89"/>
  <c r="N165" i="89"/>
  <c r="N188" i="89"/>
  <c r="P188" i="89" s="1"/>
  <c r="O26" i="31"/>
  <c r="N173" i="89"/>
  <c r="M173" i="89"/>
  <c r="N176" i="89"/>
  <c r="M176" i="89"/>
  <c r="M166" i="89"/>
  <c r="N166" i="89"/>
  <c r="N170" i="89"/>
  <c r="M170" i="89"/>
  <c r="N178" i="89"/>
  <c r="M178" i="89"/>
  <c r="N172" i="89"/>
  <c r="M172" i="89"/>
  <c r="M175" i="89"/>
  <c r="M164" i="89"/>
  <c r="N164" i="89"/>
  <c r="M169" i="89"/>
  <c r="N174" i="89"/>
  <c r="M174" i="89"/>
  <c r="M177" i="89"/>
  <c r="L149" i="89"/>
  <c r="M149" i="89" s="1"/>
  <c r="B375" i="83"/>
  <c r="E375" i="83" s="1"/>
  <c r="J162" i="5" s="1"/>
  <c r="H36" i="81" s="1"/>
  <c r="H11" i="85"/>
  <c r="B106" i="83"/>
  <c r="E106" i="83" s="1"/>
  <c r="M21" i="31" l="1"/>
  <c r="E23" i="32"/>
  <c r="Q141" i="31"/>
  <c r="F23" i="32"/>
  <c r="F15" i="8"/>
  <c r="F29" i="8" s="1"/>
  <c r="D35" i="9"/>
  <c r="D45" i="9"/>
  <c r="D27" i="9"/>
  <c r="D14" i="9"/>
  <c r="K319" i="5"/>
  <c r="D50" i="9" s="1"/>
  <c r="K111" i="5"/>
  <c r="F52" i="8" l="1"/>
  <c r="D47" i="9"/>
  <c r="F47" i="9" s="1"/>
  <c r="H90" i="79" l="1"/>
  <c r="I90" i="79" s="1"/>
  <c r="K86" i="79"/>
  <c r="K87" i="79"/>
  <c r="K88" i="79"/>
  <c r="K89" i="79"/>
  <c r="K90" i="79"/>
  <c r="K85" i="79"/>
  <c r="I86" i="79"/>
  <c r="I87" i="79"/>
  <c r="I88" i="79"/>
  <c r="I85" i="79"/>
  <c r="F86" i="79"/>
  <c r="F87" i="79"/>
  <c r="J87" i="79" s="1"/>
  <c r="F88" i="79"/>
  <c r="J88" i="79" s="1"/>
  <c r="F89" i="79"/>
  <c r="F90" i="79"/>
  <c r="F85" i="79"/>
  <c r="I23" i="31"/>
  <c r="N149" i="87"/>
  <c r="K149" i="87"/>
  <c r="G149" i="87"/>
  <c r="H149" i="87" s="1"/>
  <c r="N147" i="87"/>
  <c r="L147" i="87" s="1"/>
  <c r="J147" i="87"/>
  <c r="G147" i="87"/>
  <c r="H147" i="87" s="1"/>
  <c r="N145" i="87"/>
  <c r="J145" i="87"/>
  <c r="K145" i="87" s="1"/>
  <c r="G145" i="87"/>
  <c r="H145" i="87" s="1"/>
  <c r="N144" i="87"/>
  <c r="J144" i="87"/>
  <c r="K144" i="87" s="1"/>
  <c r="G144" i="87"/>
  <c r="H144" i="87" s="1"/>
  <c r="N143" i="87"/>
  <c r="J143" i="87"/>
  <c r="K143" i="87" s="1"/>
  <c r="G143" i="87"/>
  <c r="H143" i="87" s="1"/>
  <c r="N142" i="87"/>
  <c r="J142" i="87"/>
  <c r="K142" i="87" s="1"/>
  <c r="G142" i="87"/>
  <c r="H142" i="87" s="1"/>
  <c r="N141" i="87"/>
  <c r="J141" i="87"/>
  <c r="K141" i="87" s="1"/>
  <c r="G141" i="87"/>
  <c r="H141" i="87" s="1"/>
  <c r="N140" i="87"/>
  <c r="J140" i="87"/>
  <c r="K140" i="87" s="1"/>
  <c r="G140" i="87"/>
  <c r="H140" i="87" s="1"/>
  <c r="N139" i="87"/>
  <c r="J139" i="87"/>
  <c r="K139" i="87" s="1"/>
  <c r="G139" i="87"/>
  <c r="H139" i="87" s="1"/>
  <c r="N138" i="87"/>
  <c r="J138" i="87"/>
  <c r="K138" i="87" s="1"/>
  <c r="G138" i="87"/>
  <c r="H138" i="87" s="1"/>
  <c r="N137" i="87"/>
  <c r="J137" i="87"/>
  <c r="K137" i="87" s="1"/>
  <c r="G137" i="87"/>
  <c r="H137" i="87" s="1"/>
  <c r="N136" i="87"/>
  <c r="J136" i="87"/>
  <c r="K136" i="87" s="1"/>
  <c r="G136" i="87"/>
  <c r="H136" i="87" s="1"/>
  <c r="N134" i="87"/>
  <c r="J134" i="87"/>
  <c r="K134" i="87" s="1"/>
  <c r="G134" i="87"/>
  <c r="H134" i="87" s="1"/>
  <c r="N133" i="87"/>
  <c r="J133" i="87"/>
  <c r="K133" i="87" s="1"/>
  <c r="G133" i="87"/>
  <c r="H133" i="87" s="1"/>
  <c r="N132" i="87"/>
  <c r="J132" i="87"/>
  <c r="K132" i="87" s="1"/>
  <c r="G132" i="87"/>
  <c r="H132" i="87" s="1"/>
  <c r="N131" i="87"/>
  <c r="J131" i="87"/>
  <c r="K131" i="87" s="1"/>
  <c r="G131" i="87"/>
  <c r="H131" i="87" s="1"/>
  <c r="N130" i="87"/>
  <c r="J130" i="87"/>
  <c r="K130" i="87" s="1"/>
  <c r="G130" i="87"/>
  <c r="H130" i="87" s="1"/>
  <c r="N129" i="87"/>
  <c r="J129" i="87"/>
  <c r="K129" i="87" s="1"/>
  <c r="G129" i="87"/>
  <c r="H129" i="87" s="1"/>
  <c r="N128" i="87"/>
  <c r="J128" i="87"/>
  <c r="K128" i="87" s="1"/>
  <c r="G128" i="87"/>
  <c r="H128" i="87" s="1"/>
  <c r="N127" i="87"/>
  <c r="J127" i="87"/>
  <c r="K127" i="87" s="1"/>
  <c r="G127" i="87"/>
  <c r="H127" i="87" s="1"/>
  <c r="N126" i="87"/>
  <c r="J126" i="87"/>
  <c r="K126" i="87" s="1"/>
  <c r="G126" i="87"/>
  <c r="H126" i="87" s="1"/>
  <c r="J121" i="87"/>
  <c r="K121" i="87" s="1"/>
  <c r="L121" i="87" s="1"/>
  <c r="G121" i="87"/>
  <c r="H121" i="87" s="1"/>
  <c r="J120" i="87"/>
  <c r="J119" i="87"/>
  <c r="K119" i="87" s="1"/>
  <c r="L119" i="87" s="1"/>
  <c r="G119" i="87"/>
  <c r="H119" i="87" s="1"/>
  <c r="J117" i="87"/>
  <c r="K117" i="87" s="1"/>
  <c r="L117" i="87" s="1"/>
  <c r="G117" i="87"/>
  <c r="H117" i="87" s="1"/>
  <c r="J116" i="87"/>
  <c r="K116" i="87" s="1"/>
  <c r="L116" i="87" s="1"/>
  <c r="G116" i="87"/>
  <c r="H116" i="87" s="1"/>
  <c r="J115" i="87"/>
  <c r="K115" i="87" s="1"/>
  <c r="L115" i="87" s="1"/>
  <c r="G115" i="87"/>
  <c r="H115" i="87" s="1"/>
  <c r="J114" i="87"/>
  <c r="K114" i="87" s="1"/>
  <c r="L114" i="87" s="1"/>
  <c r="G114" i="87"/>
  <c r="H114" i="87" s="1"/>
  <c r="J113" i="87"/>
  <c r="K113" i="87" s="1"/>
  <c r="L113" i="87" s="1"/>
  <c r="G113" i="87"/>
  <c r="H113" i="87" s="1"/>
  <c r="J112" i="87"/>
  <c r="K112" i="87" s="1"/>
  <c r="L112" i="87" s="1"/>
  <c r="G112" i="87"/>
  <c r="H112" i="87" s="1"/>
  <c r="J111" i="87"/>
  <c r="K111" i="87" s="1"/>
  <c r="L111" i="87" s="1"/>
  <c r="G111" i="87"/>
  <c r="H111" i="87" s="1"/>
  <c r="J110" i="87"/>
  <c r="K110" i="87" s="1"/>
  <c r="L110" i="87" s="1"/>
  <c r="G110" i="87"/>
  <c r="H110" i="87" s="1"/>
  <c r="J109" i="87"/>
  <c r="K109" i="87" s="1"/>
  <c r="L109" i="87" s="1"/>
  <c r="G109" i="87"/>
  <c r="H109" i="87" s="1"/>
  <c r="J108" i="87"/>
  <c r="K108" i="87" s="1"/>
  <c r="L108" i="87" s="1"/>
  <c r="G108" i="87"/>
  <c r="H108" i="87" s="1"/>
  <c r="J107" i="87"/>
  <c r="K107" i="87" s="1"/>
  <c r="L107" i="87" s="1"/>
  <c r="G107" i="87"/>
  <c r="H107" i="87" s="1"/>
  <c r="J106" i="87"/>
  <c r="K106" i="87" s="1"/>
  <c r="L106" i="87" s="1"/>
  <c r="G106" i="87"/>
  <c r="H106" i="87" s="1"/>
  <c r="J105" i="87"/>
  <c r="K105" i="87" s="1"/>
  <c r="L105" i="87" s="1"/>
  <c r="G105" i="87"/>
  <c r="H105" i="87" s="1"/>
  <c r="J104" i="87"/>
  <c r="K104" i="87" s="1"/>
  <c r="L104" i="87" s="1"/>
  <c r="G104" i="87"/>
  <c r="H104" i="87" s="1"/>
  <c r="J103" i="87"/>
  <c r="K103" i="87" s="1"/>
  <c r="L103" i="87" s="1"/>
  <c r="G103" i="87"/>
  <c r="H103" i="87" s="1"/>
  <c r="J102" i="87"/>
  <c r="K102" i="87" s="1"/>
  <c r="L102" i="87" s="1"/>
  <c r="G102" i="87"/>
  <c r="H102" i="87" s="1"/>
  <c r="J101" i="87"/>
  <c r="K101" i="87" s="1"/>
  <c r="L101" i="87" s="1"/>
  <c r="G101" i="87"/>
  <c r="H101" i="87" s="1"/>
  <c r="J100" i="87"/>
  <c r="K100" i="87" s="1"/>
  <c r="L100" i="87" s="1"/>
  <c r="G100" i="87"/>
  <c r="H100" i="87" s="1"/>
  <c r="J99" i="87"/>
  <c r="K99" i="87" s="1"/>
  <c r="L99" i="87" s="1"/>
  <c r="G99" i="87"/>
  <c r="H99" i="87" s="1"/>
  <c r="J98" i="87"/>
  <c r="K98" i="87" s="1"/>
  <c r="L98" i="87" s="1"/>
  <c r="G98" i="87"/>
  <c r="H98" i="87" s="1"/>
  <c r="J97" i="87"/>
  <c r="K97" i="87" s="1"/>
  <c r="L97" i="87" s="1"/>
  <c r="G97" i="87"/>
  <c r="H97" i="87" s="1"/>
  <c r="J96" i="87"/>
  <c r="K96" i="87" s="1"/>
  <c r="L96" i="87" s="1"/>
  <c r="G96" i="87"/>
  <c r="H96" i="87" s="1"/>
  <c r="J95" i="87"/>
  <c r="K95" i="87" s="1"/>
  <c r="L95" i="87" s="1"/>
  <c r="G95" i="87"/>
  <c r="H95" i="87" s="1"/>
  <c r="J94" i="87"/>
  <c r="K94" i="87" s="1"/>
  <c r="L94" i="87" s="1"/>
  <c r="G94" i="87"/>
  <c r="H94" i="87" s="1"/>
  <c r="J93" i="87"/>
  <c r="K93" i="87" s="1"/>
  <c r="L93" i="87" s="1"/>
  <c r="G93" i="87"/>
  <c r="H93" i="87" s="1"/>
  <c r="J92" i="87"/>
  <c r="K92" i="87" s="1"/>
  <c r="L92" i="87" s="1"/>
  <c r="G92" i="87"/>
  <c r="H92" i="87" s="1"/>
  <c r="J91" i="87"/>
  <c r="K91" i="87" s="1"/>
  <c r="L91" i="87" s="1"/>
  <c r="G91" i="87"/>
  <c r="H91" i="87" s="1"/>
  <c r="J90" i="87"/>
  <c r="K90" i="87" s="1"/>
  <c r="L90" i="87" s="1"/>
  <c r="G90" i="87"/>
  <c r="H90" i="87" s="1"/>
  <c r="J89" i="87"/>
  <c r="K89" i="87" s="1"/>
  <c r="L89" i="87" s="1"/>
  <c r="G89" i="87"/>
  <c r="H89" i="87" s="1"/>
  <c r="J88" i="87"/>
  <c r="K88" i="87" s="1"/>
  <c r="L88" i="87" s="1"/>
  <c r="G88" i="87"/>
  <c r="H88" i="87" s="1"/>
  <c r="J87" i="87"/>
  <c r="K87" i="87" s="1"/>
  <c r="L87" i="87" s="1"/>
  <c r="G87" i="87"/>
  <c r="H87" i="87" s="1"/>
  <c r="J86" i="87"/>
  <c r="K86" i="87" s="1"/>
  <c r="L86" i="87" s="1"/>
  <c r="G86" i="87"/>
  <c r="H86" i="87" s="1"/>
  <c r="J85" i="87"/>
  <c r="K85" i="87" s="1"/>
  <c r="L85" i="87" s="1"/>
  <c r="G85" i="87"/>
  <c r="H85" i="87" s="1"/>
  <c r="J84" i="87"/>
  <c r="K84" i="87" s="1"/>
  <c r="L84" i="87" s="1"/>
  <c r="G84" i="87"/>
  <c r="H84" i="87" s="1"/>
  <c r="J83" i="87"/>
  <c r="K83" i="87" s="1"/>
  <c r="L83" i="87" s="1"/>
  <c r="G83" i="87"/>
  <c r="H83" i="87" s="1"/>
  <c r="J82" i="87"/>
  <c r="K82" i="87" s="1"/>
  <c r="L82" i="87" s="1"/>
  <c r="G82" i="87"/>
  <c r="H82" i="87" s="1"/>
  <c r="J81" i="87"/>
  <c r="K81" i="87" s="1"/>
  <c r="L81" i="87" s="1"/>
  <c r="G81" i="87"/>
  <c r="H81" i="87" s="1"/>
  <c r="J80" i="87"/>
  <c r="K80" i="87" s="1"/>
  <c r="L80" i="87" s="1"/>
  <c r="G80" i="87"/>
  <c r="H80" i="87" s="1"/>
  <c r="J79" i="87"/>
  <c r="K79" i="87" s="1"/>
  <c r="L79" i="87" s="1"/>
  <c r="G79" i="87"/>
  <c r="H79" i="87" s="1"/>
  <c r="J78" i="87"/>
  <c r="K78" i="87" s="1"/>
  <c r="L78" i="87" s="1"/>
  <c r="G78" i="87"/>
  <c r="H78" i="87" s="1"/>
  <c r="J77" i="87"/>
  <c r="K77" i="87" s="1"/>
  <c r="L77" i="87" s="1"/>
  <c r="G77" i="87"/>
  <c r="H77" i="87" s="1"/>
  <c r="J76" i="87"/>
  <c r="K76" i="87" s="1"/>
  <c r="L76" i="87" s="1"/>
  <c r="G76" i="87"/>
  <c r="H76" i="87" s="1"/>
  <c r="J75" i="87"/>
  <c r="K75" i="87" s="1"/>
  <c r="L75" i="87" s="1"/>
  <c r="G75" i="87"/>
  <c r="H75" i="87" s="1"/>
  <c r="J74" i="87"/>
  <c r="K74" i="87" s="1"/>
  <c r="L74" i="87" s="1"/>
  <c r="G74" i="87"/>
  <c r="H74" i="87" s="1"/>
  <c r="J73" i="87"/>
  <c r="K73" i="87" s="1"/>
  <c r="L73" i="87" s="1"/>
  <c r="G73" i="87"/>
  <c r="H73" i="87" s="1"/>
  <c r="J72" i="87"/>
  <c r="K72" i="87" s="1"/>
  <c r="L72" i="87" s="1"/>
  <c r="G72" i="87"/>
  <c r="H72" i="87" s="1"/>
  <c r="J71" i="87"/>
  <c r="K71" i="87" s="1"/>
  <c r="L71" i="87" s="1"/>
  <c r="G71" i="87"/>
  <c r="H71" i="87" s="1"/>
  <c r="J70" i="87"/>
  <c r="K70" i="87" s="1"/>
  <c r="L70" i="87" s="1"/>
  <c r="G70" i="87"/>
  <c r="H70" i="87" s="1"/>
  <c r="J69" i="87"/>
  <c r="K69" i="87" s="1"/>
  <c r="L69" i="87" s="1"/>
  <c r="G69" i="87"/>
  <c r="H69" i="87" s="1"/>
  <c r="J68" i="87"/>
  <c r="K68" i="87" s="1"/>
  <c r="L68" i="87" s="1"/>
  <c r="G68" i="87"/>
  <c r="H68" i="87" s="1"/>
  <c r="J67" i="87"/>
  <c r="K67" i="87" s="1"/>
  <c r="L67" i="87" s="1"/>
  <c r="G67" i="87"/>
  <c r="H67" i="87" s="1"/>
  <c r="J66" i="87"/>
  <c r="K66" i="87" s="1"/>
  <c r="L66" i="87" s="1"/>
  <c r="G66" i="87"/>
  <c r="H66" i="87" s="1"/>
  <c r="J65" i="87"/>
  <c r="K65" i="87" s="1"/>
  <c r="L65" i="87" s="1"/>
  <c r="G65" i="87"/>
  <c r="H65" i="87" s="1"/>
  <c r="J64" i="87"/>
  <c r="K64" i="87" s="1"/>
  <c r="L64" i="87" s="1"/>
  <c r="G64" i="87"/>
  <c r="H64" i="87" s="1"/>
  <c r="J63" i="87"/>
  <c r="K63" i="87" s="1"/>
  <c r="L63" i="87" s="1"/>
  <c r="G63" i="87"/>
  <c r="H63" i="87" s="1"/>
  <c r="J62" i="87"/>
  <c r="K62" i="87" s="1"/>
  <c r="L62" i="87" s="1"/>
  <c r="G62" i="87"/>
  <c r="H62" i="87" s="1"/>
  <c r="J61" i="87"/>
  <c r="K61" i="87" s="1"/>
  <c r="L61" i="87" s="1"/>
  <c r="G61" i="87"/>
  <c r="H61" i="87" s="1"/>
  <c r="J60" i="87"/>
  <c r="K60" i="87" s="1"/>
  <c r="L60" i="87" s="1"/>
  <c r="G60" i="87"/>
  <c r="H60" i="87" s="1"/>
  <c r="J59" i="87"/>
  <c r="K59" i="87" s="1"/>
  <c r="L59" i="87" s="1"/>
  <c r="G59" i="87"/>
  <c r="H59" i="87" s="1"/>
  <c r="J58" i="87"/>
  <c r="K58" i="87" s="1"/>
  <c r="L58" i="87" s="1"/>
  <c r="G58" i="87"/>
  <c r="H58" i="87" s="1"/>
  <c r="J57" i="87"/>
  <c r="K57" i="87" s="1"/>
  <c r="L57" i="87" s="1"/>
  <c r="G57" i="87"/>
  <c r="H57" i="87" s="1"/>
  <c r="J56" i="87"/>
  <c r="K56" i="87" s="1"/>
  <c r="L56" i="87" s="1"/>
  <c r="G56" i="87"/>
  <c r="H56" i="87" s="1"/>
  <c r="J55" i="87"/>
  <c r="K55" i="87" s="1"/>
  <c r="L55" i="87" s="1"/>
  <c r="G55" i="87"/>
  <c r="H55" i="87" s="1"/>
  <c r="J54" i="87"/>
  <c r="K54" i="87" s="1"/>
  <c r="L54" i="87" s="1"/>
  <c r="G54" i="87"/>
  <c r="H54" i="87" s="1"/>
  <c r="J53" i="87"/>
  <c r="K53" i="87" s="1"/>
  <c r="L53" i="87" s="1"/>
  <c r="G53" i="87"/>
  <c r="H53" i="87" s="1"/>
  <c r="J52" i="87"/>
  <c r="K52" i="87" s="1"/>
  <c r="L52" i="87" s="1"/>
  <c r="G52" i="87"/>
  <c r="H52" i="87" s="1"/>
  <c r="J51" i="87"/>
  <c r="K51" i="87" s="1"/>
  <c r="L51" i="87" s="1"/>
  <c r="G51" i="87"/>
  <c r="H51" i="87" s="1"/>
  <c r="J50" i="87"/>
  <c r="K50" i="87" s="1"/>
  <c r="L50" i="87" s="1"/>
  <c r="G50" i="87"/>
  <c r="H50" i="87" s="1"/>
  <c r="J49" i="87"/>
  <c r="K49" i="87" s="1"/>
  <c r="L49" i="87" s="1"/>
  <c r="G49" i="87"/>
  <c r="H49" i="87" s="1"/>
  <c r="J48" i="87"/>
  <c r="K48" i="87" s="1"/>
  <c r="L48" i="87" s="1"/>
  <c r="G48" i="87"/>
  <c r="H48" i="87" s="1"/>
  <c r="J47" i="87"/>
  <c r="K47" i="87" s="1"/>
  <c r="L47" i="87" s="1"/>
  <c r="G47" i="87"/>
  <c r="H47" i="87" s="1"/>
  <c r="J46" i="87"/>
  <c r="K46" i="87" s="1"/>
  <c r="L46" i="87" s="1"/>
  <c r="G46" i="87"/>
  <c r="H46" i="87" s="1"/>
  <c r="J45" i="87"/>
  <c r="K45" i="87" s="1"/>
  <c r="L45" i="87" s="1"/>
  <c r="G45" i="87"/>
  <c r="H45" i="87" s="1"/>
  <c r="J44" i="87"/>
  <c r="K44" i="87" s="1"/>
  <c r="L44" i="87" s="1"/>
  <c r="G44" i="87"/>
  <c r="H44" i="87" s="1"/>
  <c r="J43" i="87"/>
  <c r="K43" i="87" s="1"/>
  <c r="L43" i="87" s="1"/>
  <c r="G43" i="87"/>
  <c r="H43" i="87" s="1"/>
  <c r="J42" i="87"/>
  <c r="K42" i="87" s="1"/>
  <c r="L42" i="87" s="1"/>
  <c r="G42" i="87"/>
  <c r="H42" i="87" s="1"/>
  <c r="J41" i="87"/>
  <c r="K41" i="87" s="1"/>
  <c r="L41" i="87" s="1"/>
  <c r="G41" i="87"/>
  <c r="H41" i="87" s="1"/>
  <c r="J40" i="87"/>
  <c r="K40" i="87" s="1"/>
  <c r="L40" i="87" s="1"/>
  <c r="G40" i="87"/>
  <c r="H40" i="87" s="1"/>
  <c r="J39" i="87"/>
  <c r="K39" i="87" s="1"/>
  <c r="L39" i="87" s="1"/>
  <c r="G39" i="87"/>
  <c r="H39" i="87" s="1"/>
  <c r="J38" i="87"/>
  <c r="K38" i="87" s="1"/>
  <c r="L38" i="87" s="1"/>
  <c r="G38" i="87"/>
  <c r="H38" i="87" s="1"/>
  <c r="J37" i="87"/>
  <c r="K37" i="87" s="1"/>
  <c r="L37" i="87" s="1"/>
  <c r="G37" i="87"/>
  <c r="H37" i="87" s="1"/>
  <c r="J36" i="87"/>
  <c r="K36" i="87" s="1"/>
  <c r="L36" i="87" s="1"/>
  <c r="G36" i="87"/>
  <c r="H36" i="87" s="1"/>
  <c r="J35" i="87"/>
  <c r="K35" i="87" s="1"/>
  <c r="L35" i="87" s="1"/>
  <c r="G35" i="87"/>
  <c r="H35" i="87" s="1"/>
  <c r="J34" i="87"/>
  <c r="K34" i="87" s="1"/>
  <c r="L34" i="87" s="1"/>
  <c r="G34" i="87"/>
  <c r="H34" i="87" s="1"/>
  <c r="J33" i="87"/>
  <c r="K33" i="87" s="1"/>
  <c r="L33" i="87" s="1"/>
  <c r="G33" i="87"/>
  <c r="H33" i="87" s="1"/>
  <c r="J32" i="87"/>
  <c r="K32" i="87" s="1"/>
  <c r="L32" i="87" s="1"/>
  <c r="G32" i="87"/>
  <c r="H32" i="87" s="1"/>
  <c r="J31" i="87"/>
  <c r="K31" i="87" s="1"/>
  <c r="L31" i="87" s="1"/>
  <c r="G31" i="87"/>
  <c r="H31" i="87" s="1"/>
  <c r="J30" i="87"/>
  <c r="K30" i="87" s="1"/>
  <c r="L30" i="87" s="1"/>
  <c r="G30" i="87"/>
  <c r="H30" i="87" s="1"/>
  <c r="J29" i="87"/>
  <c r="K29" i="87" s="1"/>
  <c r="L29" i="87" s="1"/>
  <c r="G29" i="87"/>
  <c r="H29" i="87" s="1"/>
  <c r="J28" i="87"/>
  <c r="K28" i="87" s="1"/>
  <c r="L28" i="87" s="1"/>
  <c r="G28" i="87"/>
  <c r="H28" i="87" s="1"/>
  <c r="J27" i="87"/>
  <c r="K27" i="87" s="1"/>
  <c r="L27" i="87" s="1"/>
  <c r="G27" i="87"/>
  <c r="H27" i="87" s="1"/>
  <c r="J26" i="87"/>
  <c r="K26" i="87" s="1"/>
  <c r="L26" i="87" s="1"/>
  <c r="G26" i="87"/>
  <c r="H26" i="87" s="1"/>
  <c r="J25" i="87"/>
  <c r="K25" i="87" s="1"/>
  <c r="L25" i="87" s="1"/>
  <c r="G25" i="87"/>
  <c r="H25" i="87" s="1"/>
  <c r="J24" i="87"/>
  <c r="K24" i="87" s="1"/>
  <c r="L24" i="87" s="1"/>
  <c r="G24" i="87"/>
  <c r="H24" i="87" s="1"/>
  <c r="J23" i="87"/>
  <c r="K23" i="87" s="1"/>
  <c r="L23" i="87" s="1"/>
  <c r="G23" i="87"/>
  <c r="H23" i="87" s="1"/>
  <c r="J22" i="87"/>
  <c r="K22" i="87" s="1"/>
  <c r="L22" i="87" s="1"/>
  <c r="G22" i="87"/>
  <c r="H22" i="87" s="1"/>
  <c r="J21" i="87"/>
  <c r="K21" i="87" s="1"/>
  <c r="L21" i="87" s="1"/>
  <c r="G21" i="87"/>
  <c r="H21" i="87" s="1"/>
  <c r="J20" i="87"/>
  <c r="K20" i="87" s="1"/>
  <c r="L20" i="87" s="1"/>
  <c r="G20" i="87"/>
  <c r="H20" i="87" s="1"/>
  <c r="J19" i="87"/>
  <c r="K19" i="87" s="1"/>
  <c r="L19" i="87" s="1"/>
  <c r="G19" i="87"/>
  <c r="H19" i="87" s="1"/>
  <c r="J18" i="87"/>
  <c r="K18" i="87" s="1"/>
  <c r="L18" i="87" s="1"/>
  <c r="G18" i="87"/>
  <c r="H18" i="87" s="1"/>
  <c r="J17" i="87"/>
  <c r="K17" i="87" s="1"/>
  <c r="L17" i="87" s="1"/>
  <c r="G17" i="87"/>
  <c r="H17" i="87" s="1"/>
  <c r="J16" i="87"/>
  <c r="K16" i="87" s="1"/>
  <c r="L16" i="87" s="1"/>
  <c r="G16" i="87"/>
  <c r="H16" i="87" s="1"/>
  <c r="J15" i="87"/>
  <c r="K15" i="87" s="1"/>
  <c r="L15" i="87" s="1"/>
  <c r="G15" i="87"/>
  <c r="H15" i="87" s="1"/>
  <c r="J14" i="87"/>
  <c r="K14" i="87" s="1"/>
  <c r="L14" i="87" s="1"/>
  <c r="G14" i="87"/>
  <c r="H14" i="87" s="1"/>
  <c r="J12" i="87"/>
  <c r="K12" i="87" s="1"/>
  <c r="L12" i="87" s="1"/>
  <c r="G12" i="87"/>
  <c r="H12" i="87" s="1"/>
  <c r="J11" i="87"/>
  <c r="K11" i="87" s="1"/>
  <c r="L11" i="87" s="1"/>
  <c r="G11" i="87"/>
  <c r="H11" i="87" s="1"/>
  <c r="J10" i="87"/>
  <c r="K10" i="87" s="1"/>
  <c r="L10" i="87" s="1"/>
  <c r="G10" i="87"/>
  <c r="H10" i="87" s="1"/>
  <c r="J9" i="87"/>
  <c r="K9" i="87" s="1"/>
  <c r="L9" i="87" s="1"/>
  <c r="G9" i="87"/>
  <c r="H9" i="87" s="1"/>
  <c r="J8" i="87"/>
  <c r="K8" i="87" s="1"/>
  <c r="L8" i="87" s="1"/>
  <c r="G8" i="87"/>
  <c r="H8" i="87" s="1"/>
  <c r="J7" i="87"/>
  <c r="K7" i="87" s="1"/>
  <c r="L7" i="87" s="1"/>
  <c r="G7" i="87"/>
  <c r="H7" i="87" s="1"/>
  <c r="J6" i="87"/>
  <c r="K6" i="87" s="1"/>
  <c r="L6" i="87" s="1"/>
  <c r="G6" i="87"/>
  <c r="H6" i="87" s="1"/>
  <c r="J5" i="87"/>
  <c r="K5" i="87" s="1"/>
  <c r="L5" i="87" s="1"/>
  <c r="G5" i="87"/>
  <c r="H5" i="87" s="1"/>
  <c r="J86" i="79" l="1"/>
  <c r="J85" i="79"/>
  <c r="J90" i="79"/>
  <c r="L129" i="87"/>
  <c r="L138" i="87"/>
  <c r="L131" i="87"/>
  <c r="L140" i="87"/>
  <c r="L144" i="87"/>
  <c r="L127" i="87"/>
  <c r="L136" i="87"/>
  <c r="L133" i="87"/>
  <c r="L142" i="87"/>
  <c r="L126" i="87"/>
  <c r="L128" i="87"/>
  <c r="L130" i="87"/>
  <c r="L132" i="87"/>
  <c r="L134" i="87"/>
  <c r="L137" i="87"/>
  <c r="L139" i="87"/>
  <c r="L141" i="87"/>
  <c r="L143" i="87"/>
  <c r="L145" i="87"/>
  <c r="L149" i="87"/>
  <c r="K120" i="87"/>
  <c r="K123" i="87" s="1"/>
  <c r="H89" i="79" s="1"/>
  <c r="I89" i="79" s="1"/>
  <c r="J89" i="79" s="1"/>
  <c r="G120" i="87"/>
  <c r="H120" i="87" s="1"/>
  <c r="H123" i="87" s="1"/>
  <c r="F152" i="87" l="1"/>
  <c r="L120" i="87"/>
  <c r="C7" i="86"/>
  <c r="J284" i="5" s="1"/>
  <c r="K181" i="5"/>
  <c r="D4" i="86" l="1"/>
  <c r="D8" i="86"/>
  <c r="K74" i="5"/>
  <c r="K104" i="5"/>
  <c r="K83" i="5"/>
  <c r="H1" i="77"/>
  <c r="J267" i="5" l="1"/>
  <c r="J98" i="5"/>
  <c r="J104" i="5" s="1"/>
  <c r="P21" i="31"/>
  <c r="P19" i="31"/>
  <c r="P17" i="31"/>
  <c r="P15" i="31"/>
  <c r="C26" i="8" l="1"/>
  <c r="H549" i="77"/>
  <c r="K165" i="5"/>
  <c r="K172" i="5"/>
  <c r="K193" i="5"/>
  <c r="J13" i="85"/>
  <c r="J15" i="85" s="1"/>
  <c r="H12" i="85"/>
  <c r="K2" i="77"/>
  <c r="K212" i="5"/>
  <c r="J222" i="5"/>
  <c r="F22" i="22"/>
  <c r="K271" i="5"/>
  <c r="K259" i="5"/>
  <c r="K255" i="5"/>
  <c r="K239" i="5"/>
  <c r="K230" i="5"/>
  <c r="K260" i="5" l="1"/>
  <c r="M166" i="5"/>
  <c r="L167" i="5"/>
  <c r="N353" i="5"/>
  <c r="C79" i="82" l="1"/>
  <c r="C83" i="82" s="1"/>
  <c r="C78" i="82"/>
  <c r="C64" i="82"/>
  <c r="C63" i="82"/>
  <c r="C62" i="82"/>
  <c r="C82" i="82" s="1"/>
  <c r="C61" i="82"/>
  <c r="C60" i="82"/>
  <c r="C81" i="82" s="1"/>
  <c r="C59" i="82"/>
  <c r="C58" i="82"/>
  <c r="E29" i="82" l="1"/>
  <c r="E27" i="82"/>
  <c r="E28" i="82"/>
  <c r="E15" i="82"/>
  <c r="C57" i="82"/>
  <c r="C56" i="82"/>
  <c r="E11" i="82" l="1"/>
  <c r="D41" i="82" l="1"/>
  <c r="D40" i="82"/>
  <c r="H47" i="81"/>
  <c r="H46" i="81"/>
  <c r="H45" i="81"/>
  <c r="H44" i="81"/>
  <c r="I28" i="81"/>
  <c r="I27" i="81"/>
  <c r="A4" i="82" l="1"/>
  <c r="G9" i="9" l="1"/>
  <c r="G29" i="9" l="1"/>
  <c r="J838" i="77" l="1"/>
  <c r="D61" i="75"/>
  <c r="D59" i="75"/>
  <c r="D60" i="75" l="1"/>
  <c r="D74" i="75"/>
  <c r="C58" i="75" l="1"/>
  <c r="D56" i="75" l="1"/>
  <c r="C46" i="75"/>
  <c r="C49" i="75" l="1"/>
  <c r="D47" i="75"/>
  <c r="J839" i="77" s="1"/>
  <c r="D50" i="75" l="1"/>
  <c r="D44" i="75"/>
  <c r="D69" i="75" l="1"/>
  <c r="D41" i="75" l="1"/>
  <c r="D35" i="75" l="1"/>
  <c r="D32" i="75" l="1"/>
  <c r="D12" i="75"/>
  <c r="G58" i="79"/>
  <c r="I70" i="79"/>
  <c r="K13" i="31"/>
  <c r="K26" i="31" s="1"/>
  <c r="M41" i="79"/>
  <c r="O41" i="79" s="1"/>
  <c r="M53" i="79" s="1"/>
  <c r="M42" i="79"/>
  <c r="O42" i="79" s="1"/>
  <c r="M54" i="79" s="1"/>
  <c r="M43" i="79"/>
  <c r="O43" i="79" s="1"/>
  <c r="M55" i="79" s="1"/>
  <c r="M44" i="79"/>
  <c r="O44" i="79" s="1"/>
  <c r="M56" i="79" s="1"/>
  <c r="M40" i="79"/>
  <c r="O40" i="79" s="1"/>
  <c r="M18" i="79"/>
  <c r="M19" i="79"/>
  <c r="M20" i="79"/>
  <c r="M21" i="79"/>
  <c r="M17" i="79"/>
  <c r="P6" i="79"/>
  <c r="C25" i="9" l="1"/>
  <c r="G25" i="9" s="1"/>
  <c r="D13" i="25"/>
  <c r="I9" i="25" s="1"/>
  <c r="P142" i="31"/>
  <c r="M52" i="79"/>
  <c r="O45" i="79"/>
  <c r="P143" i="31" l="1"/>
  <c r="P144" i="31" s="1"/>
  <c r="R142" i="31"/>
  <c r="D16" i="22"/>
  <c r="J58" i="79"/>
  <c r="J75" i="79"/>
  <c r="J76" i="79" l="1"/>
  <c r="J77" i="79" s="1"/>
  <c r="H39" i="80"/>
  <c r="P12" i="79"/>
  <c r="P13" i="79" s="1"/>
  <c r="J11" i="79" l="1"/>
  <c r="N12" i="79" s="1"/>
  <c r="N13" i="79" s="1"/>
  <c r="J34" i="79"/>
  <c r="N35" i="79" s="1"/>
  <c r="N36" i="79" s="1"/>
  <c r="J70" i="79" l="1"/>
  <c r="M73" i="79" s="1"/>
  <c r="N74" i="79" s="1"/>
  <c r="K636" i="77" l="1"/>
  <c r="S21" i="31"/>
  <c r="I21" i="32"/>
  <c r="H21" i="32"/>
  <c r="O62" i="78"/>
  <c r="O61" i="78"/>
  <c r="O58" i="78"/>
  <c r="O57" i="78"/>
  <c r="O56" i="78"/>
  <c r="O55" i="78"/>
  <c r="O54" i="78"/>
  <c r="O53" i="78"/>
  <c r="O52" i="78"/>
  <c r="O51" i="78"/>
  <c r="O50" i="78"/>
  <c r="O49" i="78"/>
  <c r="O48" i="78"/>
  <c r="O47" i="78"/>
  <c r="O46" i="78"/>
  <c r="O45" i="78"/>
  <c r="O44" i="78"/>
  <c r="O43" i="78"/>
  <c r="O42" i="78"/>
  <c r="O41" i="78"/>
  <c r="O40" i="78"/>
  <c r="O39" i="78"/>
  <c r="O38" i="78"/>
  <c r="O37" i="78"/>
  <c r="O36" i="78"/>
  <c r="O35" i="78"/>
  <c r="O34" i="78"/>
  <c r="O33" i="78"/>
  <c r="O32" i="78"/>
  <c r="O31" i="78"/>
  <c r="O30" i="78"/>
  <c r="O29" i="78"/>
  <c r="O28" i="78"/>
  <c r="O27" i="78"/>
  <c r="O26" i="78"/>
  <c r="O25" i="78"/>
  <c r="O24" i="78"/>
  <c r="O23" i="78"/>
  <c r="O22" i="78"/>
  <c r="O19" i="78"/>
  <c r="O18" i="78"/>
  <c r="O17" i="78"/>
  <c r="O16" i="78"/>
  <c r="O15" i="78"/>
  <c r="O13" i="78"/>
  <c r="O12" i="78"/>
  <c r="O11" i="78"/>
  <c r="O10" i="78"/>
  <c r="O9" i="78"/>
  <c r="O8" i="78"/>
  <c r="O7" i="78"/>
  <c r="O6" i="78"/>
  <c r="O4" i="78"/>
  <c r="G141" i="31"/>
  <c r="M23" i="31"/>
  <c r="M19" i="31"/>
  <c r="K91" i="78"/>
  <c r="N91" i="78"/>
  <c r="N89" i="78"/>
  <c r="L89" i="78" s="1"/>
  <c r="N69" i="78"/>
  <c r="N70" i="78"/>
  <c r="N71" i="78"/>
  <c r="N72" i="78"/>
  <c r="N73" i="78"/>
  <c r="N74" i="78"/>
  <c r="N75" i="78"/>
  <c r="N76" i="78"/>
  <c r="N68" i="78"/>
  <c r="J79" i="78"/>
  <c r="K79" i="78" s="1"/>
  <c r="J80" i="78"/>
  <c r="K80" i="78" s="1"/>
  <c r="M80" i="78" s="1"/>
  <c r="N80" i="78" s="1"/>
  <c r="J81" i="78"/>
  <c r="K81" i="78" s="1"/>
  <c r="M81" i="78" s="1"/>
  <c r="N81" i="78" s="1"/>
  <c r="L81" i="78" s="1"/>
  <c r="J82" i="78"/>
  <c r="K82" i="78" s="1"/>
  <c r="M82" i="78" s="1"/>
  <c r="N82" i="78" s="1"/>
  <c r="L82" i="78" s="1"/>
  <c r="J83" i="78"/>
  <c r="K83" i="78" s="1"/>
  <c r="J84" i="78"/>
  <c r="K84" i="78" s="1"/>
  <c r="M84" i="78" s="1"/>
  <c r="N84" i="78" s="1"/>
  <c r="J85" i="78"/>
  <c r="K85" i="78" s="1"/>
  <c r="M85" i="78" s="1"/>
  <c r="N85" i="78" s="1"/>
  <c r="L85" i="78" s="1"/>
  <c r="J86" i="78"/>
  <c r="K86" i="78" s="1"/>
  <c r="M86" i="78" s="1"/>
  <c r="N86" i="78" s="1"/>
  <c r="L86" i="78" s="1"/>
  <c r="J87" i="78"/>
  <c r="K87" i="78" s="1"/>
  <c r="G79" i="78"/>
  <c r="H79" i="78" s="1"/>
  <c r="G80" i="78"/>
  <c r="H80" i="78" s="1"/>
  <c r="G81" i="78"/>
  <c r="H81" i="78" s="1"/>
  <c r="G82" i="78"/>
  <c r="H82" i="78" s="1"/>
  <c r="G83" i="78"/>
  <c r="H83" i="78" s="1"/>
  <c r="G84" i="78"/>
  <c r="H84" i="78" s="1"/>
  <c r="G85" i="78"/>
  <c r="H85" i="78" s="1"/>
  <c r="G86" i="78"/>
  <c r="H86" i="78" s="1"/>
  <c r="G87" i="78"/>
  <c r="H87" i="78" s="1"/>
  <c r="J69" i="78"/>
  <c r="K69" i="78" s="1"/>
  <c r="L69" i="78" s="1"/>
  <c r="J70" i="78"/>
  <c r="K70" i="78" s="1"/>
  <c r="J71" i="78"/>
  <c r="K71" i="78" s="1"/>
  <c r="J72" i="78"/>
  <c r="K72" i="78" s="1"/>
  <c r="J73" i="78"/>
  <c r="K73" i="78" s="1"/>
  <c r="J74" i="78"/>
  <c r="K74" i="78" s="1"/>
  <c r="J75" i="78"/>
  <c r="K75" i="78" s="1"/>
  <c r="J76" i="78"/>
  <c r="K76" i="78" s="1"/>
  <c r="G69" i="78"/>
  <c r="H69" i="78" s="1"/>
  <c r="G70" i="78"/>
  <c r="H70" i="78" s="1"/>
  <c r="G71" i="78"/>
  <c r="H71" i="78" s="1"/>
  <c r="G72" i="78"/>
  <c r="H72" i="78" s="1"/>
  <c r="G73" i="78"/>
  <c r="H73" i="78" s="1"/>
  <c r="G74" i="78"/>
  <c r="H74" i="78" s="1"/>
  <c r="G75" i="78"/>
  <c r="H75" i="78" s="1"/>
  <c r="G76" i="78"/>
  <c r="H76" i="78" s="1"/>
  <c r="G91" i="78"/>
  <c r="H91" i="78" s="1"/>
  <c r="G89" i="78"/>
  <c r="H89" i="78" s="1"/>
  <c r="G78" i="78"/>
  <c r="H78" i="78" s="1"/>
  <c r="G68" i="78"/>
  <c r="H68" i="78" s="1"/>
  <c r="J89" i="78"/>
  <c r="J78" i="78"/>
  <c r="K78" i="78" s="1"/>
  <c r="M78" i="78" s="1"/>
  <c r="N78" i="78" s="1"/>
  <c r="L78" i="78" s="1"/>
  <c r="J68" i="78"/>
  <c r="K68" i="78" s="1"/>
  <c r="L68" i="78" s="1"/>
  <c r="G62" i="78"/>
  <c r="H62" i="78" s="1"/>
  <c r="J62" i="78"/>
  <c r="K62" i="78" s="1"/>
  <c r="L62" i="78" s="1"/>
  <c r="J61" i="78"/>
  <c r="K61" i="78" s="1"/>
  <c r="L61" i="78" s="1"/>
  <c r="G61" i="78"/>
  <c r="H61" i="78" s="1"/>
  <c r="G23" i="78"/>
  <c r="H23" i="78" s="1"/>
  <c r="J23" i="78"/>
  <c r="K23" i="78" s="1"/>
  <c r="L23" i="78" s="1"/>
  <c r="G24" i="78"/>
  <c r="H24" i="78" s="1"/>
  <c r="J24" i="78"/>
  <c r="K24" i="78" s="1"/>
  <c r="L24" i="78" s="1"/>
  <c r="G25" i="78"/>
  <c r="H25" i="78" s="1"/>
  <c r="J25" i="78"/>
  <c r="K25" i="78" s="1"/>
  <c r="L25" i="78" s="1"/>
  <c r="G26" i="78"/>
  <c r="H26" i="78" s="1"/>
  <c r="J26" i="78"/>
  <c r="K26" i="78" s="1"/>
  <c r="L26" i="78" s="1"/>
  <c r="G27" i="78"/>
  <c r="H27" i="78" s="1"/>
  <c r="J27" i="78"/>
  <c r="K27" i="78" s="1"/>
  <c r="L27" i="78" s="1"/>
  <c r="G28" i="78"/>
  <c r="H28" i="78" s="1"/>
  <c r="J28" i="78"/>
  <c r="K28" i="78" s="1"/>
  <c r="L28" i="78" s="1"/>
  <c r="G29" i="78"/>
  <c r="H29" i="78" s="1"/>
  <c r="J29" i="78"/>
  <c r="K29" i="78" s="1"/>
  <c r="L29" i="78" s="1"/>
  <c r="G30" i="78"/>
  <c r="H30" i="78" s="1"/>
  <c r="J30" i="78"/>
  <c r="K30" i="78" s="1"/>
  <c r="L30" i="78" s="1"/>
  <c r="G31" i="78"/>
  <c r="H31" i="78" s="1"/>
  <c r="J31" i="78"/>
  <c r="K31" i="78" s="1"/>
  <c r="L31" i="78" s="1"/>
  <c r="G32" i="78"/>
  <c r="H32" i="78" s="1"/>
  <c r="J32" i="78"/>
  <c r="K32" i="78" s="1"/>
  <c r="L32" i="78" s="1"/>
  <c r="G33" i="78"/>
  <c r="H33" i="78" s="1"/>
  <c r="J33" i="78"/>
  <c r="K33" i="78" s="1"/>
  <c r="L33" i="78" s="1"/>
  <c r="G34" i="78"/>
  <c r="H34" i="78" s="1"/>
  <c r="J34" i="78"/>
  <c r="K34" i="78" s="1"/>
  <c r="L34" i="78" s="1"/>
  <c r="G35" i="78"/>
  <c r="H35" i="78" s="1"/>
  <c r="J35" i="78"/>
  <c r="K35" i="78" s="1"/>
  <c r="L35" i="78" s="1"/>
  <c r="G36" i="78"/>
  <c r="H36" i="78" s="1"/>
  <c r="J36" i="78"/>
  <c r="K36" i="78" s="1"/>
  <c r="L36" i="78" s="1"/>
  <c r="G37" i="78"/>
  <c r="H37" i="78" s="1"/>
  <c r="J37" i="78"/>
  <c r="K37" i="78" s="1"/>
  <c r="L37" i="78" s="1"/>
  <c r="G38" i="78"/>
  <c r="H38" i="78" s="1"/>
  <c r="J38" i="78"/>
  <c r="K38" i="78" s="1"/>
  <c r="L38" i="78" s="1"/>
  <c r="G39" i="78"/>
  <c r="H39" i="78" s="1"/>
  <c r="J39" i="78"/>
  <c r="K39" i="78" s="1"/>
  <c r="L39" i="78" s="1"/>
  <c r="G40" i="78"/>
  <c r="H40" i="78" s="1"/>
  <c r="J40" i="78"/>
  <c r="K40" i="78" s="1"/>
  <c r="L40" i="78" s="1"/>
  <c r="G41" i="78"/>
  <c r="H41" i="78" s="1"/>
  <c r="J41" i="78"/>
  <c r="K41" i="78" s="1"/>
  <c r="L41" i="78" s="1"/>
  <c r="G42" i="78"/>
  <c r="H42" i="78" s="1"/>
  <c r="J42" i="78"/>
  <c r="K42" i="78" s="1"/>
  <c r="L42" i="78" s="1"/>
  <c r="G43" i="78"/>
  <c r="H43" i="78" s="1"/>
  <c r="J43" i="78"/>
  <c r="K43" i="78" s="1"/>
  <c r="L43" i="78" s="1"/>
  <c r="G44" i="78"/>
  <c r="H44" i="78" s="1"/>
  <c r="J44" i="78"/>
  <c r="K44" i="78" s="1"/>
  <c r="L44" i="78" s="1"/>
  <c r="G45" i="78"/>
  <c r="H45" i="78" s="1"/>
  <c r="J45" i="78"/>
  <c r="K45" i="78" s="1"/>
  <c r="L45" i="78" s="1"/>
  <c r="G46" i="78"/>
  <c r="H46" i="78" s="1"/>
  <c r="J46" i="78"/>
  <c r="K46" i="78" s="1"/>
  <c r="L46" i="78" s="1"/>
  <c r="G47" i="78"/>
  <c r="H47" i="78" s="1"/>
  <c r="J47" i="78"/>
  <c r="K47" i="78" s="1"/>
  <c r="L47" i="78" s="1"/>
  <c r="G48" i="78"/>
  <c r="H48" i="78" s="1"/>
  <c r="J48" i="78"/>
  <c r="K48" i="78" s="1"/>
  <c r="L48" i="78" s="1"/>
  <c r="G49" i="78"/>
  <c r="H49" i="78" s="1"/>
  <c r="J49" i="78"/>
  <c r="K49" i="78" s="1"/>
  <c r="L49" i="78" s="1"/>
  <c r="G50" i="78"/>
  <c r="H50" i="78" s="1"/>
  <c r="J50" i="78"/>
  <c r="K50" i="78" s="1"/>
  <c r="L50" i="78" s="1"/>
  <c r="G51" i="78"/>
  <c r="H51" i="78" s="1"/>
  <c r="J51" i="78"/>
  <c r="K51" i="78" s="1"/>
  <c r="L51" i="78" s="1"/>
  <c r="G52" i="78"/>
  <c r="H52" i="78" s="1"/>
  <c r="J52" i="78"/>
  <c r="K52" i="78" s="1"/>
  <c r="L52" i="78" s="1"/>
  <c r="G53" i="78"/>
  <c r="H53" i="78" s="1"/>
  <c r="J53" i="78"/>
  <c r="K53" i="78" s="1"/>
  <c r="L53" i="78" s="1"/>
  <c r="G54" i="78"/>
  <c r="H54" i="78" s="1"/>
  <c r="J54" i="78"/>
  <c r="K54" i="78" s="1"/>
  <c r="L54" i="78" s="1"/>
  <c r="G55" i="78"/>
  <c r="H55" i="78" s="1"/>
  <c r="J55" i="78"/>
  <c r="K55" i="78" s="1"/>
  <c r="L55" i="78" s="1"/>
  <c r="G56" i="78"/>
  <c r="H56" i="78" s="1"/>
  <c r="J56" i="78"/>
  <c r="K56" i="78" s="1"/>
  <c r="L56" i="78" s="1"/>
  <c r="G57" i="78"/>
  <c r="H57" i="78" s="1"/>
  <c r="J57" i="78"/>
  <c r="K57" i="78" s="1"/>
  <c r="L57" i="78" s="1"/>
  <c r="G58" i="78"/>
  <c r="H58" i="78" s="1"/>
  <c r="J58" i="78"/>
  <c r="K58" i="78" s="1"/>
  <c r="L58" i="78" s="1"/>
  <c r="J22" i="78"/>
  <c r="K22" i="78" s="1"/>
  <c r="L22" i="78" s="1"/>
  <c r="G22" i="78"/>
  <c r="H22" i="78" s="1"/>
  <c r="G16" i="78"/>
  <c r="H16" i="78" s="1"/>
  <c r="J16" i="78"/>
  <c r="K16" i="78" s="1"/>
  <c r="L16" i="78" s="1"/>
  <c r="G17" i="78"/>
  <c r="H17" i="78" s="1"/>
  <c r="J17" i="78"/>
  <c r="K17" i="78" s="1"/>
  <c r="L17" i="78" s="1"/>
  <c r="G18" i="78"/>
  <c r="H18" i="78" s="1"/>
  <c r="J18" i="78"/>
  <c r="K18" i="78" s="1"/>
  <c r="L18" i="78" s="1"/>
  <c r="G19" i="78"/>
  <c r="H19" i="78" s="1"/>
  <c r="J19" i="78"/>
  <c r="K19" i="78" s="1"/>
  <c r="L19" i="78" s="1"/>
  <c r="J15" i="78"/>
  <c r="K15" i="78" s="1"/>
  <c r="L15" i="78" s="1"/>
  <c r="G15" i="78"/>
  <c r="H15" i="78" s="1"/>
  <c r="J7" i="78"/>
  <c r="K7" i="78" s="1"/>
  <c r="L7" i="78" s="1"/>
  <c r="J8" i="78"/>
  <c r="K8" i="78" s="1"/>
  <c r="L8" i="78" s="1"/>
  <c r="J9" i="78"/>
  <c r="K9" i="78" s="1"/>
  <c r="L9" i="78" s="1"/>
  <c r="J10" i="78"/>
  <c r="K10" i="78" s="1"/>
  <c r="L10" i="78" s="1"/>
  <c r="J11" i="78"/>
  <c r="K11" i="78" s="1"/>
  <c r="L11" i="78" s="1"/>
  <c r="J12" i="78"/>
  <c r="K12" i="78" s="1"/>
  <c r="L12" i="78" s="1"/>
  <c r="J13" i="78"/>
  <c r="K13" i="78" s="1"/>
  <c r="L13" i="78" s="1"/>
  <c r="J6" i="78"/>
  <c r="K6" i="78" s="1"/>
  <c r="L6" i="78" s="1"/>
  <c r="G13" i="78"/>
  <c r="H13" i="78" s="1"/>
  <c r="G12" i="78"/>
  <c r="H12" i="78" s="1"/>
  <c r="G11" i="78"/>
  <c r="H11" i="78" s="1"/>
  <c r="G10" i="78"/>
  <c r="H10" i="78" s="1"/>
  <c r="G9" i="78"/>
  <c r="H9" i="78" s="1"/>
  <c r="G8" i="78"/>
  <c r="H8" i="78" s="1"/>
  <c r="G7" i="78"/>
  <c r="H7" i="78" s="1"/>
  <c r="G6" i="78"/>
  <c r="H6" i="78" s="1"/>
  <c r="J4" i="78"/>
  <c r="K4" i="78" s="1"/>
  <c r="L4" i="78" s="1"/>
  <c r="G4" i="78"/>
  <c r="H4" i="78" s="1"/>
  <c r="D19" i="75"/>
  <c r="L74" i="78" l="1"/>
  <c r="L70" i="78"/>
  <c r="L73" i="78"/>
  <c r="L71" i="78"/>
  <c r="L75" i="78"/>
  <c r="L76" i="78"/>
  <c r="L72" i="78"/>
  <c r="M83" i="78"/>
  <c r="N83" i="78" s="1"/>
  <c r="L83" i="78" s="1"/>
  <c r="M79" i="78"/>
  <c r="N79" i="78" s="1"/>
  <c r="L79" i="78" s="1"/>
  <c r="M87" i="78"/>
  <c r="N87" i="78" s="1"/>
  <c r="L87" i="78" s="1"/>
  <c r="L84" i="78"/>
  <c r="L80" i="78"/>
  <c r="M205" i="5"/>
  <c r="N205" i="5" s="1"/>
  <c r="E49" i="22"/>
  <c r="G49" i="22" s="1"/>
  <c r="E130" i="25"/>
  <c r="N23" i="31"/>
  <c r="N211" i="5"/>
  <c r="J21" i="32"/>
  <c r="L91" i="78"/>
  <c r="J70" i="5" l="1"/>
  <c r="J307" i="5" l="1"/>
  <c r="I14" i="69" l="1"/>
  <c r="C99" i="69" s="1"/>
  <c r="N72" i="5" l="1"/>
  <c r="F34" i="72" l="1"/>
  <c r="I125" i="25"/>
  <c r="N296" i="73" l="1"/>
  <c r="A198" i="73"/>
  <c r="A254" i="73" s="1"/>
  <c r="A266" i="73" s="1"/>
  <c r="A294" i="73" s="1"/>
  <c r="A320" i="73" s="1"/>
  <c r="A188" i="73"/>
  <c r="A194" i="73" s="1"/>
  <c r="A110" i="73"/>
  <c r="A74" i="73"/>
  <c r="A52" i="73"/>
  <c r="A56" i="73" s="1"/>
  <c r="A40" i="73"/>
  <c r="A44" i="73" s="1"/>
  <c r="A25" i="73"/>
  <c r="A220" i="73" l="1"/>
  <c r="A225" i="73"/>
  <c r="A231" i="73" s="1"/>
  <c r="A235" i="73" s="1"/>
  <c r="C89" i="69"/>
  <c r="D90" i="69" s="1"/>
  <c r="J47" i="59"/>
  <c r="B74" i="22"/>
  <c r="I51" i="25" l="1"/>
  <c r="F11" i="70" l="1"/>
  <c r="K22" i="71"/>
  <c r="J22" i="71"/>
  <c r="M18" i="69"/>
  <c r="I21" i="69"/>
  <c r="D24" i="71"/>
  <c r="J25" i="71" l="1"/>
  <c r="D15" i="71"/>
  <c r="D16" i="71"/>
  <c r="D17" i="71"/>
  <c r="D18" i="71"/>
  <c r="D19" i="71"/>
  <c r="D20" i="71"/>
  <c r="D21" i="71"/>
  <c r="D22" i="71"/>
  <c r="D25" i="71"/>
  <c r="D26" i="71"/>
  <c r="D27" i="71"/>
  <c r="D28" i="71"/>
  <c r="D29" i="71"/>
  <c r="D30" i="71"/>
  <c r="D31" i="71"/>
  <c r="D32" i="71"/>
  <c r="D33" i="71"/>
  <c r="D34" i="71"/>
  <c r="D35" i="71"/>
  <c r="D36" i="71"/>
  <c r="D37" i="71"/>
  <c r="D38" i="71"/>
  <c r="D39" i="71"/>
  <c r="D40" i="71"/>
  <c r="D41" i="71"/>
  <c r="D42" i="71"/>
  <c r="D43" i="71"/>
  <c r="D44" i="71"/>
  <c r="D14" i="71"/>
  <c r="C54" i="70"/>
  <c r="C67" i="70"/>
  <c r="C69" i="70" s="1"/>
  <c r="D49" i="70"/>
  <c r="D47" i="70"/>
  <c r="D46" i="70"/>
  <c r="D45" i="70"/>
  <c r="D44" i="70"/>
  <c r="D43" i="70"/>
  <c r="D42" i="70"/>
  <c r="D41" i="70"/>
  <c r="B41" i="70"/>
  <c r="D40" i="70"/>
  <c r="D39" i="70"/>
  <c r="D38" i="70"/>
  <c r="B35" i="70"/>
  <c r="D35" i="70" s="1"/>
  <c r="B27" i="70"/>
  <c r="C25" i="70"/>
  <c r="C24" i="70"/>
  <c r="F22" i="70"/>
  <c r="E22" i="70"/>
  <c r="C22" i="70"/>
  <c r="B49" i="70" s="1"/>
  <c r="F21" i="70"/>
  <c r="C21" i="70"/>
  <c r="G21" i="70" s="1"/>
  <c r="F20" i="70"/>
  <c r="E20" i="70"/>
  <c r="C20" i="70"/>
  <c r="B47" i="70" s="1"/>
  <c r="F19" i="70"/>
  <c r="E19" i="70"/>
  <c r="C19" i="70"/>
  <c r="B46" i="70" s="1"/>
  <c r="F18" i="70"/>
  <c r="E18" i="70"/>
  <c r="C18" i="70"/>
  <c r="B45" i="70" s="1"/>
  <c r="F17" i="70"/>
  <c r="E17" i="70"/>
  <c r="C17" i="70"/>
  <c r="B44" i="70" s="1"/>
  <c r="F16" i="70"/>
  <c r="C16" i="70"/>
  <c r="B43" i="70" s="1"/>
  <c r="F15" i="70"/>
  <c r="E15" i="70"/>
  <c r="C15" i="70"/>
  <c r="B42" i="70" s="1"/>
  <c r="G14" i="70"/>
  <c r="F14" i="70"/>
  <c r="F13" i="70"/>
  <c r="E13" i="70"/>
  <c r="C13" i="70"/>
  <c r="B40" i="70" s="1"/>
  <c r="F12" i="70"/>
  <c r="E12" i="70"/>
  <c r="C12" i="70"/>
  <c r="B39" i="70" s="1"/>
  <c r="E11" i="70"/>
  <c r="C11" i="70"/>
  <c r="B38" i="70" s="1"/>
  <c r="F7" i="70"/>
  <c r="G7" i="70" s="1"/>
  <c r="F6" i="70"/>
  <c r="G6" i="70" s="1"/>
  <c r="D77" i="69"/>
  <c r="C76" i="69" s="1"/>
  <c r="D72" i="69"/>
  <c r="D61" i="69"/>
  <c r="C48" i="69"/>
  <c r="D47" i="69"/>
  <c r="C45" i="69" s="1"/>
  <c r="C42" i="69"/>
  <c r="C39" i="69"/>
  <c r="C36" i="69"/>
  <c r="C29" i="69"/>
  <c r="D26" i="69"/>
  <c r="C19" i="69"/>
  <c r="C4" i="69"/>
  <c r="C49" i="70" l="1"/>
  <c r="E49" i="70" s="1"/>
  <c r="G15" i="70"/>
  <c r="G20" i="70"/>
  <c r="G13" i="70"/>
  <c r="B48" i="70"/>
  <c r="C48" i="70" s="1"/>
  <c r="E48" i="70" s="1"/>
  <c r="G27" i="71"/>
  <c r="G12" i="70"/>
  <c r="G19" i="70"/>
  <c r="G22" i="70"/>
  <c r="G11" i="70"/>
  <c r="G18" i="70"/>
  <c r="F23" i="70"/>
  <c r="G17" i="70"/>
  <c r="D50" i="70"/>
  <c r="C40" i="70"/>
  <c r="E40" i="70" s="1"/>
  <c r="C42" i="70"/>
  <c r="E42" i="70" s="1"/>
  <c r="C43" i="70"/>
  <c r="E43" i="70" s="1"/>
  <c r="C44" i="70"/>
  <c r="E44" i="70" s="1"/>
  <c r="C45" i="70"/>
  <c r="E45" i="70" s="1"/>
  <c r="C46" i="70"/>
  <c r="E46" i="70" s="1"/>
  <c r="C47" i="70"/>
  <c r="E47" i="70" s="1"/>
  <c r="F8" i="70"/>
  <c r="C38" i="70"/>
  <c r="C39" i="70"/>
  <c r="E39" i="70" s="1"/>
  <c r="G16" i="70"/>
  <c r="C50" i="70" l="1"/>
  <c r="C55" i="70" s="1"/>
  <c r="C56" i="70" s="1"/>
  <c r="E38" i="70"/>
  <c r="E50" i="70" s="1"/>
  <c r="P234" i="5" l="1"/>
  <c r="P235" i="5" s="1"/>
  <c r="J723" i="59"/>
  <c r="L466" i="59" l="1"/>
  <c r="M466" i="59" s="1"/>
  <c r="L470" i="59"/>
  <c r="L445" i="59"/>
  <c r="L444" i="59"/>
  <c r="L438" i="59"/>
  <c r="H19" i="9" l="1"/>
  <c r="H21" i="9" s="1"/>
  <c r="H18" i="9"/>
  <c r="D98" i="68" l="1"/>
  <c r="D94" i="68"/>
  <c r="D84" i="68"/>
  <c r="C84" i="68"/>
  <c r="C67" i="68"/>
  <c r="F64" i="68"/>
  <c r="F66" i="68" s="1"/>
  <c r="F59" i="68"/>
  <c r="F61" i="68" s="1"/>
  <c r="F54" i="68"/>
  <c r="F56" i="68" s="1"/>
  <c r="F49" i="68"/>
  <c r="F51" i="68" s="1"/>
  <c r="F44" i="68"/>
  <c r="F46" i="68" s="1"/>
  <c r="F39" i="68"/>
  <c r="F41" i="68" s="1"/>
  <c r="F33" i="68"/>
  <c r="C33" i="68"/>
  <c r="D86" i="68" l="1"/>
  <c r="D87" i="68" s="1"/>
  <c r="F35" i="68"/>
  <c r="H33" i="68" s="1"/>
  <c r="D93" i="68"/>
  <c r="D99" i="68" s="1"/>
  <c r="F40" i="68"/>
  <c r="F42" i="68" s="1"/>
  <c r="F45" i="68"/>
  <c r="F47" i="68" s="1"/>
  <c r="F50" i="68"/>
  <c r="F52" i="68" s="1"/>
  <c r="F55" i="68"/>
  <c r="F57" i="68" s="1"/>
  <c r="F60" i="68"/>
  <c r="F62" i="68" s="1"/>
  <c r="F65" i="68"/>
  <c r="F67" i="68" s="1"/>
  <c r="D88" i="68" l="1"/>
  <c r="H67" i="68"/>
  <c r="J439" i="59" l="1"/>
  <c r="K746" i="59"/>
  <c r="J746" i="59" s="1"/>
  <c r="J654" i="59"/>
  <c r="J651" i="59" s="1"/>
  <c r="J247" i="5"/>
  <c r="M470" i="59"/>
  <c r="M445" i="59"/>
  <c r="M444" i="59"/>
  <c r="M438" i="59"/>
  <c r="H5" i="31" l="1"/>
  <c r="F2" i="32"/>
  <c r="O214" i="5"/>
  <c r="O208" i="5" s="1"/>
  <c r="A3" i="9" l="1"/>
  <c r="C3" i="25"/>
  <c r="B163" i="25"/>
  <c r="B162" i="25"/>
  <c r="F159" i="25"/>
  <c r="D159" i="25"/>
  <c r="E75" i="22"/>
  <c r="C75" i="22"/>
  <c r="D62" i="9"/>
  <c r="B62" i="9"/>
  <c r="A64" i="9"/>
  <c r="A44" i="82" s="1"/>
  <c r="A62" i="8"/>
  <c r="B3" i="5"/>
  <c r="C3" i="22"/>
  <c r="D42" i="82" l="1"/>
  <c r="F747" i="59"/>
  <c r="J193" i="5" l="1"/>
  <c r="J46" i="59"/>
  <c r="J44" i="59"/>
  <c r="J41" i="59"/>
  <c r="B84" i="82" l="1"/>
  <c r="E129" i="25"/>
  <c r="E133" i="25" s="1"/>
  <c r="J475" i="59"/>
  <c r="M87" i="5"/>
  <c r="M89" i="5"/>
  <c r="L87" i="5"/>
  <c r="O87" i="5"/>
  <c r="Q87" i="5"/>
  <c r="L88" i="5"/>
  <c r="M88" i="5"/>
  <c r="N88" i="5"/>
  <c r="O88" i="5"/>
  <c r="P88" i="5"/>
  <c r="Q88" i="5"/>
  <c r="L89" i="5"/>
  <c r="N89" i="5"/>
  <c r="O89" i="5"/>
  <c r="P89" i="5"/>
  <c r="Q89" i="5"/>
  <c r="L90" i="5"/>
  <c r="N90" i="5"/>
  <c r="O90" i="5"/>
  <c r="P90" i="5"/>
  <c r="Q90" i="5"/>
  <c r="L86" i="5"/>
  <c r="O86" i="5"/>
  <c r="P86" i="5"/>
  <c r="Q86" i="5"/>
  <c r="N86" i="5"/>
  <c r="M90" i="5" l="1"/>
  <c r="I13" i="32" l="1"/>
  <c r="H11" i="53"/>
  <c r="H41" i="53"/>
  <c r="C41" i="53"/>
  <c r="H15" i="53"/>
  <c r="H16" i="53"/>
  <c r="H17" i="53"/>
  <c r="H18" i="53"/>
  <c r="H19" i="53"/>
  <c r="H20" i="53"/>
  <c r="H21" i="53"/>
  <c r="H14" i="53"/>
  <c r="D19" i="31"/>
  <c r="D21" i="31" s="1"/>
  <c r="I15" i="31"/>
  <c r="K44" i="59"/>
  <c r="M86" i="5"/>
  <c r="M92" i="5" s="1"/>
  <c r="J65" i="5"/>
  <c r="C20" i="8" s="1"/>
  <c r="J68" i="5"/>
  <c r="K68" i="5"/>
  <c r="E13" i="22" l="1"/>
  <c r="J239" i="5"/>
  <c r="M91" i="5"/>
  <c r="M44" i="59"/>
  <c r="P87" i="5" s="1"/>
  <c r="N87" i="5"/>
  <c r="J74" i="5"/>
  <c r="C24" i="8" s="1"/>
  <c r="D38" i="25" s="1"/>
  <c r="B66" i="82" l="1"/>
  <c r="D30" i="82" s="1"/>
  <c r="J253" i="5"/>
  <c r="H674" i="56" l="1"/>
  <c r="I674" i="56" s="1"/>
  <c r="H676" i="56"/>
  <c r="F737" i="52" l="1"/>
  <c r="G729" i="52"/>
  <c r="F726" i="52"/>
  <c r="G362" i="52"/>
  <c r="H659" i="56"/>
  <c r="H656" i="56"/>
  <c r="H627" i="56"/>
  <c r="I359" i="56"/>
  <c r="I358" i="56"/>
  <c r="G162" i="52"/>
  <c r="G164" i="52"/>
  <c r="G171" i="52"/>
  <c r="H64" i="52"/>
  <c r="K78" i="5"/>
  <c r="D116" i="25"/>
  <c r="H12" i="25" s="1"/>
  <c r="G9" i="8"/>
  <c r="G21" i="8"/>
  <c r="E32" i="53"/>
  <c r="F8" i="53"/>
  <c r="P22" i="32" l="1"/>
  <c r="G49" i="8" l="1"/>
  <c r="E438" i="52" l="1"/>
  <c r="G309" i="52"/>
  <c r="G188" i="52"/>
  <c r="G46" i="52"/>
  <c r="G48" i="52"/>
  <c r="G187" i="52"/>
  <c r="G308" i="52"/>
  <c r="M230" i="5" l="1"/>
  <c r="M219" i="5"/>
  <c r="M83" i="5"/>
  <c r="U238" i="5"/>
  <c r="U241" i="5" s="1"/>
  <c r="N174" i="5"/>
  <c r="O174" i="5" s="1"/>
  <c r="L306" i="5"/>
  <c r="E363" i="52"/>
  <c r="E14" i="52"/>
  <c r="M235" i="5" l="1"/>
  <c r="L316" i="5"/>
  <c r="E361" i="52"/>
  <c r="B358" i="52"/>
  <c r="E458" i="52"/>
  <c r="C50" i="8" s="1"/>
  <c r="E649" i="52"/>
  <c r="E439" i="52"/>
  <c r="E151" i="36" s="1"/>
  <c r="E459" i="52"/>
  <c r="J165" i="5"/>
  <c r="E652" i="52"/>
  <c r="I24" i="8"/>
  <c r="C24" i="54"/>
  <c r="C27" i="54" s="1"/>
  <c r="C23" i="53"/>
  <c r="E15" i="54"/>
  <c r="F15" i="54" s="1"/>
  <c r="E14" i="54"/>
  <c r="F14" i="54" s="1"/>
  <c r="H15" i="54"/>
  <c r="H14" i="54"/>
  <c r="E22" i="54"/>
  <c r="F22" i="54" s="1"/>
  <c r="E21" i="54"/>
  <c r="F21" i="54" s="1"/>
  <c r="H22" i="54"/>
  <c r="H21" i="54"/>
  <c r="K24" i="54"/>
  <c r="K27" i="54" s="1"/>
  <c r="H20" i="54"/>
  <c r="E20" i="54"/>
  <c r="F20" i="54" s="1"/>
  <c r="H19" i="54"/>
  <c r="E19" i="54"/>
  <c r="F19" i="54" s="1"/>
  <c r="H18" i="54"/>
  <c r="E18" i="54"/>
  <c r="F18" i="54" s="1"/>
  <c r="H17" i="54"/>
  <c r="E17" i="54"/>
  <c r="F17" i="54" s="1"/>
  <c r="H16" i="54"/>
  <c r="E16" i="54"/>
  <c r="F16" i="54" s="1"/>
  <c r="H13" i="54"/>
  <c r="E13" i="54"/>
  <c r="F13" i="54" s="1"/>
  <c r="H12" i="54"/>
  <c r="E12" i="54"/>
  <c r="F12" i="54" s="1"/>
  <c r="H11" i="54"/>
  <c r="E11" i="54"/>
  <c r="F11" i="54" s="1"/>
  <c r="H10" i="54"/>
  <c r="E10" i="54"/>
  <c r="F10" i="54" s="1"/>
  <c r="H9" i="54"/>
  <c r="E9" i="54"/>
  <c r="F9" i="54" s="1"/>
  <c r="H8" i="54"/>
  <c r="E24" i="54"/>
  <c r="E27" i="54" s="1"/>
  <c r="W53" i="44"/>
  <c r="Y53" i="44" s="1"/>
  <c r="E37" i="53"/>
  <c r="F37" i="53" s="1"/>
  <c r="G37" i="53" s="1"/>
  <c r="H37" i="53"/>
  <c r="E36" i="53"/>
  <c r="F36" i="53" s="1"/>
  <c r="G36" i="53" s="1"/>
  <c r="H36" i="53"/>
  <c r="E21" i="53"/>
  <c r="F21" i="53" s="1"/>
  <c r="E20" i="53"/>
  <c r="F20" i="53" s="1"/>
  <c r="G20" i="53" s="1"/>
  <c r="E19" i="53"/>
  <c r="F19" i="53" s="1"/>
  <c r="G19" i="53" s="1"/>
  <c r="E18" i="53"/>
  <c r="F18" i="53" s="1"/>
  <c r="E17" i="53"/>
  <c r="F17" i="53" s="1"/>
  <c r="E16" i="53"/>
  <c r="F16" i="53" s="1"/>
  <c r="G16" i="53" s="1"/>
  <c r="E15" i="53"/>
  <c r="F15" i="53" s="1"/>
  <c r="G15" i="53" s="1"/>
  <c r="E14" i="53"/>
  <c r="F14" i="53" s="1"/>
  <c r="G14" i="53" s="1"/>
  <c r="L47" i="53"/>
  <c r="K47" i="53"/>
  <c r="I47" i="53"/>
  <c r="E47" i="53"/>
  <c r="C47" i="53"/>
  <c r="J46" i="53"/>
  <c r="J47" i="53" s="1"/>
  <c r="F46" i="53"/>
  <c r="F47" i="53" s="1"/>
  <c r="K44" i="53"/>
  <c r="K38" i="53"/>
  <c r="C38" i="53"/>
  <c r="H35" i="53"/>
  <c r="E35" i="53"/>
  <c r="F35" i="53" s="1"/>
  <c r="G35" i="53" s="1"/>
  <c r="H34" i="53"/>
  <c r="E34" i="53"/>
  <c r="F34" i="53" s="1"/>
  <c r="H33" i="53"/>
  <c r="E33" i="53"/>
  <c r="F33" i="53" s="1"/>
  <c r="G33" i="53" s="1"/>
  <c r="H32" i="53"/>
  <c r="F32" i="53"/>
  <c r="G32" i="53" s="1"/>
  <c r="H31" i="53"/>
  <c r="E31" i="53"/>
  <c r="F31" i="53" s="1"/>
  <c r="G31" i="53" s="1"/>
  <c r="H30" i="53"/>
  <c r="E30" i="53"/>
  <c r="F30" i="53" s="1"/>
  <c r="G30" i="53" s="1"/>
  <c r="H29" i="53"/>
  <c r="E29" i="53"/>
  <c r="F29" i="53" s="1"/>
  <c r="G29" i="53" s="1"/>
  <c r="H28" i="53"/>
  <c r="E28" i="53"/>
  <c r="F28" i="53" s="1"/>
  <c r="G28" i="53" s="1"/>
  <c r="H26" i="53"/>
  <c r="K23" i="53"/>
  <c r="K9" i="53"/>
  <c r="C9" i="53"/>
  <c r="H8" i="53"/>
  <c r="W56" i="44"/>
  <c r="W55" i="44"/>
  <c r="Y55" i="44" s="1"/>
  <c r="W54" i="44"/>
  <c r="Y54" i="44" s="1"/>
  <c r="W52" i="44"/>
  <c r="Y52" i="44" s="1"/>
  <c r="W51" i="44"/>
  <c r="Y51" i="44" s="1"/>
  <c r="E755" i="52"/>
  <c r="V57" i="44"/>
  <c r="U57" i="44"/>
  <c r="D43" i="36"/>
  <c r="S26" i="31"/>
  <c r="J352" i="5"/>
  <c r="E360" i="52"/>
  <c r="E359" i="52"/>
  <c r="H42" i="52" s="1"/>
  <c r="E359" i="51"/>
  <c r="E358" i="51"/>
  <c r="E357" i="51"/>
  <c r="AA55" i="44"/>
  <c r="AA54" i="44"/>
  <c r="AA53" i="44"/>
  <c r="AA52" i="44"/>
  <c r="R70" i="44"/>
  <c r="O64" i="44"/>
  <c r="R62" i="44"/>
  <c r="R61" i="44"/>
  <c r="R60" i="44"/>
  <c r="R59" i="44"/>
  <c r="R58" i="44"/>
  <c r="R57" i="44"/>
  <c r="R56" i="44"/>
  <c r="R55" i="44"/>
  <c r="R54" i="44"/>
  <c r="R53" i="44"/>
  <c r="O47" i="44"/>
  <c r="R45" i="44"/>
  <c r="R44" i="44"/>
  <c r="R43" i="44"/>
  <c r="R42" i="44"/>
  <c r="R41" i="44"/>
  <c r="R40" i="44"/>
  <c r="R39" i="44"/>
  <c r="J230" i="5"/>
  <c r="C11" i="9" s="1"/>
  <c r="J27" i="32"/>
  <c r="H15" i="32"/>
  <c r="J255" i="5"/>
  <c r="G20" i="8"/>
  <c r="H21" i="8" s="1"/>
  <c r="N173" i="45"/>
  <c r="F49" i="45"/>
  <c r="F51" i="45" s="1"/>
  <c r="G358" i="43"/>
  <c r="G364" i="43"/>
  <c r="M14" i="45"/>
  <c r="M12" i="45"/>
  <c r="D166" i="42"/>
  <c r="D195" i="41"/>
  <c r="E264" i="41"/>
  <c r="F13" i="36"/>
  <c r="G39" i="36" s="1"/>
  <c r="G40" i="36" s="1"/>
  <c r="D14" i="36"/>
  <c r="D75" i="36" s="1"/>
  <c r="D17" i="36"/>
  <c r="D45" i="36"/>
  <c r="G56" i="36"/>
  <c r="G116" i="36"/>
  <c r="D131" i="36"/>
  <c r="E133" i="36" s="1"/>
  <c r="E136" i="36" s="1"/>
  <c r="D132" i="36"/>
  <c r="G133" i="36"/>
  <c r="G136" i="36" s="1"/>
  <c r="H138" i="36"/>
  <c r="L144" i="36"/>
  <c r="B164" i="36"/>
  <c r="B166" i="36"/>
  <c r="D169" i="36"/>
  <c r="F169" i="36"/>
  <c r="D170" i="36"/>
  <c r="F170" i="36"/>
  <c r="C175" i="36"/>
  <c r="B176" i="36"/>
  <c r="D6" i="37"/>
  <c r="D10" i="37" s="1"/>
  <c r="D7" i="37"/>
  <c r="J18" i="34"/>
  <c r="J19" i="34"/>
  <c r="J20" i="34"/>
  <c r="J21" i="34"/>
  <c r="F44" i="34"/>
  <c r="G44" i="34" s="1"/>
  <c r="I44" i="34"/>
  <c r="J44" i="34" s="1"/>
  <c r="F193" i="34"/>
  <c r="G305" i="34"/>
  <c r="F344" i="34"/>
  <c r="G369" i="34"/>
  <c r="I371" i="34"/>
  <c r="G396" i="34"/>
  <c r="F444" i="34"/>
  <c r="F491" i="34"/>
  <c r="J499" i="34"/>
  <c r="J500" i="34" s="1"/>
  <c r="I500" i="34"/>
  <c r="B521" i="34"/>
  <c r="F502" i="34" s="1"/>
  <c r="B535" i="34"/>
  <c r="B528" i="34" s="1"/>
  <c r="G552" i="34"/>
  <c r="H552" i="34" s="1"/>
  <c r="H576" i="34"/>
  <c r="C588" i="34"/>
  <c r="C5" i="44"/>
  <c r="E5" i="44" s="1"/>
  <c r="G5" i="44" s="1"/>
  <c r="Q5" i="44"/>
  <c r="R5" i="44" s="1"/>
  <c r="T5" i="44" s="1"/>
  <c r="C6" i="44"/>
  <c r="K6" i="44" s="1"/>
  <c r="G6" i="44" s="1"/>
  <c r="J6" i="44"/>
  <c r="R6" i="44"/>
  <c r="T6" i="44" s="1"/>
  <c r="C7" i="44"/>
  <c r="K7" i="44" s="1"/>
  <c r="J7" i="44"/>
  <c r="Q7" i="44"/>
  <c r="R7" i="44" s="1"/>
  <c r="T7" i="44" s="1"/>
  <c r="C8" i="44"/>
  <c r="D8" i="44"/>
  <c r="J8" i="44"/>
  <c r="Q8" i="44"/>
  <c r="R8" i="44" s="1"/>
  <c r="T8" i="44" s="1"/>
  <c r="C9" i="44"/>
  <c r="D9" i="44"/>
  <c r="J9" i="44"/>
  <c r="Q9" i="44"/>
  <c r="R9" i="44" s="1"/>
  <c r="T9" i="44" s="1"/>
  <c r="C10" i="44"/>
  <c r="D10" i="44"/>
  <c r="J10" i="44"/>
  <c r="Q10" i="44"/>
  <c r="R10" i="44" s="1"/>
  <c r="T10" i="44" s="1"/>
  <c r="C11" i="44"/>
  <c r="D11" i="44"/>
  <c r="J11" i="44"/>
  <c r="Q11" i="44"/>
  <c r="R11" i="44" s="1"/>
  <c r="T11" i="44" s="1"/>
  <c r="C12" i="44"/>
  <c r="D12" i="44"/>
  <c r="J12" i="44"/>
  <c r="Q12" i="44"/>
  <c r="R12" i="44" s="1"/>
  <c r="T12" i="44" s="1"/>
  <c r="C13" i="44"/>
  <c r="D13" i="44"/>
  <c r="J13" i="44"/>
  <c r="R13" i="44"/>
  <c r="T13" i="44" s="1"/>
  <c r="C14" i="44"/>
  <c r="D14" i="44"/>
  <c r="J14" i="44"/>
  <c r="Q14" i="44"/>
  <c r="R14" i="44" s="1"/>
  <c r="T14" i="44" s="1"/>
  <c r="C15" i="44"/>
  <c r="K15" i="44" s="1"/>
  <c r="G15" i="44" s="1"/>
  <c r="J15" i="44"/>
  <c r="Q15" i="44"/>
  <c r="R15" i="44" s="1"/>
  <c r="T15" i="44" s="1"/>
  <c r="C16" i="44"/>
  <c r="K16" i="44" s="1"/>
  <c r="G16" i="44" s="1"/>
  <c r="J16" i="44"/>
  <c r="Q16" i="44"/>
  <c r="R16" i="44" s="1"/>
  <c r="T16" i="44" s="1"/>
  <c r="C17" i="44"/>
  <c r="K17" i="44" s="1"/>
  <c r="G17" i="44" s="1"/>
  <c r="J17" i="44"/>
  <c r="Q17" i="44"/>
  <c r="R17" i="44" s="1"/>
  <c r="T17" i="44" s="1"/>
  <c r="C18" i="44"/>
  <c r="K18" i="44" s="1"/>
  <c r="G18" i="44" s="1"/>
  <c r="J18" i="44"/>
  <c r="Q18" i="44"/>
  <c r="R18" i="44" s="1"/>
  <c r="T18" i="44" s="1"/>
  <c r="C19" i="44"/>
  <c r="K19" i="44" s="1"/>
  <c r="G19" i="44" s="1"/>
  <c r="J19" i="44"/>
  <c r="O19" i="44"/>
  <c r="C20" i="44"/>
  <c r="K20" i="44" s="1"/>
  <c r="L20" i="44" s="1"/>
  <c r="J20" i="44"/>
  <c r="C21" i="44"/>
  <c r="D21" i="44"/>
  <c r="J21" i="44"/>
  <c r="C22" i="44"/>
  <c r="E22" i="44" s="1"/>
  <c r="G22" i="44" s="1"/>
  <c r="J22" i="44"/>
  <c r="C23" i="44"/>
  <c r="K23" i="44" s="1"/>
  <c r="L23" i="44" s="1"/>
  <c r="J23" i="44"/>
  <c r="C24" i="44"/>
  <c r="K24" i="44" s="1"/>
  <c r="L24" i="44" s="1"/>
  <c r="J24" i="44"/>
  <c r="C25" i="44"/>
  <c r="K25" i="44" s="1"/>
  <c r="G25" i="44" s="1"/>
  <c r="J25" i="44"/>
  <c r="R25" i="44"/>
  <c r="S25" i="44" s="1"/>
  <c r="U25" i="44" s="1"/>
  <c r="C26" i="44"/>
  <c r="D26" i="44"/>
  <c r="J26" i="44"/>
  <c r="S26" i="44"/>
  <c r="U26" i="44" s="1"/>
  <c r="C27" i="44"/>
  <c r="K27" i="44" s="1"/>
  <c r="J27" i="44"/>
  <c r="R27" i="44"/>
  <c r="S27" i="44" s="1"/>
  <c r="U27" i="44" s="1"/>
  <c r="C28" i="44"/>
  <c r="D28" i="44"/>
  <c r="J28" i="44"/>
  <c r="R28" i="44"/>
  <c r="S28" i="44" s="1"/>
  <c r="U28" i="44" s="1"/>
  <c r="C29" i="44"/>
  <c r="D29" i="44"/>
  <c r="J29" i="44"/>
  <c r="O29" i="44"/>
  <c r="T29" i="44"/>
  <c r="C30" i="44"/>
  <c r="D30" i="44"/>
  <c r="K30" i="44" s="1"/>
  <c r="J30" i="44"/>
  <c r="C31" i="44"/>
  <c r="K31" i="44" s="1"/>
  <c r="J31" i="44"/>
  <c r="C32" i="44"/>
  <c r="K32" i="44" s="1"/>
  <c r="L32" i="44" s="1"/>
  <c r="J32" i="44"/>
  <c r="C33" i="44"/>
  <c r="K33" i="44" s="1"/>
  <c r="L33" i="44" s="1"/>
  <c r="J33" i="44"/>
  <c r="C34" i="44"/>
  <c r="D34" i="44"/>
  <c r="J34" i="44"/>
  <c r="C35" i="44"/>
  <c r="K35" i="44" s="1"/>
  <c r="L35" i="44" s="1"/>
  <c r="J35" i="44"/>
  <c r="C36" i="44"/>
  <c r="D36" i="44"/>
  <c r="J36" i="44"/>
  <c r="C37" i="44"/>
  <c r="K37" i="44" s="1"/>
  <c r="J37" i="44"/>
  <c r="C38" i="44"/>
  <c r="D38" i="44"/>
  <c r="J38" i="44"/>
  <c r="C39" i="44"/>
  <c r="K39" i="44" s="1"/>
  <c r="G39" i="44" s="1"/>
  <c r="J39" i="44"/>
  <c r="C40" i="44"/>
  <c r="D40" i="44"/>
  <c r="J40" i="44"/>
  <c r="C41" i="44"/>
  <c r="D41" i="44"/>
  <c r="J41" i="44"/>
  <c r="C42" i="44"/>
  <c r="K42" i="44" s="1"/>
  <c r="G42" i="44" s="1"/>
  <c r="J42" i="44"/>
  <c r="C43" i="44"/>
  <c r="D43" i="44"/>
  <c r="J43" i="44"/>
  <c r="C44" i="44"/>
  <c r="D44" i="44"/>
  <c r="J44" i="44"/>
  <c r="C45" i="44"/>
  <c r="D45" i="44"/>
  <c r="J45" i="44"/>
  <c r="C46" i="44"/>
  <c r="D46" i="44"/>
  <c r="J46" i="44"/>
  <c r="C47" i="44"/>
  <c r="K47" i="44" s="1"/>
  <c r="J47" i="44"/>
  <c r="C48" i="44"/>
  <c r="D48" i="44"/>
  <c r="J48" i="44"/>
  <c r="C49" i="44"/>
  <c r="D49" i="44"/>
  <c r="J49" i="44"/>
  <c r="C50" i="44"/>
  <c r="D50" i="44"/>
  <c r="J50" i="44"/>
  <c r="C51" i="44"/>
  <c r="D51" i="44"/>
  <c r="J51" i="44"/>
  <c r="C52" i="44"/>
  <c r="D52" i="44"/>
  <c r="J52" i="44"/>
  <c r="C53" i="44"/>
  <c r="K53" i="44" s="1"/>
  <c r="J53" i="44"/>
  <c r="C54" i="44"/>
  <c r="D54" i="44"/>
  <c r="J54" i="44"/>
  <c r="C55" i="44"/>
  <c r="D55" i="44"/>
  <c r="J55" i="44"/>
  <c r="C56" i="44"/>
  <c r="D56" i="44"/>
  <c r="J56" i="44"/>
  <c r="C57" i="44"/>
  <c r="D57" i="44"/>
  <c r="J57" i="44"/>
  <c r="C58" i="44"/>
  <c r="D58" i="44"/>
  <c r="J58" i="44"/>
  <c r="C59" i="44"/>
  <c r="D59" i="44"/>
  <c r="J59" i="44"/>
  <c r="C60" i="44"/>
  <c r="D60" i="44"/>
  <c r="J60" i="44"/>
  <c r="C61" i="44"/>
  <c r="K61" i="44" s="1"/>
  <c r="J61" i="44"/>
  <c r="C62" i="44"/>
  <c r="K62" i="44" s="1"/>
  <c r="J62" i="44"/>
  <c r="C63" i="44"/>
  <c r="D63" i="44"/>
  <c r="J63" i="44"/>
  <c r="C64" i="44"/>
  <c r="D64" i="44"/>
  <c r="J64" i="44"/>
  <c r="C65" i="44"/>
  <c r="K65" i="44" s="1"/>
  <c r="J65" i="44"/>
  <c r="C66" i="44"/>
  <c r="D66" i="44"/>
  <c r="J66" i="44"/>
  <c r="C67" i="44"/>
  <c r="D67" i="44"/>
  <c r="J67" i="44"/>
  <c r="C68" i="44"/>
  <c r="D68" i="44"/>
  <c r="J68" i="44"/>
  <c r="C69" i="44"/>
  <c r="K69" i="44" s="1"/>
  <c r="L69" i="44" s="1"/>
  <c r="J69" i="44"/>
  <c r="C70" i="44"/>
  <c r="D70" i="44"/>
  <c r="J70" i="44"/>
  <c r="C71" i="44"/>
  <c r="D71" i="44"/>
  <c r="J71" i="44"/>
  <c r="C72" i="44"/>
  <c r="D72" i="44"/>
  <c r="J72" i="44"/>
  <c r="C73" i="44"/>
  <c r="D73" i="44"/>
  <c r="J73" i="44"/>
  <c r="C74" i="44"/>
  <c r="D74" i="44"/>
  <c r="J74" i="44"/>
  <c r="C75" i="44"/>
  <c r="D75" i="44"/>
  <c r="J75" i="44"/>
  <c r="C76" i="44"/>
  <c r="D76" i="44"/>
  <c r="J76" i="44"/>
  <c r="C77" i="44"/>
  <c r="D77" i="44"/>
  <c r="J77" i="44"/>
  <c r="C78" i="44"/>
  <c r="D78" i="44"/>
  <c r="J78" i="44"/>
  <c r="C79" i="44"/>
  <c r="D79" i="44"/>
  <c r="J79" i="44"/>
  <c r="C80" i="44"/>
  <c r="D80" i="44"/>
  <c r="J80" i="44"/>
  <c r="C81" i="44"/>
  <c r="D81" i="44"/>
  <c r="J81" i="44"/>
  <c r="C82" i="44"/>
  <c r="D82" i="44"/>
  <c r="J82" i="44"/>
  <c r="A83" i="44"/>
  <c r="I83" i="44"/>
  <c r="E3" i="49"/>
  <c r="I3" i="49"/>
  <c r="M3" i="49" s="1"/>
  <c r="J3" i="49"/>
  <c r="K3" i="49"/>
  <c r="X3" i="49"/>
  <c r="E4" i="49"/>
  <c r="I4" i="49"/>
  <c r="M4" i="49" s="1"/>
  <c r="J4" i="49"/>
  <c r="Q4" i="49"/>
  <c r="E5" i="49"/>
  <c r="I5" i="49"/>
  <c r="J5" i="49"/>
  <c r="K5" i="49"/>
  <c r="X5" i="49"/>
  <c r="E6" i="49"/>
  <c r="I6" i="49"/>
  <c r="J6" i="49"/>
  <c r="K6" i="49"/>
  <c r="X6" i="49"/>
  <c r="E7" i="49"/>
  <c r="I7" i="49"/>
  <c r="J7" i="49"/>
  <c r="K7" i="49"/>
  <c r="X7" i="49"/>
  <c r="E8" i="49"/>
  <c r="I8" i="49"/>
  <c r="J8" i="49"/>
  <c r="K8" i="49"/>
  <c r="X8" i="49"/>
  <c r="D9" i="49"/>
  <c r="E9" i="49"/>
  <c r="E10" i="49"/>
  <c r="I10" i="49"/>
  <c r="M10" i="49" s="1"/>
  <c r="J10" i="49"/>
  <c r="N10" i="49" s="1"/>
  <c r="Q10" i="49"/>
  <c r="X10" i="49"/>
  <c r="E11" i="49"/>
  <c r="I11" i="49"/>
  <c r="M11" i="49" s="1"/>
  <c r="J11" i="49"/>
  <c r="N11" i="49" s="1"/>
  <c r="Q11" i="49"/>
  <c r="X11" i="49"/>
  <c r="E12" i="49"/>
  <c r="I12" i="49"/>
  <c r="M12" i="49" s="1"/>
  <c r="J12" i="49"/>
  <c r="Q12" i="49"/>
  <c r="X12" i="49"/>
  <c r="E13" i="49"/>
  <c r="I13" i="49"/>
  <c r="M13" i="49" s="1"/>
  <c r="J13" i="49"/>
  <c r="Q13" i="49"/>
  <c r="X13" i="49"/>
  <c r="M11" i="31"/>
  <c r="N11" i="31"/>
  <c r="I13" i="31"/>
  <c r="M13" i="31"/>
  <c r="I17" i="31"/>
  <c r="I19" i="31"/>
  <c r="O144" i="31" s="1"/>
  <c r="I21" i="31"/>
  <c r="M141" i="31"/>
  <c r="N142" i="31"/>
  <c r="H145" i="31"/>
  <c r="H146" i="31"/>
  <c r="I146" i="31" s="1"/>
  <c r="H147" i="31"/>
  <c r="H148" i="31"/>
  <c r="M148" i="31" s="1"/>
  <c r="H149" i="31"/>
  <c r="I149" i="31" s="1"/>
  <c r="H150" i="31"/>
  <c r="I150" i="31" s="1"/>
  <c r="H151" i="31"/>
  <c r="M151" i="31" s="1"/>
  <c r="H152" i="31"/>
  <c r="M152" i="31" s="1"/>
  <c r="G153" i="31"/>
  <c r="H156" i="31"/>
  <c r="G157" i="31"/>
  <c r="G158" i="31" s="1"/>
  <c r="H157" i="31"/>
  <c r="M157" i="31" s="1"/>
  <c r="M164" i="31"/>
  <c r="G175" i="31"/>
  <c r="I175" i="31" s="1"/>
  <c r="F177" i="31"/>
  <c r="F178" i="31" s="1"/>
  <c r="E9" i="38"/>
  <c r="E14" i="38"/>
  <c r="E15" i="38"/>
  <c r="E16" i="38"/>
  <c r="E17" i="38"/>
  <c r="E18" i="38"/>
  <c r="E19" i="38"/>
  <c r="E20" i="38"/>
  <c r="E21" i="38"/>
  <c r="E22" i="38"/>
  <c r="E23" i="38"/>
  <c r="E24" i="38"/>
  <c r="E25" i="38"/>
  <c r="E26" i="38"/>
  <c r="E27" i="38"/>
  <c r="E28" i="38"/>
  <c r="E29" i="38"/>
  <c r="E30" i="38"/>
  <c r="E31" i="38"/>
  <c r="E32" i="38"/>
  <c r="E33" i="38"/>
  <c r="E34" i="38"/>
  <c r="E35" i="38"/>
  <c r="E36" i="38"/>
  <c r="E37" i="38"/>
  <c r="E38" i="38"/>
  <c r="E39" i="38"/>
  <c r="E40" i="38"/>
  <c r="E41" i="38"/>
  <c r="E42" i="38"/>
  <c r="E43" i="38"/>
  <c r="E45" i="38"/>
  <c r="E46" i="38"/>
  <c r="E47" i="38"/>
  <c r="E48" i="38"/>
  <c r="E49" i="38"/>
  <c r="E50" i="38"/>
  <c r="E51" i="38"/>
  <c r="E52" i="38"/>
  <c r="E53" i="38"/>
  <c r="E54" i="38"/>
  <c r="E55" i="38"/>
  <c r="E56" i="38"/>
  <c r="E57" i="38"/>
  <c r="E58" i="38"/>
  <c r="E59" i="38"/>
  <c r="E60" i="38"/>
  <c r="E61" i="38"/>
  <c r="E62" i="38"/>
  <c r="E63" i="38"/>
  <c r="E64" i="38"/>
  <c r="E65" i="38"/>
  <c r="E66" i="38"/>
  <c r="E67" i="38"/>
  <c r="E68" i="38"/>
  <c r="E69" i="38"/>
  <c r="E70" i="38"/>
  <c r="E71" i="38"/>
  <c r="E72" i="38"/>
  <c r="E73" i="38"/>
  <c r="E74" i="38"/>
  <c r="E75" i="38"/>
  <c r="E76" i="38"/>
  <c r="E77" i="38"/>
  <c r="E78" i="38"/>
  <c r="E79" i="38"/>
  <c r="E80" i="38"/>
  <c r="E81" i="38"/>
  <c r="E82" i="38"/>
  <c r="E83" i="38"/>
  <c r="E84" i="38"/>
  <c r="E85" i="38"/>
  <c r="E86" i="38"/>
  <c r="E87" i="38"/>
  <c r="E88" i="38"/>
  <c r="E89" i="38"/>
  <c r="E90" i="38"/>
  <c r="E91" i="38"/>
  <c r="E92" i="38"/>
  <c r="E93" i="38"/>
  <c r="E94" i="38"/>
  <c r="E95" i="38"/>
  <c r="E96" i="38"/>
  <c r="E97" i="38"/>
  <c r="E98" i="38"/>
  <c r="E99" i="38"/>
  <c r="E100" i="38"/>
  <c r="E101" i="38"/>
  <c r="E102" i="38"/>
  <c r="E103" i="38"/>
  <c r="E104" i="38"/>
  <c r="E105" i="38"/>
  <c r="E106" i="38"/>
  <c r="E107" i="38"/>
  <c r="E108" i="38"/>
  <c r="E109" i="38"/>
  <c r="E111" i="38"/>
  <c r="E112" i="38"/>
  <c r="E113" i="38"/>
  <c r="E114" i="38"/>
  <c r="E115" i="38"/>
  <c r="E116" i="38"/>
  <c r="E117" i="38"/>
  <c r="E118" i="38"/>
  <c r="E119" i="38"/>
  <c r="E120" i="38"/>
  <c r="E121" i="38"/>
  <c r="E122" i="38"/>
  <c r="E123" i="38"/>
  <c r="E124" i="38"/>
  <c r="E125" i="38"/>
  <c r="E126" i="38"/>
  <c r="E127" i="38"/>
  <c r="E128" i="38"/>
  <c r="E129" i="38"/>
  <c r="E130" i="38"/>
  <c r="E131" i="38"/>
  <c r="E132" i="38"/>
  <c r="E133" i="38"/>
  <c r="E134" i="38"/>
  <c r="E135" i="38"/>
  <c r="E136" i="38"/>
  <c r="E137" i="38"/>
  <c r="E138" i="38"/>
  <c r="E139" i="38"/>
  <c r="E140" i="38"/>
  <c r="E141" i="38"/>
  <c r="E142" i="38"/>
  <c r="E143" i="38"/>
  <c r="E144" i="38"/>
  <c r="E145" i="38"/>
  <c r="E146" i="38"/>
  <c r="E147" i="38"/>
  <c r="E148" i="38"/>
  <c r="E149" i="38"/>
  <c r="E150" i="38"/>
  <c r="E151" i="38"/>
  <c r="E152" i="38"/>
  <c r="E153" i="38"/>
  <c r="E154" i="38"/>
  <c r="E155" i="38"/>
  <c r="E156" i="38"/>
  <c r="E157" i="38"/>
  <c r="E158" i="38"/>
  <c r="E159" i="38"/>
  <c r="E160" i="38"/>
  <c r="E161" i="38"/>
  <c r="E162" i="38"/>
  <c r="E163" i="38"/>
  <c r="E164" i="38"/>
  <c r="E165" i="38"/>
  <c r="E166" i="38"/>
  <c r="E167" i="38"/>
  <c r="E168" i="38"/>
  <c r="E169" i="38"/>
  <c r="E170" i="38"/>
  <c r="E171" i="38"/>
  <c r="E172" i="38"/>
  <c r="E173" i="38"/>
  <c r="E174" i="38"/>
  <c r="E175" i="38"/>
  <c r="E176" i="38"/>
  <c r="E177" i="38"/>
  <c r="E178" i="38"/>
  <c r="E179" i="38"/>
  <c r="E180" i="38"/>
  <c r="E181" i="38"/>
  <c r="E182" i="38"/>
  <c r="E183" i="38"/>
  <c r="E184" i="38"/>
  <c r="E185" i="38"/>
  <c r="E186" i="38"/>
  <c r="E187" i="38"/>
  <c r="E188" i="38"/>
  <c r="E189" i="38"/>
  <c r="E190" i="38"/>
  <c r="E191" i="38"/>
  <c r="E192" i="38"/>
  <c r="E193" i="38"/>
  <c r="E194" i="38"/>
  <c r="E195" i="38"/>
  <c r="E196" i="38"/>
  <c r="E197" i="38"/>
  <c r="E198" i="38"/>
  <c r="E199" i="38"/>
  <c r="E200" i="38"/>
  <c r="E201" i="38"/>
  <c r="E202" i="38"/>
  <c r="E203" i="38"/>
  <c r="E204" i="38"/>
  <c r="E205" i="38"/>
  <c r="E206" i="38"/>
  <c r="E207" i="38"/>
  <c r="E208" i="38"/>
  <c r="E209" i="38"/>
  <c r="E210" i="38"/>
  <c r="E211" i="38"/>
  <c r="E212" i="38"/>
  <c r="E213" i="38"/>
  <c r="E214" i="38"/>
  <c r="E215" i="38"/>
  <c r="E216" i="38"/>
  <c r="E217" i="38"/>
  <c r="E218" i="38"/>
  <c r="E219" i="38"/>
  <c r="E220" i="38"/>
  <c r="E221" i="38"/>
  <c r="E223" i="38"/>
  <c r="E224" i="38"/>
  <c r="E225" i="38"/>
  <c r="E226" i="38"/>
  <c r="E227" i="38"/>
  <c r="E228" i="38"/>
  <c r="E229" i="38"/>
  <c r="E230" i="38"/>
  <c r="E231" i="38"/>
  <c r="E232" i="38"/>
  <c r="E233" i="38"/>
  <c r="E234" i="38"/>
  <c r="E235" i="38"/>
  <c r="E236" i="38"/>
  <c r="E237" i="38"/>
  <c r="E238" i="38"/>
  <c r="E239" i="38"/>
  <c r="E240" i="38"/>
  <c r="E241" i="38"/>
  <c r="E242" i="38"/>
  <c r="E243" i="38"/>
  <c r="E244" i="38"/>
  <c r="E245" i="38"/>
  <c r="E246" i="38"/>
  <c r="E247" i="38"/>
  <c r="E248" i="38"/>
  <c r="E249" i="38"/>
  <c r="E250" i="38"/>
  <c r="E251" i="38"/>
  <c r="E252" i="38"/>
  <c r="E253" i="38"/>
  <c r="E254" i="38"/>
  <c r="E255" i="38"/>
  <c r="E256" i="38"/>
  <c r="E258" i="38"/>
  <c r="E259" i="38"/>
  <c r="E260" i="38"/>
  <c r="E261" i="38"/>
  <c r="E263" i="38"/>
  <c r="E264" i="38"/>
  <c r="E265" i="38"/>
  <c r="E266" i="38"/>
  <c r="E267" i="38"/>
  <c r="E270" i="38"/>
  <c r="E271" i="38"/>
  <c r="E274" i="38"/>
  <c r="E275" i="38"/>
  <c r="E276" i="38"/>
  <c r="E277" i="38"/>
  <c r="E278" i="38"/>
  <c r="E279" i="38"/>
  <c r="E280" i="38"/>
  <c r="E281" i="38"/>
  <c r="E282" i="38"/>
  <c r="E283" i="38"/>
  <c r="E284" i="38"/>
  <c r="E285" i="38"/>
  <c r="E286" i="38"/>
  <c r="E287" i="38"/>
  <c r="E288" i="38"/>
  <c r="E289" i="38"/>
  <c r="E290" i="38"/>
  <c r="E291" i="38"/>
  <c r="E292" i="38"/>
  <c r="I292" i="38"/>
  <c r="J292" i="38" s="1"/>
  <c r="E293" i="38"/>
  <c r="E294" i="38"/>
  <c r="E295" i="38"/>
  <c r="E296" i="38"/>
  <c r="E297" i="38"/>
  <c r="E298" i="38"/>
  <c r="E299" i="38"/>
  <c r="E300" i="38"/>
  <c r="E301" i="38"/>
  <c r="E302" i="38"/>
  <c r="E303" i="38"/>
  <c r="E304" i="38"/>
  <c r="E305" i="38"/>
  <c r="E306" i="38"/>
  <c r="E307" i="38"/>
  <c r="E308" i="38"/>
  <c r="E309" i="38"/>
  <c r="E310" i="38"/>
  <c r="E311" i="38"/>
  <c r="E312" i="38"/>
  <c r="E313" i="38"/>
  <c r="E314" i="38"/>
  <c r="E315" i="38"/>
  <c r="E316" i="38"/>
  <c r="E317" i="38"/>
  <c r="E318" i="38"/>
  <c r="E319" i="38"/>
  <c r="E320" i="38"/>
  <c r="E321" i="38"/>
  <c r="E322" i="38"/>
  <c r="E323" i="38"/>
  <c r="E324" i="38"/>
  <c r="E325" i="38"/>
  <c r="D326" i="38"/>
  <c r="E326" i="38" s="1"/>
  <c r="E327" i="38"/>
  <c r="E328" i="38"/>
  <c r="E329" i="38"/>
  <c r="E330" i="38"/>
  <c r="E331" i="38"/>
  <c r="E332" i="38"/>
  <c r="E333" i="38"/>
  <c r="E334" i="38"/>
  <c r="E335" i="38"/>
  <c r="E336" i="38"/>
  <c r="E337" i="38"/>
  <c r="E338" i="38"/>
  <c r="E339" i="38"/>
  <c r="E340" i="38"/>
  <c r="E341" i="38"/>
  <c r="E342" i="38"/>
  <c r="E343" i="38"/>
  <c r="E344" i="38"/>
  <c r="E345" i="38"/>
  <c r="E346" i="38"/>
  <c r="E347" i="38"/>
  <c r="E348" i="38"/>
  <c r="E349" i="38"/>
  <c r="E351" i="38"/>
  <c r="E354" i="38"/>
  <c r="E355" i="38"/>
  <c r="E356" i="38"/>
  <c r="E357" i="38"/>
  <c r="E358" i="38"/>
  <c r="E359" i="38"/>
  <c r="C360" i="38"/>
  <c r="E360" i="38" s="1"/>
  <c r="E361" i="38"/>
  <c r="E362" i="38"/>
  <c r="E363" i="38"/>
  <c r="E364" i="38"/>
  <c r="E366" i="38"/>
  <c r="E367" i="38"/>
  <c r="E368" i="38"/>
  <c r="E369" i="38"/>
  <c r="E370" i="38"/>
  <c r="E371" i="38"/>
  <c r="E372" i="38"/>
  <c r="E374" i="38"/>
  <c r="E375" i="38"/>
  <c r="E376" i="38"/>
  <c r="E377" i="38"/>
  <c r="E378" i="38"/>
  <c r="E379" i="38"/>
  <c r="E380" i="38"/>
  <c r="E381" i="38"/>
  <c r="E382" i="38"/>
  <c r="E383" i="38"/>
  <c r="E384" i="38"/>
  <c r="E385" i="38"/>
  <c r="E386" i="38"/>
  <c r="E387" i="38"/>
  <c r="E388" i="38"/>
  <c r="E389" i="38"/>
  <c r="E390" i="38"/>
  <c r="E391" i="38"/>
  <c r="E392" i="38"/>
  <c r="E393" i="38"/>
  <c r="E394" i="38"/>
  <c r="E395" i="38"/>
  <c r="E396" i="38"/>
  <c r="E397" i="38"/>
  <c r="E398" i="38"/>
  <c r="E399" i="38"/>
  <c r="E400" i="38"/>
  <c r="E401" i="38"/>
  <c r="E402" i="38"/>
  <c r="E403" i="38"/>
  <c r="E404" i="38"/>
  <c r="E405" i="38"/>
  <c r="E406" i="38"/>
  <c r="E407" i="38"/>
  <c r="E408" i="38"/>
  <c r="E409" i="38"/>
  <c r="E410" i="38"/>
  <c r="E411" i="38"/>
  <c r="E412" i="38"/>
  <c r="E413" i="38"/>
  <c r="E414" i="38"/>
  <c r="E415" i="38"/>
  <c r="E416" i="38"/>
  <c r="E417" i="38"/>
  <c r="E418" i="38"/>
  <c r="E419" i="38"/>
  <c r="E420" i="38"/>
  <c r="E421" i="38"/>
  <c r="E422" i="38"/>
  <c r="E423" i="38"/>
  <c r="E424" i="38"/>
  <c r="E425" i="38"/>
  <c r="E426" i="38"/>
  <c r="E427" i="38"/>
  <c r="E428" i="38"/>
  <c r="E429" i="38"/>
  <c r="E430" i="38"/>
  <c r="E431" i="38"/>
  <c r="E432" i="38"/>
  <c r="E433" i="38"/>
  <c r="E434" i="38"/>
  <c r="E435" i="38"/>
  <c r="E436" i="38"/>
  <c r="E437" i="38"/>
  <c r="E438" i="38"/>
  <c r="E439" i="38"/>
  <c r="E440" i="38"/>
  <c r="E441" i="38"/>
  <c r="E442" i="38"/>
  <c r="E443" i="38"/>
  <c r="E444" i="38"/>
  <c r="E445" i="38"/>
  <c r="E446" i="38"/>
  <c r="E447" i="38"/>
  <c r="E448" i="38"/>
  <c r="E449" i="38"/>
  <c r="E450" i="38"/>
  <c r="E451" i="38"/>
  <c r="E452" i="38"/>
  <c r="E453" i="38"/>
  <c r="E454" i="38"/>
  <c r="E455" i="38"/>
  <c r="E456" i="38"/>
  <c r="E458" i="38"/>
  <c r="E459" i="38"/>
  <c r="E460" i="38"/>
  <c r="E461" i="38"/>
  <c r="E462" i="38"/>
  <c r="E463" i="38"/>
  <c r="E464" i="38"/>
  <c r="E465" i="38"/>
  <c r="E466" i="38"/>
  <c r="E467" i="38"/>
  <c r="E468" i="38"/>
  <c r="E469" i="38"/>
  <c r="E470" i="38"/>
  <c r="E471" i="38"/>
  <c r="E472" i="38"/>
  <c r="E473" i="38"/>
  <c r="E474" i="38"/>
  <c r="E475" i="38"/>
  <c r="E476" i="38"/>
  <c r="E477" i="38"/>
  <c r="E478" i="38"/>
  <c r="E480" i="38"/>
  <c r="E482" i="38"/>
  <c r="E483" i="38"/>
  <c r="E484" i="38"/>
  <c r="E485" i="38"/>
  <c r="E486" i="38"/>
  <c r="E487" i="38"/>
  <c r="E488" i="38"/>
  <c r="E489" i="38"/>
  <c r="E490" i="38"/>
  <c r="E491" i="38"/>
  <c r="E492" i="38"/>
  <c r="E493" i="38"/>
  <c r="E494" i="38"/>
  <c r="E495" i="38"/>
  <c r="E496" i="38"/>
  <c r="E497" i="38"/>
  <c r="E498" i="38"/>
  <c r="E499" i="38"/>
  <c r="E500" i="38"/>
  <c r="E501" i="38"/>
  <c r="E502" i="38"/>
  <c r="E503" i="38"/>
  <c r="E504" i="38"/>
  <c r="E505" i="38"/>
  <c r="E506" i="38"/>
  <c r="E507" i="38"/>
  <c r="E508" i="38"/>
  <c r="E509" i="38"/>
  <c r="E510" i="38"/>
  <c r="E511" i="38"/>
  <c r="E512" i="38"/>
  <c r="E514" i="38"/>
  <c r="E515" i="38"/>
  <c r="E516" i="38"/>
  <c r="E517" i="38"/>
  <c r="E519" i="38"/>
  <c r="E521" i="38"/>
  <c r="E522" i="38"/>
  <c r="E523" i="38"/>
  <c r="E525" i="38"/>
  <c r="E527" i="38"/>
  <c r="E528" i="38"/>
  <c r="E531" i="38"/>
  <c r="E532" i="38"/>
  <c r="E533" i="38"/>
  <c r="E534" i="38"/>
  <c r="E535" i="38"/>
  <c r="E536" i="38"/>
  <c r="E537" i="38"/>
  <c r="E538" i="38"/>
  <c r="E539" i="38"/>
  <c r="E540" i="38"/>
  <c r="E541" i="38"/>
  <c r="E542" i="38"/>
  <c r="E543" i="38"/>
  <c r="E544" i="38"/>
  <c r="E545" i="38"/>
  <c r="E546" i="38"/>
  <c r="E547" i="38"/>
  <c r="E548" i="38"/>
  <c r="E550" i="38"/>
  <c r="E551" i="38"/>
  <c r="E552" i="38"/>
  <c r="E553" i="38"/>
  <c r="E554" i="38"/>
  <c r="E555" i="38"/>
  <c r="E556" i="38"/>
  <c r="E557" i="38"/>
  <c r="E558" i="38"/>
  <c r="E559" i="38"/>
  <c r="E560" i="38"/>
  <c r="E561" i="38"/>
  <c r="E562" i="38"/>
  <c r="E563" i="38"/>
  <c r="E565" i="38"/>
  <c r="E566" i="38"/>
  <c r="F566" i="38"/>
  <c r="G566" i="38"/>
  <c r="E567" i="38"/>
  <c r="E568" i="38"/>
  <c r="E571" i="38"/>
  <c r="E573" i="38"/>
  <c r="E577" i="38"/>
  <c r="E578" i="38"/>
  <c r="E579" i="38"/>
  <c r="E580" i="38"/>
  <c r="E581" i="38"/>
  <c r="E582" i="38"/>
  <c r="E583" i="38"/>
  <c r="E584" i="38"/>
  <c r="E585" i="38"/>
  <c r="E586" i="38"/>
  <c r="E587" i="38"/>
  <c r="E588" i="38"/>
  <c r="E589" i="38"/>
  <c r="E590" i="38"/>
  <c r="E591" i="38"/>
  <c r="E592" i="38"/>
  <c r="E593" i="38"/>
  <c r="E594" i="38"/>
  <c r="E595" i="38"/>
  <c r="E596" i="38"/>
  <c r="E597" i="38"/>
  <c r="E598" i="38"/>
  <c r="E599" i="38"/>
  <c r="E600" i="38"/>
  <c r="E602" i="38"/>
  <c r="E603" i="38"/>
  <c r="E604" i="38"/>
  <c r="E605" i="38"/>
  <c r="E606" i="38"/>
  <c r="E607" i="38"/>
  <c r="E608" i="38"/>
  <c r="E609" i="38"/>
  <c r="E610" i="38"/>
  <c r="E611" i="38"/>
  <c r="E612" i="38"/>
  <c r="E613" i="38"/>
  <c r="E614" i="38"/>
  <c r="E615" i="38"/>
  <c r="E616" i="38"/>
  <c r="E617" i="38"/>
  <c r="E618" i="38"/>
  <c r="E619" i="38"/>
  <c r="E620" i="38"/>
  <c r="E622" i="38"/>
  <c r="E623" i="38"/>
  <c r="E626" i="38"/>
  <c r="E628" i="38"/>
  <c r="E629" i="38"/>
  <c r="E630" i="38"/>
  <c r="E631" i="38"/>
  <c r="E632" i="38"/>
  <c r="E633" i="38"/>
  <c r="E634" i="38"/>
  <c r="E635" i="38"/>
  <c r="E636" i="38"/>
  <c r="E637" i="38"/>
  <c r="E638" i="38"/>
  <c r="E639" i="38"/>
  <c r="E640" i="38"/>
  <c r="E641" i="38"/>
  <c r="E642" i="38"/>
  <c r="E643" i="38"/>
  <c r="E644" i="38"/>
  <c r="E645" i="38"/>
  <c r="E646" i="38"/>
  <c r="E647" i="38"/>
  <c r="E648" i="38"/>
  <c r="E649" i="38"/>
  <c r="E650" i="38"/>
  <c r="E651" i="38"/>
  <c r="E652" i="38"/>
  <c r="E653" i="38"/>
  <c r="E654" i="38"/>
  <c r="E655" i="38"/>
  <c r="E656" i="38"/>
  <c r="E657" i="38"/>
  <c r="E658" i="38"/>
  <c r="E659" i="38"/>
  <c r="C660" i="38"/>
  <c r="E660" i="38" s="1"/>
  <c r="E661" i="38"/>
  <c r="E662" i="38"/>
  <c r="G665" i="38"/>
  <c r="G9" i="30"/>
  <c r="I9" i="30" s="1"/>
  <c r="H9" i="30"/>
  <c r="F15" i="30"/>
  <c r="H15" i="30" s="1"/>
  <c r="G15" i="30"/>
  <c r="I15" i="30" s="1"/>
  <c r="F16" i="30"/>
  <c r="H16" i="30" s="1"/>
  <c r="G16" i="30"/>
  <c r="I16" i="30" s="1"/>
  <c r="F17" i="30"/>
  <c r="H17" i="30" s="1"/>
  <c r="G17" i="30"/>
  <c r="I17" i="30" s="1"/>
  <c r="F18" i="30"/>
  <c r="H18" i="30" s="1"/>
  <c r="G18" i="30"/>
  <c r="I18" i="30" s="1"/>
  <c r="F19" i="30"/>
  <c r="H19" i="30" s="1"/>
  <c r="G19" i="30"/>
  <c r="I19" i="30" s="1"/>
  <c r="F20" i="30"/>
  <c r="H20" i="30" s="1"/>
  <c r="G20" i="30"/>
  <c r="I20" i="30" s="1"/>
  <c r="F21" i="30"/>
  <c r="H21" i="30" s="1"/>
  <c r="G21" i="30"/>
  <c r="I21" i="30" s="1"/>
  <c r="F22" i="30"/>
  <c r="H22" i="30" s="1"/>
  <c r="G22" i="30"/>
  <c r="I22" i="30" s="1"/>
  <c r="F23" i="30"/>
  <c r="H23" i="30" s="1"/>
  <c r="G23" i="30"/>
  <c r="I23" i="30" s="1"/>
  <c r="F24" i="30"/>
  <c r="H24" i="30" s="1"/>
  <c r="G24" i="30"/>
  <c r="I24" i="30" s="1"/>
  <c r="F25" i="30"/>
  <c r="H25" i="30" s="1"/>
  <c r="G25" i="30"/>
  <c r="I25" i="30" s="1"/>
  <c r="F26" i="30"/>
  <c r="H26" i="30" s="1"/>
  <c r="G26" i="30"/>
  <c r="I26" i="30" s="1"/>
  <c r="F27" i="30"/>
  <c r="H27" i="30" s="1"/>
  <c r="G27" i="30"/>
  <c r="I27" i="30" s="1"/>
  <c r="F28" i="30"/>
  <c r="H28" i="30" s="1"/>
  <c r="G28" i="30"/>
  <c r="I28" i="30" s="1"/>
  <c r="F29" i="30"/>
  <c r="H29" i="30" s="1"/>
  <c r="G29" i="30"/>
  <c r="I29" i="30" s="1"/>
  <c r="F30" i="30"/>
  <c r="H30" i="30" s="1"/>
  <c r="G30" i="30"/>
  <c r="I30" i="30" s="1"/>
  <c r="F31" i="30"/>
  <c r="H31" i="30" s="1"/>
  <c r="G31" i="30"/>
  <c r="I31" i="30" s="1"/>
  <c r="F32" i="30"/>
  <c r="H32" i="30" s="1"/>
  <c r="G32" i="30"/>
  <c r="I32" i="30" s="1"/>
  <c r="F33" i="30"/>
  <c r="H33" i="30" s="1"/>
  <c r="G33" i="30"/>
  <c r="I33" i="30" s="1"/>
  <c r="F34" i="30"/>
  <c r="H34" i="30" s="1"/>
  <c r="G34" i="30"/>
  <c r="I34" i="30" s="1"/>
  <c r="F35" i="30"/>
  <c r="H35" i="30" s="1"/>
  <c r="G35" i="30"/>
  <c r="I35" i="30" s="1"/>
  <c r="F36" i="30"/>
  <c r="H36" i="30" s="1"/>
  <c r="G36" i="30"/>
  <c r="I36" i="30" s="1"/>
  <c r="F37" i="30"/>
  <c r="H37" i="30" s="1"/>
  <c r="G37" i="30"/>
  <c r="I37" i="30" s="1"/>
  <c r="F38" i="30"/>
  <c r="H38" i="30" s="1"/>
  <c r="G38" i="30"/>
  <c r="I38" i="30" s="1"/>
  <c r="F39" i="30"/>
  <c r="H39" i="30" s="1"/>
  <c r="G39" i="30"/>
  <c r="I39" i="30" s="1"/>
  <c r="F40" i="30"/>
  <c r="H40" i="30" s="1"/>
  <c r="G40" i="30"/>
  <c r="I40" i="30" s="1"/>
  <c r="F41" i="30"/>
  <c r="H41" i="30" s="1"/>
  <c r="G41" i="30"/>
  <c r="I41" i="30" s="1"/>
  <c r="F42" i="30"/>
  <c r="H42" i="30" s="1"/>
  <c r="G42" i="30"/>
  <c r="I42" i="30" s="1"/>
  <c r="F43" i="30"/>
  <c r="H43" i="30" s="1"/>
  <c r="G43" i="30"/>
  <c r="I43" i="30" s="1"/>
  <c r="F45" i="30"/>
  <c r="H45" i="30" s="1"/>
  <c r="G45" i="30"/>
  <c r="I45" i="30" s="1"/>
  <c r="F46" i="30"/>
  <c r="H46" i="30" s="1"/>
  <c r="G46" i="30"/>
  <c r="I46" i="30" s="1"/>
  <c r="F47" i="30"/>
  <c r="H47" i="30" s="1"/>
  <c r="G47" i="30"/>
  <c r="I47" i="30" s="1"/>
  <c r="F48" i="30"/>
  <c r="H48" i="30" s="1"/>
  <c r="G48" i="30"/>
  <c r="I48" i="30" s="1"/>
  <c r="F49" i="30"/>
  <c r="H49" i="30" s="1"/>
  <c r="G49" i="30"/>
  <c r="I49" i="30" s="1"/>
  <c r="F50" i="30"/>
  <c r="H50" i="30" s="1"/>
  <c r="G50" i="30"/>
  <c r="I50" i="30" s="1"/>
  <c r="F51" i="30"/>
  <c r="H51" i="30" s="1"/>
  <c r="G51" i="30"/>
  <c r="I51" i="30" s="1"/>
  <c r="F52" i="30"/>
  <c r="H52" i="30" s="1"/>
  <c r="G52" i="30"/>
  <c r="I52" i="30" s="1"/>
  <c r="F53" i="30"/>
  <c r="H53" i="30" s="1"/>
  <c r="G53" i="30"/>
  <c r="I53" i="30" s="1"/>
  <c r="F54" i="30"/>
  <c r="H54" i="30" s="1"/>
  <c r="G54" i="30"/>
  <c r="I54" i="30" s="1"/>
  <c r="F55" i="30"/>
  <c r="H55" i="30" s="1"/>
  <c r="G55" i="30"/>
  <c r="I55" i="30" s="1"/>
  <c r="F56" i="30"/>
  <c r="H56" i="30" s="1"/>
  <c r="G56" i="30"/>
  <c r="I56" i="30" s="1"/>
  <c r="F57" i="30"/>
  <c r="H57" i="30" s="1"/>
  <c r="G57" i="30"/>
  <c r="I57" i="30" s="1"/>
  <c r="F58" i="30"/>
  <c r="H58" i="30" s="1"/>
  <c r="G58" i="30"/>
  <c r="I58" i="30" s="1"/>
  <c r="F59" i="30"/>
  <c r="H59" i="30" s="1"/>
  <c r="G59" i="30"/>
  <c r="I59" i="30" s="1"/>
  <c r="F60" i="30"/>
  <c r="H60" i="30" s="1"/>
  <c r="G60" i="30"/>
  <c r="I60" i="30" s="1"/>
  <c r="F61" i="30"/>
  <c r="H61" i="30" s="1"/>
  <c r="G61" i="30"/>
  <c r="I61" i="30" s="1"/>
  <c r="F62" i="30"/>
  <c r="H62" i="30" s="1"/>
  <c r="G62" i="30"/>
  <c r="I62" i="30" s="1"/>
  <c r="F63" i="30"/>
  <c r="H63" i="30" s="1"/>
  <c r="G63" i="30"/>
  <c r="I63" i="30" s="1"/>
  <c r="F64" i="30"/>
  <c r="H64" i="30" s="1"/>
  <c r="G64" i="30"/>
  <c r="I64" i="30" s="1"/>
  <c r="F65" i="30"/>
  <c r="H65" i="30" s="1"/>
  <c r="G65" i="30"/>
  <c r="I65" i="30" s="1"/>
  <c r="F66" i="30"/>
  <c r="H66" i="30" s="1"/>
  <c r="G66" i="30"/>
  <c r="I66" i="30" s="1"/>
  <c r="F67" i="30"/>
  <c r="H67" i="30" s="1"/>
  <c r="G67" i="30"/>
  <c r="I67" i="30" s="1"/>
  <c r="F68" i="30"/>
  <c r="H68" i="30" s="1"/>
  <c r="G68" i="30"/>
  <c r="I68" i="30" s="1"/>
  <c r="F69" i="30"/>
  <c r="H69" i="30" s="1"/>
  <c r="G69" i="30"/>
  <c r="I69" i="30" s="1"/>
  <c r="F70" i="30"/>
  <c r="H70" i="30" s="1"/>
  <c r="G70" i="30"/>
  <c r="I70" i="30" s="1"/>
  <c r="F71" i="30"/>
  <c r="H71" i="30" s="1"/>
  <c r="G71" i="30"/>
  <c r="I71" i="30" s="1"/>
  <c r="F72" i="30"/>
  <c r="H72" i="30" s="1"/>
  <c r="G72" i="30"/>
  <c r="I72" i="30" s="1"/>
  <c r="F73" i="30"/>
  <c r="H73" i="30" s="1"/>
  <c r="G73" i="30"/>
  <c r="I73" i="30" s="1"/>
  <c r="F74" i="30"/>
  <c r="H74" i="30" s="1"/>
  <c r="G74" i="30"/>
  <c r="I74" i="30" s="1"/>
  <c r="F75" i="30"/>
  <c r="H75" i="30" s="1"/>
  <c r="G75" i="30"/>
  <c r="I75" i="30" s="1"/>
  <c r="F76" i="30"/>
  <c r="H76" i="30" s="1"/>
  <c r="G76" i="30"/>
  <c r="I76" i="30" s="1"/>
  <c r="F77" i="30"/>
  <c r="H77" i="30" s="1"/>
  <c r="G77" i="30"/>
  <c r="I77" i="30" s="1"/>
  <c r="F78" i="30"/>
  <c r="H78" i="30" s="1"/>
  <c r="G78" i="30"/>
  <c r="I78" i="30" s="1"/>
  <c r="F79" i="30"/>
  <c r="H79" i="30" s="1"/>
  <c r="G79" i="30"/>
  <c r="I79" i="30" s="1"/>
  <c r="F80" i="30"/>
  <c r="H80" i="30" s="1"/>
  <c r="G80" i="30"/>
  <c r="I80" i="30" s="1"/>
  <c r="F81" i="30"/>
  <c r="H81" i="30" s="1"/>
  <c r="G81" i="30"/>
  <c r="I81" i="30" s="1"/>
  <c r="F82" i="30"/>
  <c r="H82" i="30" s="1"/>
  <c r="G82" i="30"/>
  <c r="I82" i="30" s="1"/>
  <c r="F83" i="30"/>
  <c r="H83" i="30" s="1"/>
  <c r="G83" i="30"/>
  <c r="I83" i="30" s="1"/>
  <c r="F84" i="30"/>
  <c r="H84" i="30" s="1"/>
  <c r="G84" i="30"/>
  <c r="I84" i="30" s="1"/>
  <c r="F85" i="30"/>
  <c r="H85" i="30" s="1"/>
  <c r="G85" i="30"/>
  <c r="I85" i="30" s="1"/>
  <c r="F86" i="30"/>
  <c r="H86" i="30" s="1"/>
  <c r="G86" i="30"/>
  <c r="I86" i="30" s="1"/>
  <c r="F87" i="30"/>
  <c r="H87" i="30" s="1"/>
  <c r="G87" i="30"/>
  <c r="I87" i="30" s="1"/>
  <c r="F88" i="30"/>
  <c r="H88" i="30" s="1"/>
  <c r="G88" i="30"/>
  <c r="I88" i="30" s="1"/>
  <c r="F89" i="30"/>
  <c r="H89" i="30" s="1"/>
  <c r="G89" i="30"/>
  <c r="I89" i="30" s="1"/>
  <c r="F90" i="30"/>
  <c r="H90" i="30" s="1"/>
  <c r="G90" i="30"/>
  <c r="I90" i="30" s="1"/>
  <c r="F91" i="30"/>
  <c r="H91" i="30" s="1"/>
  <c r="G91" i="30"/>
  <c r="I91" i="30" s="1"/>
  <c r="F92" i="30"/>
  <c r="H92" i="30" s="1"/>
  <c r="G92" i="30"/>
  <c r="I92" i="30" s="1"/>
  <c r="F93" i="30"/>
  <c r="H93" i="30" s="1"/>
  <c r="G93" i="30"/>
  <c r="I93" i="30" s="1"/>
  <c r="F94" i="30"/>
  <c r="H94" i="30" s="1"/>
  <c r="G94" i="30"/>
  <c r="I94" i="30" s="1"/>
  <c r="F95" i="30"/>
  <c r="H95" i="30" s="1"/>
  <c r="G95" i="30"/>
  <c r="I95" i="30" s="1"/>
  <c r="F96" i="30"/>
  <c r="H96" i="30" s="1"/>
  <c r="G96" i="30"/>
  <c r="I96" i="30" s="1"/>
  <c r="F97" i="30"/>
  <c r="H97" i="30" s="1"/>
  <c r="G97" i="30"/>
  <c r="I97" i="30" s="1"/>
  <c r="F98" i="30"/>
  <c r="H98" i="30" s="1"/>
  <c r="G98" i="30"/>
  <c r="I98" i="30" s="1"/>
  <c r="F99" i="30"/>
  <c r="H99" i="30" s="1"/>
  <c r="G99" i="30"/>
  <c r="I99" i="30" s="1"/>
  <c r="F100" i="30"/>
  <c r="H100" i="30" s="1"/>
  <c r="G100" i="30"/>
  <c r="I100" i="30" s="1"/>
  <c r="F101" i="30"/>
  <c r="H101" i="30" s="1"/>
  <c r="G101" i="30"/>
  <c r="I101" i="30" s="1"/>
  <c r="F102" i="30"/>
  <c r="H102" i="30" s="1"/>
  <c r="G102" i="30"/>
  <c r="I102" i="30" s="1"/>
  <c r="F103" i="30"/>
  <c r="H103" i="30" s="1"/>
  <c r="G103" i="30"/>
  <c r="I103" i="30" s="1"/>
  <c r="F104" i="30"/>
  <c r="H104" i="30" s="1"/>
  <c r="G104" i="30"/>
  <c r="I104" i="30" s="1"/>
  <c r="F105" i="30"/>
  <c r="H105" i="30" s="1"/>
  <c r="G105" i="30"/>
  <c r="I105" i="30" s="1"/>
  <c r="F106" i="30"/>
  <c r="H106" i="30" s="1"/>
  <c r="G106" i="30"/>
  <c r="I106" i="30" s="1"/>
  <c r="F107" i="30"/>
  <c r="H107" i="30" s="1"/>
  <c r="G107" i="30"/>
  <c r="I107" i="30" s="1"/>
  <c r="F108" i="30"/>
  <c r="H108" i="30" s="1"/>
  <c r="G108" i="30"/>
  <c r="I108" i="30" s="1"/>
  <c r="F109" i="30"/>
  <c r="H109" i="30" s="1"/>
  <c r="G109" i="30"/>
  <c r="I109" i="30" s="1"/>
  <c r="F110" i="30"/>
  <c r="H110" i="30" s="1"/>
  <c r="G110" i="30"/>
  <c r="I110" i="30" s="1"/>
  <c r="F112" i="30"/>
  <c r="H112" i="30" s="1"/>
  <c r="G112" i="30"/>
  <c r="I112" i="30" s="1"/>
  <c r="F113" i="30"/>
  <c r="H113" i="30" s="1"/>
  <c r="G113" i="30"/>
  <c r="I113" i="30" s="1"/>
  <c r="F114" i="30"/>
  <c r="H114" i="30" s="1"/>
  <c r="G114" i="30"/>
  <c r="I114" i="30" s="1"/>
  <c r="F115" i="30"/>
  <c r="H115" i="30" s="1"/>
  <c r="G115" i="30"/>
  <c r="I115" i="30" s="1"/>
  <c r="F116" i="30"/>
  <c r="H116" i="30" s="1"/>
  <c r="G116" i="30"/>
  <c r="I116" i="30" s="1"/>
  <c r="F117" i="30"/>
  <c r="H117" i="30" s="1"/>
  <c r="G117" i="30"/>
  <c r="I117" i="30" s="1"/>
  <c r="F118" i="30"/>
  <c r="H118" i="30" s="1"/>
  <c r="G118" i="30"/>
  <c r="I118" i="30" s="1"/>
  <c r="F119" i="30"/>
  <c r="H119" i="30" s="1"/>
  <c r="G119" i="30"/>
  <c r="I119" i="30" s="1"/>
  <c r="F120" i="30"/>
  <c r="H120" i="30" s="1"/>
  <c r="G120" i="30"/>
  <c r="I120" i="30" s="1"/>
  <c r="F121" i="30"/>
  <c r="H121" i="30" s="1"/>
  <c r="G121" i="30"/>
  <c r="I121" i="30" s="1"/>
  <c r="F122" i="30"/>
  <c r="H122" i="30" s="1"/>
  <c r="G122" i="30"/>
  <c r="I122" i="30" s="1"/>
  <c r="F123" i="30"/>
  <c r="H123" i="30" s="1"/>
  <c r="G123" i="30"/>
  <c r="I123" i="30" s="1"/>
  <c r="F124" i="30"/>
  <c r="H124" i="30" s="1"/>
  <c r="G124" i="30"/>
  <c r="I124" i="30" s="1"/>
  <c r="F125" i="30"/>
  <c r="H125" i="30" s="1"/>
  <c r="G125" i="30"/>
  <c r="I125" i="30" s="1"/>
  <c r="F126" i="30"/>
  <c r="H126" i="30" s="1"/>
  <c r="G126" i="30"/>
  <c r="I126" i="30" s="1"/>
  <c r="F127" i="30"/>
  <c r="H127" i="30" s="1"/>
  <c r="G127" i="30"/>
  <c r="I127" i="30" s="1"/>
  <c r="F128" i="30"/>
  <c r="H128" i="30" s="1"/>
  <c r="G128" i="30"/>
  <c r="I128" i="30" s="1"/>
  <c r="F129" i="30"/>
  <c r="H129" i="30" s="1"/>
  <c r="G129" i="30"/>
  <c r="I129" i="30" s="1"/>
  <c r="F130" i="30"/>
  <c r="H130" i="30" s="1"/>
  <c r="G130" i="30"/>
  <c r="I130" i="30" s="1"/>
  <c r="F131" i="30"/>
  <c r="H131" i="30" s="1"/>
  <c r="G131" i="30"/>
  <c r="I131" i="30" s="1"/>
  <c r="F132" i="30"/>
  <c r="H132" i="30" s="1"/>
  <c r="G132" i="30"/>
  <c r="I132" i="30" s="1"/>
  <c r="F133" i="30"/>
  <c r="H133" i="30" s="1"/>
  <c r="G133" i="30"/>
  <c r="I133" i="30" s="1"/>
  <c r="F134" i="30"/>
  <c r="H134" i="30" s="1"/>
  <c r="G134" i="30"/>
  <c r="I134" i="30" s="1"/>
  <c r="F135" i="30"/>
  <c r="H135" i="30" s="1"/>
  <c r="G135" i="30"/>
  <c r="I135" i="30" s="1"/>
  <c r="F136" i="30"/>
  <c r="H136" i="30" s="1"/>
  <c r="G136" i="30"/>
  <c r="I136" i="30" s="1"/>
  <c r="F137" i="30"/>
  <c r="H137" i="30" s="1"/>
  <c r="G137" i="30"/>
  <c r="I137" i="30" s="1"/>
  <c r="F138" i="30"/>
  <c r="H138" i="30" s="1"/>
  <c r="G138" i="30"/>
  <c r="I138" i="30" s="1"/>
  <c r="F139" i="30"/>
  <c r="H139" i="30" s="1"/>
  <c r="G139" i="30"/>
  <c r="I139" i="30" s="1"/>
  <c r="F140" i="30"/>
  <c r="H140" i="30" s="1"/>
  <c r="G140" i="30"/>
  <c r="I140" i="30" s="1"/>
  <c r="F141" i="30"/>
  <c r="H141" i="30" s="1"/>
  <c r="G141" i="30"/>
  <c r="I141" i="30" s="1"/>
  <c r="F142" i="30"/>
  <c r="H142" i="30" s="1"/>
  <c r="G142" i="30"/>
  <c r="I142" i="30" s="1"/>
  <c r="F143" i="30"/>
  <c r="H143" i="30" s="1"/>
  <c r="G143" i="30"/>
  <c r="I143" i="30" s="1"/>
  <c r="F144" i="30"/>
  <c r="H144" i="30" s="1"/>
  <c r="G144" i="30"/>
  <c r="I144" i="30" s="1"/>
  <c r="F145" i="30"/>
  <c r="H145" i="30" s="1"/>
  <c r="G145" i="30"/>
  <c r="I145" i="30" s="1"/>
  <c r="F146" i="30"/>
  <c r="H146" i="30" s="1"/>
  <c r="G146" i="30"/>
  <c r="I146" i="30" s="1"/>
  <c r="F147" i="30"/>
  <c r="H147" i="30" s="1"/>
  <c r="G147" i="30"/>
  <c r="I147" i="30" s="1"/>
  <c r="F148" i="30"/>
  <c r="H148" i="30" s="1"/>
  <c r="G148" i="30"/>
  <c r="I148" i="30" s="1"/>
  <c r="F149" i="30"/>
  <c r="H149" i="30" s="1"/>
  <c r="G149" i="30"/>
  <c r="I149" i="30" s="1"/>
  <c r="F150" i="30"/>
  <c r="H150" i="30" s="1"/>
  <c r="G150" i="30"/>
  <c r="I150" i="30" s="1"/>
  <c r="F151" i="30"/>
  <c r="H151" i="30" s="1"/>
  <c r="G151" i="30"/>
  <c r="I151" i="30" s="1"/>
  <c r="F152" i="30"/>
  <c r="H152" i="30" s="1"/>
  <c r="G152" i="30"/>
  <c r="I152" i="30" s="1"/>
  <c r="F153" i="30"/>
  <c r="H153" i="30" s="1"/>
  <c r="G153" i="30"/>
  <c r="I153" i="30" s="1"/>
  <c r="F154" i="30"/>
  <c r="H154" i="30" s="1"/>
  <c r="G154" i="30"/>
  <c r="I154" i="30" s="1"/>
  <c r="F155" i="30"/>
  <c r="H155" i="30" s="1"/>
  <c r="G155" i="30"/>
  <c r="I155" i="30" s="1"/>
  <c r="F156" i="30"/>
  <c r="H156" i="30" s="1"/>
  <c r="G156" i="30"/>
  <c r="I156" i="30" s="1"/>
  <c r="F157" i="30"/>
  <c r="H157" i="30" s="1"/>
  <c r="G157" i="30"/>
  <c r="I157" i="30" s="1"/>
  <c r="F158" i="30"/>
  <c r="H158" i="30" s="1"/>
  <c r="G158" i="30"/>
  <c r="I158" i="30" s="1"/>
  <c r="F159" i="30"/>
  <c r="H159" i="30" s="1"/>
  <c r="G159" i="30"/>
  <c r="I159" i="30" s="1"/>
  <c r="F160" i="30"/>
  <c r="H160" i="30" s="1"/>
  <c r="G160" i="30"/>
  <c r="I160" i="30" s="1"/>
  <c r="F161" i="30"/>
  <c r="H161" i="30" s="1"/>
  <c r="G161" i="30"/>
  <c r="I161" i="30" s="1"/>
  <c r="F162" i="30"/>
  <c r="H162" i="30" s="1"/>
  <c r="G162" i="30"/>
  <c r="I162" i="30" s="1"/>
  <c r="F163" i="30"/>
  <c r="H163" i="30" s="1"/>
  <c r="G163" i="30"/>
  <c r="I163" i="30" s="1"/>
  <c r="F164" i="30"/>
  <c r="H164" i="30" s="1"/>
  <c r="G164" i="30"/>
  <c r="I164" i="30" s="1"/>
  <c r="F165" i="30"/>
  <c r="H165" i="30" s="1"/>
  <c r="G165" i="30"/>
  <c r="I165" i="30" s="1"/>
  <c r="F166" i="30"/>
  <c r="H166" i="30" s="1"/>
  <c r="G166" i="30"/>
  <c r="I166" i="30" s="1"/>
  <c r="F167" i="30"/>
  <c r="H167" i="30" s="1"/>
  <c r="G167" i="30"/>
  <c r="I167" i="30" s="1"/>
  <c r="F168" i="30"/>
  <c r="H168" i="30" s="1"/>
  <c r="G168" i="30"/>
  <c r="I168" i="30" s="1"/>
  <c r="F169" i="30"/>
  <c r="H169" i="30" s="1"/>
  <c r="G169" i="30"/>
  <c r="I169" i="30" s="1"/>
  <c r="F170" i="30"/>
  <c r="H170" i="30" s="1"/>
  <c r="G170" i="30"/>
  <c r="I170" i="30" s="1"/>
  <c r="F171" i="30"/>
  <c r="H171" i="30" s="1"/>
  <c r="G171" i="30"/>
  <c r="I171" i="30" s="1"/>
  <c r="F172" i="30"/>
  <c r="H172" i="30" s="1"/>
  <c r="G172" i="30"/>
  <c r="I172" i="30" s="1"/>
  <c r="F173" i="30"/>
  <c r="H173" i="30" s="1"/>
  <c r="G173" i="30"/>
  <c r="I173" i="30" s="1"/>
  <c r="F174" i="30"/>
  <c r="H174" i="30" s="1"/>
  <c r="G174" i="30"/>
  <c r="I174" i="30" s="1"/>
  <c r="F175" i="30"/>
  <c r="H175" i="30" s="1"/>
  <c r="G175" i="30"/>
  <c r="I175" i="30" s="1"/>
  <c r="F176" i="30"/>
  <c r="H176" i="30" s="1"/>
  <c r="G176" i="30"/>
  <c r="I176" i="30" s="1"/>
  <c r="F177" i="30"/>
  <c r="H177" i="30" s="1"/>
  <c r="G177" i="30"/>
  <c r="I177" i="30" s="1"/>
  <c r="F178" i="30"/>
  <c r="H178" i="30" s="1"/>
  <c r="G178" i="30"/>
  <c r="I178" i="30" s="1"/>
  <c r="F179" i="30"/>
  <c r="H179" i="30" s="1"/>
  <c r="G179" i="30"/>
  <c r="I179" i="30" s="1"/>
  <c r="F180" i="30"/>
  <c r="H180" i="30" s="1"/>
  <c r="G180" i="30"/>
  <c r="I180" i="30" s="1"/>
  <c r="F181" i="30"/>
  <c r="H181" i="30" s="1"/>
  <c r="G181" i="30"/>
  <c r="I181" i="30" s="1"/>
  <c r="F182" i="30"/>
  <c r="H182" i="30" s="1"/>
  <c r="G182" i="30"/>
  <c r="I182" i="30" s="1"/>
  <c r="F183" i="30"/>
  <c r="H183" i="30" s="1"/>
  <c r="G183" i="30"/>
  <c r="I183" i="30" s="1"/>
  <c r="F184" i="30"/>
  <c r="H184" i="30" s="1"/>
  <c r="G184" i="30"/>
  <c r="I184" i="30" s="1"/>
  <c r="F185" i="30"/>
  <c r="H185" i="30" s="1"/>
  <c r="G185" i="30"/>
  <c r="I185" i="30" s="1"/>
  <c r="F186" i="30"/>
  <c r="H186" i="30" s="1"/>
  <c r="G186" i="30"/>
  <c r="I186" i="30" s="1"/>
  <c r="F187" i="30"/>
  <c r="H187" i="30" s="1"/>
  <c r="G187" i="30"/>
  <c r="I187" i="30" s="1"/>
  <c r="F188" i="30"/>
  <c r="H188" i="30" s="1"/>
  <c r="G188" i="30"/>
  <c r="I188" i="30" s="1"/>
  <c r="F189" i="30"/>
  <c r="H189" i="30" s="1"/>
  <c r="G189" i="30"/>
  <c r="I189" i="30" s="1"/>
  <c r="F190" i="30"/>
  <c r="H190" i="30" s="1"/>
  <c r="G190" i="30"/>
  <c r="I190" i="30" s="1"/>
  <c r="F191" i="30"/>
  <c r="H191" i="30" s="1"/>
  <c r="G191" i="30"/>
  <c r="I191" i="30" s="1"/>
  <c r="F192" i="30"/>
  <c r="H192" i="30" s="1"/>
  <c r="G192" i="30"/>
  <c r="I192" i="30" s="1"/>
  <c r="F193" i="30"/>
  <c r="H193" i="30" s="1"/>
  <c r="G193" i="30"/>
  <c r="I193" i="30" s="1"/>
  <c r="F194" i="30"/>
  <c r="H194" i="30" s="1"/>
  <c r="G194" i="30"/>
  <c r="I194" i="30" s="1"/>
  <c r="F195" i="30"/>
  <c r="H195" i="30" s="1"/>
  <c r="G195" i="30"/>
  <c r="I195" i="30" s="1"/>
  <c r="F196" i="30"/>
  <c r="H196" i="30" s="1"/>
  <c r="G196" i="30"/>
  <c r="I196" i="30" s="1"/>
  <c r="F197" i="30"/>
  <c r="H197" i="30" s="1"/>
  <c r="G197" i="30"/>
  <c r="I197" i="30" s="1"/>
  <c r="F198" i="30"/>
  <c r="H198" i="30" s="1"/>
  <c r="G198" i="30"/>
  <c r="I198" i="30" s="1"/>
  <c r="F199" i="30"/>
  <c r="H199" i="30" s="1"/>
  <c r="G199" i="30"/>
  <c r="I199" i="30" s="1"/>
  <c r="F200" i="30"/>
  <c r="H200" i="30" s="1"/>
  <c r="G200" i="30"/>
  <c r="I200" i="30" s="1"/>
  <c r="F201" i="30"/>
  <c r="H201" i="30" s="1"/>
  <c r="G201" i="30"/>
  <c r="I201" i="30" s="1"/>
  <c r="F202" i="30"/>
  <c r="H202" i="30" s="1"/>
  <c r="G202" i="30"/>
  <c r="I202" i="30" s="1"/>
  <c r="F203" i="30"/>
  <c r="H203" i="30" s="1"/>
  <c r="G203" i="30"/>
  <c r="I203" i="30" s="1"/>
  <c r="F204" i="30"/>
  <c r="H204" i="30" s="1"/>
  <c r="G204" i="30"/>
  <c r="I204" i="30" s="1"/>
  <c r="F205" i="30"/>
  <c r="H205" i="30" s="1"/>
  <c r="G205" i="30"/>
  <c r="I205" i="30" s="1"/>
  <c r="F206" i="30"/>
  <c r="H206" i="30" s="1"/>
  <c r="G206" i="30"/>
  <c r="I206" i="30" s="1"/>
  <c r="F207" i="30"/>
  <c r="H207" i="30" s="1"/>
  <c r="G207" i="30"/>
  <c r="I207" i="30" s="1"/>
  <c r="F208" i="30"/>
  <c r="H208" i="30" s="1"/>
  <c r="G208" i="30"/>
  <c r="I208" i="30" s="1"/>
  <c r="F209" i="30"/>
  <c r="H209" i="30" s="1"/>
  <c r="G209" i="30"/>
  <c r="I209" i="30" s="1"/>
  <c r="F210" i="30"/>
  <c r="H210" i="30" s="1"/>
  <c r="G210" i="30"/>
  <c r="I210" i="30" s="1"/>
  <c r="F211" i="30"/>
  <c r="H211" i="30" s="1"/>
  <c r="G211" i="30"/>
  <c r="I211" i="30" s="1"/>
  <c r="F212" i="30"/>
  <c r="H212" i="30" s="1"/>
  <c r="G212" i="30"/>
  <c r="I212" i="30" s="1"/>
  <c r="F213" i="30"/>
  <c r="H213" i="30" s="1"/>
  <c r="G213" i="30"/>
  <c r="I213" i="30" s="1"/>
  <c r="F214" i="30"/>
  <c r="H214" i="30" s="1"/>
  <c r="G214" i="30"/>
  <c r="I214" i="30" s="1"/>
  <c r="F215" i="30"/>
  <c r="H215" i="30" s="1"/>
  <c r="G215" i="30"/>
  <c r="I215" i="30" s="1"/>
  <c r="F216" i="30"/>
  <c r="H216" i="30" s="1"/>
  <c r="G216" i="30"/>
  <c r="I216" i="30" s="1"/>
  <c r="F217" i="30"/>
  <c r="H217" i="30" s="1"/>
  <c r="G217" i="30"/>
  <c r="I217" i="30" s="1"/>
  <c r="F218" i="30"/>
  <c r="H218" i="30" s="1"/>
  <c r="G218" i="30"/>
  <c r="I218" i="30" s="1"/>
  <c r="F219" i="30"/>
  <c r="H219" i="30" s="1"/>
  <c r="G219" i="30"/>
  <c r="I219" i="30" s="1"/>
  <c r="F220" i="30"/>
  <c r="H220" i="30" s="1"/>
  <c r="G220" i="30"/>
  <c r="I220" i="30" s="1"/>
  <c r="F221" i="30"/>
  <c r="H221" i="30" s="1"/>
  <c r="G221" i="30"/>
  <c r="I221" i="30" s="1"/>
  <c r="F222" i="30"/>
  <c r="H222" i="30" s="1"/>
  <c r="G222" i="30"/>
  <c r="I222" i="30" s="1"/>
  <c r="F223" i="30"/>
  <c r="H223" i="30" s="1"/>
  <c r="G223" i="30"/>
  <c r="I223" i="30" s="1"/>
  <c r="F224" i="30"/>
  <c r="H224" i="30" s="1"/>
  <c r="G224" i="30"/>
  <c r="I224" i="30" s="1"/>
  <c r="F225" i="30"/>
  <c r="H225" i="30" s="1"/>
  <c r="G225" i="30"/>
  <c r="I225" i="30" s="1"/>
  <c r="F226" i="30"/>
  <c r="H226" i="30" s="1"/>
  <c r="G226" i="30"/>
  <c r="I226" i="30" s="1"/>
  <c r="F227" i="30"/>
  <c r="H227" i="30" s="1"/>
  <c r="G227" i="30"/>
  <c r="I227" i="30" s="1"/>
  <c r="F228" i="30"/>
  <c r="H228" i="30" s="1"/>
  <c r="G228" i="30"/>
  <c r="I228" i="30" s="1"/>
  <c r="F229" i="30"/>
  <c r="H229" i="30" s="1"/>
  <c r="G229" i="30"/>
  <c r="I229" i="30" s="1"/>
  <c r="F230" i="30"/>
  <c r="H230" i="30" s="1"/>
  <c r="G230" i="30"/>
  <c r="I230" i="30" s="1"/>
  <c r="F231" i="30"/>
  <c r="H231" i="30" s="1"/>
  <c r="G231" i="30"/>
  <c r="I231" i="30" s="1"/>
  <c r="F232" i="30"/>
  <c r="H232" i="30" s="1"/>
  <c r="G232" i="30"/>
  <c r="I232" i="30" s="1"/>
  <c r="F233" i="30"/>
  <c r="H233" i="30" s="1"/>
  <c r="G233" i="30"/>
  <c r="I233" i="30" s="1"/>
  <c r="F234" i="30"/>
  <c r="H234" i="30" s="1"/>
  <c r="G234" i="30"/>
  <c r="I234" i="30" s="1"/>
  <c r="F235" i="30"/>
  <c r="H235" i="30" s="1"/>
  <c r="G235" i="30"/>
  <c r="I235" i="30" s="1"/>
  <c r="F236" i="30"/>
  <c r="H236" i="30" s="1"/>
  <c r="G236" i="30"/>
  <c r="I236" i="30" s="1"/>
  <c r="F237" i="30"/>
  <c r="H237" i="30" s="1"/>
  <c r="G237" i="30"/>
  <c r="I237" i="30" s="1"/>
  <c r="F238" i="30"/>
  <c r="H238" i="30" s="1"/>
  <c r="G238" i="30"/>
  <c r="I238" i="30" s="1"/>
  <c r="F240" i="30"/>
  <c r="H240" i="30" s="1"/>
  <c r="G240" i="30"/>
  <c r="I240" i="30" s="1"/>
  <c r="F241" i="30"/>
  <c r="H241" i="30" s="1"/>
  <c r="G241" i="30"/>
  <c r="I241" i="30" s="1"/>
  <c r="F242" i="30"/>
  <c r="H242" i="30" s="1"/>
  <c r="G242" i="30"/>
  <c r="I242" i="30" s="1"/>
  <c r="F243" i="30"/>
  <c r="H243" i="30" s="1"/>
  <c r="G243" i="30"/>
  <c r="I243" i="30" s="1"/>
  <c r="F244" i="30"/>
  <c r="H244" i="30" s="1"/>
  <c r="G244" i="30"/>
  <c r="I244" i="30" s="1"/>
  <c r="F245" i="30"/>
  <c r="H245" i="30" s="1"/>
  <c r="G245" i="30"/>
  <c r="I245" i="30" s="1"/>
  <c r="F246" i="30"/>
  <c r="H246" i="30" s="1"/>
  <c r="G246" i="30"/>
  <c r="I246" i="30" s="1"/>
  <c r="F247" i="30"/>
  <c r="H247" i="30" s="1"/>
  <c r="G247" i="30"/>
  <c r="I247" i="30" s="1"/>
  <c r="F248" i="30"/>
  <c r="H248" i="30" s="1"/>
  <c r="G248" i="30"/>
  <c r="I248" i="30" s="1"/>
  <c r="F249" i="30"/>
  <c r="H249" i="30" s="1"/>
  <c r="G249" i="30"/>
  <c r="I249" i="30" s="1"/>
  <c r="F250" i="30"/>
  <c r="H250" i="30" s="1"/>
  <c r="G250" i="30"/>
  <c r="I250" i="30" s="1"/>
  <c r="F251" i="30"/>
  <c r="H251" i="30" s="1"/>
  <c r="G251" i="30"/>
  <c r="I251" i="30" s="1"/>
  <c r="F252" i="30"/>
  <c r="H252" i="30" s="1"/>
  <c r="G252" i="30"/>
  <c r="I252" i="30" s="1"/>
  <c r="F253" i="30"/>
  <c r="H253" i="30" s="1"/>
  <c r="G253" i="30"/>
  <c r="I253" i="30" s="1"/>
  <c r="F254" i="30"/>
  <c r="H254" i="30" s="1"/>
  <c r="G254" i="30"/>
  <c r="I254" i="30" s="1"/>
  <c r="F255" i="30"/>
  <c r="H255" i="30" s="1"/>
  <c r="G255" i="30"/>
  <c r="I255" i="30" s="1"/>
  <c r="F256" i="30"/>
  <c r="H256" i="30" s="1"/>
  <c r="G256" i="30"/>
  <c r="I256" i="30" s="1"/>
  <c r="F257" i="30"/>
  <c r="H257" i="30" s="1"/>
  <c r="G257" i="30"/>
  <c r="I257" i="30" s="1"/>
  <c r="F258" i="30"/>
  <c r="H258" i="30" s="1"/>
  <c r="G258" i="30"/>
  <c r="I258" i="30" s="1"/>
  <c r="F259" i="30"/>
  <c r="H259" i="30" s="1"/>
  <c r="G259" i="30"/>
  <c r="I259" i="30" s="1"/>
  <c r="F260" i="30"/>
  <c r="H260" i="30" s="1"/>
  <c r="G260" i="30"/>
  <c r="I260" i="30" s="1"/>
  <c r="F261" i="30"/>
  <c r="H261" i="30" s="1"/>
  <c r="G261" i="30"/>
  <c r="I261" i="30" s="1"/>
  <c r="F262" i="30"/>
  <c r="H262" i="30" s="1"/>
  <c r="G262" i="30"/>
  <c r="I262" i="30" s="1"/>
  <c r="F263" i="30"/>
  <c r="H263" i="30" s="1"/>
  <c r="G263" i="30"/>
  <c r="I263" i="30" s="1"/>
  <c r="F264" i="30"/>
  <c r="H264" i="30" s="1"/>
  <c r="G264" i="30"/>
  <c r="I264" i="30" s="1"/>
  <c r="F265" i="30"/>
  <c r="H265" i="30" s="1"/>
  <c r="G265" i="30"/>
  <c r="I265" i="30" s="1"/>
  <c r="F266" i="30"/>
  <c r="H266" i="30" s="1"/>
  <c r="G266" i="30"/>
  <c r="I266" i="30" s="1"/>
  <c r="F267" i="30"/>
  <c r="H267" i="30" s="1"/>
  <c r="G267" i="30"/>
  <c r="I267" i="30" s="1"/>
  <c r="F269" i="30"/>
  <c r="H269" i="30" s="1"/>
  <c r="G269" i="30"/>
  <c r="I269" i="30" s="1"/>
  <c r="F270" i="30"/>
  <c r="H270" i="30" s="1"/>
  <c r="G270" i="30"/>
  <c r="I270" i="30" s="1"/>
  <c r="F271" i="30"/>
  <c r="H271" i="30" s="1"/>
  <c r="G271" i="30"/>
  <c r="I271" i="30" s="1"/>
  <c r="F272" i="30"/>
  <c r="H272" i="30" s="1"/>
  <c r="G272" i="30"/>
  <c r="I272" i="30" s="1"/>
  <c r="F273" i="30"/>
  <c r="H273" i="30" s="1"/>
  <c r="G273" i="30"/>
  <c r="I273" i="30" s="1"/>
  <c r="F274" i="30"/>
  <c r="H274" i="30" s="1"/>
  <c r="G274" i="30"/>
  <c r="I274" i="30" s="1"/>
  <c r="F275" i="30"/>
  <c r="H275" i="30" s="1"/>
  <c r="G275" i="30"/>
  <c r="I275" i="30" s="1"/>
  <c r="F276" i="30"/>
  <c r="H276" i="30" s="1"/>
  <c r="G276" i="30"/>
  <c r="I276" i="30" s="1"/>
  <c r="F277" i="30"/>
  <c r="H277" i="30" s="1"/>
  <c r="G277" i="30"/>
  <c r="I277" i="30" s="1"/>
  <c r="F278" i="30"/>
  <c r="H278" i="30" s="1"/>
  <c r="G278" i="30"/>
  <c r="I278" i="30" s="1"/>
  <c r="F279" i="30"/>
  <c r="H279" i="30" s="1"/>
  <c r="G279" i="30"/>
  <c r="I279" i="30" s="1"/>
  <c r="F280" i="30"/>
  <c r="H280" i="30" s="1"/>
  <c r="G280" i="30"/>
  <c r="I280" i="30" s="1"/>
  <c r="F281" i="30"/>
  <c r="H281" i="30" s="1"/>
  <c r="G281" i="30"/>
  <c r="I281" i="30" s="1"/>
  <c r="F282" i="30"/>
  <c r="H282" i="30" s="1"/>
  <c r="G282" i="30"/>
  <c r="I282" i="30" s="1"/>
  <c r="F283" i="30"/>
  <c r="H283" i="30" s="1"/>
  <c r="G283" i="30"/>
  <c r="I283" i="30" s="1"/>
  <c r="F284" i="30"/>
  <c r="H284" i="30" s="1"/>
  <c r="G284" i="30"/>
  <c r="I284" i="30" s="1"/>
  <c r="F285" i="30"/>
  <c r="H285" i="30" s="1"/>
  <c r="G285" i="30"/>
  <c r="I285" i="30" s="1"/>
  <c r="F286" i="30"/>
  <c r="H286" i="30" s="1"/>
  <c r="G286" i="30"/>
  <c r="I286" i="30" s="1"/>
  <c r="F287" i="30"/>
  <c r="H287" i="30" s="1"/>
  <c r="G287" i="30"/>
  <c r="I287" i="30" s="1"/>
  <c r="F288" i="30"/>
  <c r="H288" i="30" s="1"/>
  <c r="G288" i="30"/>
  <c r="I288" i="30" s="1"/>
  <c r="F289" i="30"/>
  <c r="H289" i="30" s="1"/>
  <c r="G289" i="30"/>
  <c r="I289" i="30" s="1"/>
  <c r="F290" i="30"/>
  <c r="H290" i="30" s="1"/>
  <c r="G290" i="30"/>
  <c r="I290" i="30" s="1"/>
  <c r="F291" i="30"/>
  <c r="H291" i="30" s="1"/>
  <c r="G291" i="30"/>
  <c r="I291" i="30" s="1"/>
  <c r="F292" i="30"/>
  <c r="H292" i="30" s="1"/>
  <c r="G292" i="30"/>
  <c r="I292" i="30" s="1"/>
  <c r="F293" i="30"/>
  <c r="H293" i="30" s="1"/>
  <c r="G293" i="30"/>
  <c r="I293" i="30" s="1"/>
  <c r="F294" i="30"/>
  <c r="H294" i="30" s="1"/>
  <c r="G294" i="30"/>
  <c r="I294" i="30" s="1"/>
  <c r="F296" i="30"/>
  <c r="H296" i="30" s="1"/>
  <c r="G296" i="30"/>
  <c r="I296" i="30" s="1"/>
  <c r="B297" i="30"/>
  <c r="F297" i="30"/>
  <c r="G297" i="30"/>
  <c r="I297" i="30" s="1"/>
  <c r="G298" i="30"/>
  <c r="I298" i="30" s="1"/>
  <c r="H298" i="30"/>
  <c r="F299" i="30"/>
  <c r="H299" i="30" s="1"/>
  <c r="G299" i="30"/>
  <c r="I299" i="30" s="1"/>
  <c r="B300" i="30"/>
  <c r="F300" i="30"/>
  <c r="G300" i="30"/>
  <c r="I300" i="30" s="1"/>
  <c r="B301" i="30"/>
  <c r="F301" i="30"/>
  <c r="G301" i="30"/>
  <c r="I301" i="30" s="1"/>
  <c r="F304" i="30"/>
  <c r="H304" i="30" s="1"/>
  <c r="G304" i="30"/>
  <c r="I304" i="30" s="1"/>
  <c r="F305" i="30"/>
  <c r="H305" i="30" s="1"/>
  <c r="G305" i="30"/>
  <c r="I305" i="30" s="1"/>
  <c r="H306" i="30"/>
  <c r="I306" i="30"/>
  <c r="H307" i="30"/>
  <c r="I307" i="30"/>
  <c r="F308" i="30"/>
  <c r="H308" i="30" s="1"/>
  <c r="G308" i="30"/>
  <c r="I308" i="30" s="1"/>
  <c r="F309" i="30"/>
  <c r="H309" i="30" s="1"/>
  <c r="G309" i="30"/>
  <c r="I309" i="30" s="1"/>
  <c r="F310" i="30"/>
  <c r="H310" i="30" s="1"/>
  <c r="G310" i="30"/>
  <c r="I310" i="30" s="1"/>
  <c r="F311" i="30"/>
  <c r="H311" i="30" s="1"/>
  <c r="G311" i="30"/>
  <c r="I311" i="30" s="1"/>
  <c r="F312" i="30"/>
  <c r="H312" i="30" s="1"/>
  <c r="G312" i="30"/>
  <c r="I312" i="30" s="1"/>
  <c r="F313" i="30"/>
  <c r="H313" i="30" s="1"/>
  <c r="G313" i="30"/>
  <c r="I313" i="30" s="1"/>
  <c r="F314" i="30"/>
  <c r="H314" i="30" s="1"/>
  <c r="G314" i="30"/>
  <c r="I314" i="30" s="1"/>
  <c r="F315" i="30"/>
  <c r="H315" i="30" s="1"/>
  <c r="G315" i="30"/>
  <c r="I315" i="30" s="1"/>
  <c r="F316" i="30"/>
  <c r="H316" i="30" s="1"/>
  <c r="G316" i="30"/>
  <c r="I316" i="30" s="1"/>
  <c r="F317" i="30"/>
  <c r="H317" i="30" s="1"/>
  <c r="G317" i="30"/>
  <c r="I317" i="30" s="1"/>
  <c r="F318" i="30"/>
  <c r="H318" i="30" s="1"/>
  <c r="G318" i="30"/>
  <c r="I318" i="30" s="1"/>
  <c r="F319" i="30"/>
  <c r="H319" i="30" s="1"/>
  <c r="G319" i="30"/>
  <c r="I319" i="30" s="1"/>
  <c r="F320" i="30"/>
  <c r="H320" i="30" s="1"/>
  <c r="G320" i="30"/>
  <c r="I320" i="30" s="1"/>
  <c r="F321" i="30"/>
  <c r="H321" i="30" s="1"/>
  <c r="G321" i="30"/>
  <c r="I321" i="30" s="1"/>
  <c r="F322" i="30"/>
  <c r="H322" i="30" s="1"/>
  <c r="G322" i="30"/>
  <c r="I322" i="30" s="1"/>
  <c r="F323" i="30"/>
  <c r="H323" i="30" s="1"/>
  <c r="G323" i="30"/>
  <c r="I323" i="30" s="1"/>
  <c r="F324" i="30"/>
  <c r="H324" i="30" s="1"/>
  <c r="G324" i="30"/>
  <c r="I324" i="30" s="1"/>
  <c r="F325" i="30"/>
  <c r="H325" i="30" s="1"/>
  <c r="G325" i="30"/>
  <c r="I325" i="30" s="1"/>
  <c r="F326" i="30"/>
  <c r="H326" i="30" s="1"/>
  <c r="G326" i="30"/>
  <c r="I326" i="30" s="1"/>
  <c r="F327" i="30"/>
  <c r="H327" i="30" s="1"/>
  <c r="G327" i="30"/>
  <c r="I327" i="30" s="1"/>
  <c r="F328" i="30"/>
  <c r="H328" i="30" s="1"/>
  <c r="G328" i="30"/>
  <c r="I328" i="30" s="1"/>
  <c r="F329" i="30"/>
  <c r="H329" i="30" s="1"/>
  <c r="G329" i="30"/>
  <c r="I329" i="30" s="1"/>
  <c r="F330" i="30"/>
  <c r="H330" i="30" s="1"/>
  <c r="G330" i="30"/>
  <c r="I330" i="30" s="1"/>
  <c r="F331" i="30"/>
  <c r="H331" i="30" s="1"/>
  <c r="G331" i="30"/>
  <c r="I331" i="30" s="1"/>
  <c r="F332" i="30"/>
  <c r="H332" i="30" s="1"/>
  <c r="G332" i="30"/>
  <c r="I332" i="30" s="1"/>
  <c r="F333" i="30"/>
  <c r="H333" i="30" s="1"/>
  <c r="G333" i="30"/>
  <c r="I333" i="30" s="1"/>
  <c r="F334" i="30"/>
  <c r="H334" i="30" s="1"/>
  <c r="G334" i="30"/>
  <c r="I334" i="30" s="1"/>
  <c r="F335" i="30"/>
  <c r="H335" i="30" s="1"/>
  <c r="G335" i="30"/>
  <c r="I335" i="30" s="1"/>
  <c r="F336" i="30"/>
  <c r="H336" i="30" s="1"/>
  <c r="G336" i="30"/>
  <c r="I336" i="30" s="1"/>
  <c r="F337" i="30"/>
  <c r="H337" i="30" s="1"/>
  <c r="G337" i="30"/>
  <c r="I337" i="30" s="1"/>
  <c r="F338" i="30"/>
  <c r="H338" i="30" s="1"/>
  <c r="G338" i="30"/>
  <c r="I338" i="30" s="1"/>
  <c r="F339" i="30"/>
  <c r="H339" i="30" s="1"/>
  <c r="G339" i="30"/>
  <c r="I339" i="30" s="1"/>
  <c r="F340" i="30"/>
  <c r="H340" i="30" s="1"/>
  <c r="G340" i="30"/>
  <c r="I340" i="30" s="1"/>
  <c r="F341" i="30"/>
  <c r="H341" i="30" s="1"/>
  <c r="G341" i="30"/>
  <c r="I341" i="30" s="1"/>
  <c r="F342" i="30"/>
  <c r="H342" i="30" s="1"/>
  <c r="G342" i="30"/>
  <c r="I342" i="30" s="1"/>
  <c r="F343" i="30"/>
  <c r="H343" i="30" s="1"/>
  <c r="G343" i="30"/>
  <c r="I343" i="30" s="1"/>
  <c r="F344" i="30"/>
  <c r="H344" i="30" s="1"/>
  <c r="G344" i="30"/>
  <c r="I344" i="30" s="1"/>
  <c r="F345" i="30"/>
  <c r="H345" i="30" s="1"/>
  <c r="G345" i="30"/>
  <c r="I345" i="30" s="1"/>
  <c r="F346" i="30"/>
  <c r="H346" i="30" s="1"/>
  <c r="G346" i="30"/>
  <c r="I346" i="30" s="1"/>
  <c r="F347" i="30"/>
  <c r="H347" i="30" s="1"/>
  <c r="G347" i="30"/>
  <c r="I347" i="30" s="1"/>
  <c r="F348" i="30"/>
  <c r="H348" i="30" s="1"/>
  <c r="G348" i="30"/>
  <c r="I348" i="30" s="1"/>
  <c r="F349" i="30"/>
  <c r="H349" i="30" s="1"/>
  <c r="G349" i="30"/>
  <c r="I349" i="30" s="1"/>
  <c r="F350" i="30"/>
  <c r="H350" i="30" s="1"/>
  <c r="G350" i="30"/>
  <c r="I350" i="30" s="1"/>
  <c r="F351" i="30"/>
  <c r="H351" i="30" s="1"/>
  <c r="G351" i="30"/>
  <c r="I351" i="30" s="1"/>
  <c r="F352" i="30"/>
  <c r="H352" i="30" s="1"/>
  <c r="G352" i="30"/>
  <c r="I352" i="30" s="1"/>
  <c r="F353" i="30"/>
  <c r="H353" i="30" s="1"/>
  <c r="G353" i="30"/>
  <c r="I353" i="30" s="1"/>
  <c r="F354" i="30"/>
  <c r="H354" i="30" s="1"/>
  <c r="G354" i="30"/>
  <c r="I354" i="30" s="1"/>
  <c r="F355" i="30"/>
  <c r="H355" i="30" s="1"/>
  <c r="G355" i="30"/>
  <c r="I355" i="30" s="1"/>
  <c r="F356" i="30"/>
  <c r="H356" i="30" s="1"/>
  <c r="G356" i="30"/>
  <c r="I356" i="30" s="1"/>
  <c r="F357" i="30"/>
  <c r="H357" i="30" s="1"/>
  <c r="G357" i="30"/>
  <c r="I357" i="30" s="1"/>
  <c r="F358" i="30"/>
  <c r="H358" i="30" s="1"/>
  <c r="G358" i="30"/>
  <c r="I358" i="30" s="1"/>
  <c r="F359" i="30"/>
  <c r="H359" i="30" s="1"/>
  <c r="G359" i="30"/>
  <c r="I359" i="30" s="1"/>
  <c r="F360" i="30"/>
  <c r="H360" i="30" s="1"/>
  <c r="G360" i="30"/>
  <c r="I360" i="30" s="1"/>
  <c r="F361" i="30"/>
  <c r="H361" i="30" s="1"/>
  <c r="G361" i="30"/>
  <c r="I361" i="30" s="1"/>
  <c r="F362" i="30"/>
  <c r="H362" i="30" s="1"/>
  <c r="G362" i="30"/>
  <c r="I362" i="30" s="1"/>
  <c r="F363" i="30"/>
  <c r="H363" i="30" s="1"/>
  <c r="G363" i="30"/>
  <c r="I363" i="30" s="1"/>
  <c r="F364" i="30"/>
  <c r="H364" i="30" s="1"/>
  <c r="G364" i="30"/>
  <c r="I364" i="30" s="1"/>
  <c r="F365" i="30"/>
  <c r="H365" i="30" s="1"/>
  <c r="G365" i="30"/>
  <c r="I365" i="30" s="1"/>
  <c r="F366" i="30"/>
  <c r="H366" i="30" s="1"/>
  <c r="G366" i="30"/>
  <c r="I366" i="30" s="1"/>
  <c r="F367" i="30"/>
  <c r="H367" i="30" s="1"/>
  <c r="G367" i="30"/>
  <c r="I367" i="30" s="1"/>
  <c r="F368" i="30"/>
  <c r="H368" i="30" s="1"/>
  <c r="G368" i="30"/>
  <c r="I368" i="30" s="1"/>
  <c r="F369" i="30"/>
  <c r="H369" i="30" s="1"/>
  <c r="G369" i="30"/>
  <c r="I369" i="30" s="1"/>
  <c r="F370" i="30"/>
  <c r="H370" i="30" s="1"/>
  <c r="G370" i="30"/>
  <c r="I370" i="30" s="1"/>
  <c r="F371" i="30"/>
  <c r="H371" i="30" s="1"/>
  <c r="G371" i="30"/>
  <c r="I371" i="30" s="1"/>
  <c r="F372" i="30"/>
  <c r="H372" i="30" s="1"/>
  <c r="G372" i="30"/>
  <c r="I372" i="30" s="1"/>
  <c r="F373" i="30"/>
  <c r="H373" i="30" s="1"/>
  <c r="G373" i="30"/>
  <c r="I373" i="30" s="1"/>
  <c r="F374" i="30"/>
  <c r="H374" i="30" s="1"/>
  <c r="G374" i="30"/>
  <c r="I374" i="30" s="1"/>
  <c r="F375" i="30"/>
  <c r="H375" i="30" s="1"/>
  <c r="G375" i="30"/>
  <c r="I375" i="30" s="1"/>
  <c r="F376" i="30"/>
  <c r="H376" i="30" s="1"/>
  <c r="G376" i="30"/>
  <c r="I376" i="30" s="1"/>
  <c r="F377" i="30"/>
  <c r="H377" i="30" s="1"/>
  <c r="G377" i="30"/>
  <c r="I377" i="30" s="1"/>
  <c r="F378" i="30"/>
  <c r="H378" i="30" s="1"/>
  <c r="G378" i="30"/>
  <c r="I378" i="30" s="1"/>
  <c r="F379" i="30"/>
  <c r="H379" i="30" s="1"/>
  <c r="G379" i="30"/>
  <c r="I379" i="30" s="1"/>
  <c r="F380" i="30"/>
  <c r="H380" i="30" s="1"/>
  <c r="G380" i="30"/>
  <c r="I380" i="30" s="1"/>
  <c r="F381" i="30"/>
  <c r="H381" i="30" s="1"/>
  <c r="G381" i="30"/>
  <c r="I381" i="30" s="1"/>
  <c r="F382" i="30"/>
  <c r="H382" i="30" s="1"/>
  <c r="G382" i="30"/>
  <c r="I382" i="30" s="1"/>
  <c r="F383" i="30"/>
  <c r="H383" i="30" s="1"/>
  <c r="G383" i="30"/>
  <c r="I383" i="30" s="1"/>
  <c r="F384" i="30"/>
  <c r="H384" i="30" s="1"/>
  <c r="G384" i="30"/>
  <c r="I384" i="30" s="1"/>
  <c r="F385" i="30"/>
  <c r="H385" i="30" s="1"/>
  <c r="G385" i="30"/>
  <c r="I385" i="30" s="1"/>
  <c r="F386" i="30"/>
  <c r="H386" i="30" s="1"/>
  <c r="G386" i="30"/>
  <c r="I386" i="30" s="1"/>
  <c r="F387" i="30"/>
  <c r="H387" i="30" s="1"/>
  <c r="G387" i="30"/>
  <c r="I387" i="30" s="1"/>
  <c r="F388" i="30"/>
  <c r="H388" i="30" s="1"/>
  <c r="G388" i="30"/>
  <c r="I388" i="30" s="1"/>
  <c r="F389" i="30"/>
  <c r="H389" i="30" s="1"/>
  <c r="G389" i="30"/>
  <c r="I389" i="30" s="1"/>
  <c r="F390" i="30"/>
  <c r="H390" i="30" s="1"/>
  <c r="G390" i="30"/>
  <c r="I390" i="30" s="1"/>
  <c r="F391" i="30"/>
  <c r="H391" i="30" s="1"/>
  <c r="G391" i="30"/>
  <c r="I391" i="30" s="1"/>
  <c r="F392" i="30"/>
  <c r="H392" i="30" s="1"/>
  <c r="G392" i="30"/>
  <c r="I392" i="30" s="1"/>
  <c r="F393" i="30"/>
  <c r="H393" i="30" s="1"/>
  <c r="G393" i="30"/>
  <c r="I393" i="30" s="1"/>
  <c r="F395" i="30"/>
  <c r="H395" i="30" s="1"/>
  <c r="G395" i="30"/>
  <c r="I395" i="30" s="1"/>
  <c r="F398" i="30"/>
  <c r="H398" i="30" s="1"/>
  <c r="G398" i="30"/>
  <c r="I398" i="30" s="1"/>
  <c r="F399" i="30"/>
  <c r="H399" i="30" s="1"/>
  <c r="G399" i="30"/>
  <c r="I399" i="30" s="1"/>
  <c r="F400" i="30"/>
  <c r="H400" i="30" s="1"/>
  <c r="G400" i="30"/>
  <c r="I400" i="30" s="1"/>
  <c r="F401" i="30"/>
  <c r="H401" i="30" s="1"/>
  <c r="G401" i="30"/>
  <c r="I401" i="30" s="1"/>
  <c r="F402" i="30"/>
  <c r="H402" i="30" s="1"/>
  <c r="G402" i="30"/>
  <c r="I402" i="30" s="1"/>
  <c r="F403" i="30"/>
  <c r="H403" i="30" s="1"/>
  <c r="G403" i="30"/>
  <c r="I403" i="30" s="1"/>
  <c r="F404" i="30"/>
  <c r="H404" i="30" s="1"/>
  <c r="G404" i="30"/>
  <c r="I404" i="30" s="1"/>
  <c r="F405" i="30"/>
  <c r="H405" i="30" s="1"/>
  <c r="G405" i="30"/>
  <c r="I405" i="30" s="1"/>
  <c r="F406" i="30"/>
  <c r="H406" i="30" s="1"/>
  <c r="G406" i="30"/>
  <c r="I406" i="30" s="1"/>
  <c r="F407" i="30"/>
  <c r="H407" i="30" s="1"/>
  <c r="G407" i="30"/>
  <c r="I407" i="30" s="1"/>
  <c r="F408" i="30"/>
  <c r="H408" i="30" s="1"/>
  <c r="G408" i="30"/>
  <c r="I408" i="30" s="1"/>
  <c r="F410" i="30"/>
  <c r="H410" i="30" s="1"/>
  <c r="G410" i="30"/>
  <c r="I410" i="30" s="1"/>
  <c r="F411" i="30"/>
  <c r="H411" i="30" s="1"/>
  <c r="G411" i="30"/>
  <c r="I411" i="30" s="1"/>
  <c r="F412" i="30"/>
  <c r="H412" i="30" s="1"/>
  <c r="G412" i="30"/>
  <c r="I412" i="30" s="1"/>
  <c r="F413" i="30"/>
  <c r="H413" i="30" s="1"/>
  <c r="G413" i="30"/>
  <c r="I413" i="30" s="1"/>
  <c r="F414" i="30"/>
  <c r="H414" i="30" s="1"/>
  <c r="G414" i="30"/>
  <c r="I414" i="30" s="1"/>
  <c r="F415" i="30"/>
  <c r="H415" i="30" s="1"/>
  <c r="G415" i="30"/>
  <c r="I415" i="30" s="1"/>
  <c r="F416" i="30"/>
  <c r="H416" i="30" s="1"/>
  <c r="G416" i="30"/>
  <c r="I416" i="30" s="1"/>
  <c r="F417" i="30"/>
  <c r="H417" i="30" s="1"/>
  <c r="G417" i="30"/>
  <c r="I417" i="30" s="1"/>
  <c r="F419" i="30"/>
  <c r="H419" i="30" s="1"/>
  <c r="G419" i="30"/>
  <c r="I419" i="30" s="1"/>
  <c r="F420" i="30"/>
  <c r="H420" i="30" s="1"/>
  <c r="G420" i="30"/>
  <c r="I420" i="30" s="1"/>
  <c r="F421" i="30"/>
  <c r="H421" i="30" s="1"/>
  <c r="G421" i="30"/>
  <c r="I421" i="30" s="1"/>
  <c r="F422" i="30"/>
  <c r="H422" i="30" s="1"/>
  <c r="G422" i="30"/>
  <c r="I422" i="30" s="1"/>
  <c r="F423" i="30"/>
  <c r="H423" i="30" s="1"/>
  <c r="G423" i="30"/>
  <c r="I423" i="30" s="1"/>
  <c r="F424" i="30"/>
  <c r="H424" i="30" s="1"/>
  <c r="G424" i="30"/>
  <c r="I424" i="30" s="1"/>
  <c r="F425" i="30"/>
  <c r="H425" i="30" s="1"/>
  <c r="G425" i="30"/>
  <c r="I425" i="30" s="1"/>
  <c r="F426" i="30"/>
  <c r="H426" i="30" s="1"/>
  <c r="G426" i="30"/>
  <c r="I426" i="30" s="1"/>
  <c r="F427" i="30"/>
  <c r="H427" i="30" s="1"/>
  <c r="G427" i="30"/>
  <c r="I427" i="30" s="1"/>
  <c r="F428" i="30"/>
  <c r="H428" i="30" s="1"/>
  <c r="G428" i="30"/>
  <c r="I428" i="30" s="1"/>
  <c r="F429" i="30"/>
  <c r="H429" i="30" s="1"/>
  <c r="G429" i="30"/>
  <c r="I429" i="30" s="1"/>
  <c r="F430" i="30"/>
  <c r="H430" i="30" s="1"/>
  <c r="G430" i="30"/>
  <c r="I430" i="30" s="1"/>
  <c r="F431" i="30"/>
  <c r="H431" i="30" s="1"/>
  <c r="G431" i="30"/>
  <c r="I431" i="30" s="1"/>
  <c r="F432" i="30"/>
  <c r="H432" i="30" s="1"/>
  <c r="G432" i="30"/>
  <c r="I432" i="30" s="1"/>
  <c r="F433" i="30"/>
  <c r="H433" i="30" s="1"/>
  <c r="G433" i="30"/>
  <c r="I433" i="30" s="1"/>
  <c r="F434" i="30"/>
  <c r="H434" i="30" s="1"/>
  <c r="G434" i="30"/>
  <c r="I434" i="30" s="1"/>
  <c r="F435" i="30"/>
  <c r="H435" i="30" s="1"/>
  <c r="G435" i="30"/>
  <c r="I435" i="30" s="1"/>
  <c r="F436" i="30"/>
  <c r="H436" i="30" s="1"/>
  <c r="G436" i="30"/>
  <c r="I436" i="30" s="1"/>
  <c r="F437" i="30"/>
  <c r="H437" i="30" s="1"/>
  <c r="G437" i="30"/>
  <c r="I437" i="30" s="1"/>
  <c r="F438" i="30"/>
  <c r="H438" i="30" s="1"/>
  <c r="G438" i="30"/>
  <c r="I438" i="30" s="1"/>
  <c r="F439" i="30"/>
  <c r="H439" i="30" s="1"/>
  <c r="G439" i="30"/>
  <c r="I439" i="30" s="1"/>
  <c r="F440" i="30"/>
  <c r="H440" i="30" s="1"/>
  <c r="G440" i="30"/>
  <c r="I440" i="30" s="1"/>
  <c r="F441" i="30"/>
  <c r="H441" i="30" s="1"/>
  <c r="G441" i="30"/>
  <c r="I441" i="30" s="1"/>
  <c r="F442" i="30"/>
  <c r="H442" i="30" s="1"/>
  <c r="G442" i="30"/>
  <c r="I442" i="30" s="1"/>
  <c r="F443" i="30"/>
  <c r="H443" i="30" s="1"/>
  <c r="G443" i="30"/>
  <c r="I443" i="30" s="1"/>
  <c r="F444" i="30"/>
  <c r="H444" i="30" s="1"/>
  <c r="G444" i="30"/>
  <c r="I444" i="30" s="1"/>
  <c r="F445" i="30"/>
  <c r="H445" i="30" s="1"/>
  <c r="G445" i="30"/>
  <c r="I445" i="30" s="1"/>
  <c r="F446" i="30"/>
  <c r="H446" i="30" s="1"/>
  <c r="G446" i="30"/>
  <c r="I446" i="30" s="1"/>
  <c r="F447" i="30"/>
  <c r="H447" i="30" s="1"/>
  <c r="G447" i="30"/>
  <c r="I447" i="30" s="1"/>
  <c r="F448" i="30"/>
  <c r="H448" i="30" s="1"/>
  <c r="G448" i="30"/>
  <c r="I448" i="30" s="1"/>
  <c r="F449" i="30"/>
  <c r="H449" i="30" s="1"/>
  <c r="G449" i="30"/>
  <c r="I449" i="30" s="1"/>
  <c r="F450" i="30"/>
  <c r="H450" i="30" s="1"/>
  <c r="G450" i="30"/>
  <c r="I450" i="30" s="1"/>
  <c r="F451" i="30"/>
  <c r="H451" i="30" s="1"/>
  <c r="G451" i="30"/>
  <c r="I451" i="30" s="1"/>
  <c r="F452" i="30"/>
  <c r="H452" i="30" s="1"/>
  <c r="G452" i="30"/>
  <c r="I452" i="30" s="1"/>
  <c r="F453" i="30"/>
  <c r="H453" i="30" s="1"/>
  <c r="G453" i="30"/>
  <c r="I453" i="30" s="1"/>
  <c r="F454" i="30"/>
  <c r="H454" i="30" s="1"/>
  <c r="G454" i="30"/>
  <c r="I454" i="30" s="1"/>
  <c r="F455" i="30"/>
  <c r="H455" i="30" s="1"/>
  <c r="G455" i="30"/>
  <c r="I455" i="30" s="1"/>
  <c r="F456" i="30"/>
  <c r="H456" i="30" s="1"/>
  <c r="G456" i="30"/>
  <c r="I456" i="30" s="1"/>
  <c r="F457" i="30"/>
  <c r="H457" i="30" s="1"/>
  <c r="G457" i="30"/>
  <c r="I457" i="30" s="1"/>
  <c r="F458" i="30"/>
  <c r="H458" i="30" s="1"/>
  <c r="G458" i="30"/>
  <c r="I458" i="30" s="1"/>
  <c r="F459" i="30"/>
  <c r="H459" i="30" s="1"/>
  <c r="G459" i="30"/>
  <c r="I459" i="30" s="1"/>
  <c r="F460" i="30"/>
  <c r="H460" i="30" s="1"/>
  <c r="G460" i="30"/>
  <c r="I460" i="30" s="1"/>
  <c r="F461" i="30"/>
  <c r="H461" i="30" s="1"/>
  <c r="G461" i="30"/>
  <c r="I461" i="30" s="1"/>
  <c r="F462" i="30"/>
  <c r="H462" i="30" s="1"/>
  <c r="G462" i="30"/>
  <c r="I462" i="30" s="1"/>
  <c r="F463" i="30"/>
  <c r="H463" i="30" s="1"/>
  <c r="G463" i="30"/>
  <c r="I463" i="30" s="1"/>
  <c r="F464" i="30"/>
  <c r="H464" i="30" s="1"/>
  <c r="G464" i="30"/>
  <c r="I464" i="30" s="1"/>
  <c r="F465" i="30"/>
  <c r="H465" i="30" s="1"/>
  <c r="G465" i="30"/>
  <c r="I465" i="30" s="1"/>
  <c r="F466" i="30"/>
  <c r="H466" i="30" s="1"/>
  <c r="G466" i="30"/>
  <c r="I466" i="30" s="1"/>
  <c r="F467" i="30"/>
  <c r="H467" i="30" s="1"/>
  <c r="G467" i="30"/>
  <c r="I467" i="30" s="1"/>
  <c r="F468" i="30"/>
  <c r="H468" i="30" s="1"/>
  <c r="G468" i="30"/>
  <c r="I468" i="30" s="1"/>
  <c r="F469" i="30"/>
  <c r="H469" i="30" s="1"/>
  <c r="G469" i="30"/>
  <c r="I469" i="30" s="1"/>
  <c r="F470" i="30"/>
  <c r="H470" i="30" s="1"/>
  <c r="G470" i="30"/>
  <c r="I470" i="30" s="1"/>
  <c r="F471" i="30"/>
  <c r="H471" i="30" s="1"/>
  <c r="G471" i="30"/>
  <c r="I471" i="30" s="1"/>
  <c r="F472" i="30"/>
  <c r="H472" i="30" s="1"/>
  <c r="G472" i="30"/>
  <c r="I472" i="30" s="1"/>
  <c r="F473" i="30"/>
  <c r="H473" i="30" s="1"/>
  <c r="G473" i="30"/>
  <c r="I473" i="30" s="1"/>
  <c r="F474" i="30"/>
  <c r="H474" i="30" s="1"/>
  <c r="G474" i="30"/>
  <c r="I474" i="30" s="1"/>
  <c r="F475" i="30"/>
  <c r="H475" i="30" s="1"/>
  <c r="G475" i="30"/>
  <c r="I475" i="30" s="1"/>
  <c r="F476" i="30"/>
  <c r="H476" i="30" s="1"/>
  <c r="G476" i="30"/>
  <c r="I476" i="30" s="1"/>
  <c r="F477" i="30"/>
  <c r="H477" i="30" s="1"/>
  <c r="G477" i="30"/>
  <c r="I477" i="30" s="1"/>
  <c r="F478" i="30"/>
  <c r="H478" i="30" s="1"/>
  <c r="G478" i="30"/>
  <c r="I478" i="30" s="1"/>
  <c r="F479" i="30"/>
  <c r="H479" i="30" s="1"/>
  <c r="G479" i="30"/>
  <c r="I479" i="30" s="1"/>
  <c r="F480" i="30"/>
  <c r="H480" i="30" s="1"/>
  <c r="G480" i="30"/>
  <c r="I480" i="30" s="1"/>
  <c r="F481" i="30"/>
  <c r="H481" i="30" s="1"/>
  <c r="G481" i="30"/>
  <c r="I481" i="30" s="1"/>
  <c r="C483" i="30"/>
  <c r="F483" i="30"/>
  <c r="H483" i="30" s="1"/>
  <c r="G483" i="30"/>
  <c r="F484" i="30"/>
  <c r="H484" i="30" s="1"/>
  <c r="G484" i="30"/>
  <c r="I484" i="30" s="1"/>
  <c r="F485" i="30"/>
  <c r="H485" i="30" s="1"/>
  <c r="G485" i="30"/>
  <c r="I485" i="30" s="1"/>
  <c r="F486" i="30"/>
  <c r="H486" i="30" s="1"/>
  <c r="G486" i="30"/>
  <c r="I486" i="30" s="1"/>
  <c r="F487" i="30"/>
  <c r="H487" i="30" s="1"/>
  <c r="G487" i="30"/>
  <c r="I487" i="30" s="1"/>
  <c r="F488" i="30"/>
  <c r="H488" i="30" s="1"/>
  <c r="G488" i="30"/>
  <c r="I488" i="30" s="1"/>
  <c r="F489" i="30"/>
  <c r="H489" i="30" s="1"/>
  <c r="G489" i="30"/>
  <c r="I489" i="30" s="1"/>
  <c r="F490" i="30"/>
  <c r="H490" i="30" s="1"/>
  <c r="G490" i="30"/>
  <c r="I490" i="30" s="1"/>
  <c r="F491" i="30"/>
  <c r="H491" i="30" s="1"/>
  <c r="G491" i="30"/>
  <c r="I491" i="30" s="1"/>
  <c r="F492" i="30"/>
  <c r="H492" i="30" s="1"/>
  <c r="G492" i="30"/>
  <c r="I492" i="30" s="1"/>
  <c r="F493" i="30"/>
  <c r="H493" i="30" s="1"/>
  <c r="G493" i="30"/>
  <c r="I493" i="30" s="1"/>
  <c r="F494" i="30"/>
  <c r="H494" i="30" s="1"/>
  <c r="G494" i="30"/>
  <c r="I494" i="30" s="1"/>
  <c r="F495" i="30"/>
  <c r="H495" i="30" s="1"/>
  <c r="G495" i="30"/>
  <c r="I495" i="30" s="1"/>
  <c r="F496" i="30"/>
  <c r="H496" i="30" s="1"/>
  <c r="G496" i="30"/>
  <c r="I496" i="30" s="1"/>
  <c r="F497" i="30"/>
  <c r="H497" i="30" s="1"/>
  <c r="G497" i="30"/>
  <c r="I497" i="30" s="1"/>
  <c r="F498" i="30"/>
  <c r="H498" i="30" s="1"/>
  <c r="G498" i="30"/>
  <c r="I498" i="30" s="1"/>
  <c r="F499" i="30"/>
  <c r="H499" i="30" s="1"/>
  <c r="G499" i="30"/>
  <c r="I499" i="30" s="1"/>
  <c r="F500" i="30"/>
  <c r="H500" i="30" s="1"/>
  <c r="G500" i="30"/>
  <c r="I500" i="30" s="1"/>
  <c r="F501" i="30"/>
  <c r="H501" i="30" s="1"/>
  <c r="G501" i="30"/>
  <c r="I501" i="30" s="1"/>
  <c r="F502" i="30"/>
  <c r="H502" i="30" s="1"/>
  <c r="G502" i="30"/>
  <c r="I502" i="30" s="1"/>
  <c r="F503" i="30"/>
  <c r="H503" i="30" s="1"/>
  <c r="G503" i="30"/>
  <c r="I503" i="30" s="1"/>
  <c r="F504" i="30"/>
  <c r="H504" i="30" s="1"/>
  <c r="G504" i="30"/>
  <c r="I504" i="30" s="1"/>
  <c r="F505" i="30"/>
  <c r="H505" i="30" s="1"/>
  <c r="G505" i="30"/>
  <c r="I505" i="30" s="1"/>
  <c r="F506" i="30"/>
  <c r="H506" i="30" s="1"/>
  <c r="G506" i="30"/>
  <c r="I506" i="30" s="1"/>
  <c r="F508" i="30"/>
  <c r="H508" i="30" s="1"/>
  <c r="G508" i="30"/>
  <c r="I508" i="30" s="1"/>
  <c r="H509" i="30"/>
  <c r="I509" i="30"/>
  <c r="F510" i="30"/>
  <c r="H510" i="30" s="1"/>
  <c r="G510" i="30"/>
  <c r="I510" i="30" s="1"/>
  <c r="F511" i="30"/>
  <c r="H511" i="30" s="1"/>
  <c r="G511" i="30"/>
  <c r="I511" i="30" s="1"/>
  <c r="F512" i="30"/>
  <c r="H512" i="30" s="1"/>
  <c r="G512" i="30"/>
  <c r="I512" i="30" s="1"/>
  <c r="F513" i="30"/>
  <c r="H513" i="30" s="1"/>
  <c r="G513" i="30"/>
  <c r="I513" i="30" s="1"/>
  <c r="F514" i="30"/>
  <c r="H514" i="30" s="1"/>
  <c r="G514" i="30"/>
  <c r="I514" i="30" s="1"/>
  <c r="F515" i="30"/>
  <c r="H515" i="30" s="1"/>
  <c r="G515" i="30"/>
  <c r="I515" i="30" s="1"/>
  <c r="F516" i="30"/>
  <c r="H516" i="30" s="1"/>
  <c r="G516" i="30"/>
  <c r="I516" i="30" s="1"/>
  <c r="F517" i="30"/>
  <c r="H517" i="30" s="1"/>
  <c r="G517" i="30"/>
  <c r="I517" i="30" s="1"/>
  <c r="F518" i="30"/>
  <c r="H518" i="30" s="1"/>
  <c r="G518" i="30"/>
  <c r="I518" i="30" s="1"/>
  <c r="F519" i="30"/>
  <c r="H519" i="30" s="1"/>
  <c r="G519" i="30"/>
  <c r="I519" i="30" s="1"/>
  <c r="F520" i="30"/>
  <c r="H520" i="30" s="1"/>
  <c r="G520" i="30"/>
  <c r="I520" i="30" s="1"/>
  <c r="F521" i="30"/>
  <c r="H521" i="30" s="1"/>
  <c r="G521" i="30"/>
  <c r="I521" i="30" s="1"/>
  <c r="F522" i="30"/>
  <c r="H522" i="30" s="1"/>
  <c r="G522" i="30"/>
  <c r="I522" i="30" s="1"/>
  <c r="F523" i="30"/>
  <c r="H523" i="30" s="1"/>
  <c r="G523" i="30"/>
  <c r="I523" i="30" s="1"/>
  <c r="F524" i="30"/>
  <c r="H524" i="30" s="1"/>
  <c r="G524" i="30"/>
  <c r="I524" i="30" s="1"/>
  <c r="F525" i="30"/>
  <c r="H525" i="30" s="1"/>
  <c r="G525" i="30"/>
  <c r="I525" i="30" s="1"/>
  <c r="F526" i="30"/>
  <c r="H526" i="30" s="1"/>
  <c r="G526" i="30"/>
  <c r="I526" i="30" s="1"/>
  <c r="F527" i="30"/>
  <c r="H527" i="30" s="1"/>
  <c r="G527" i="30"/>
  <c r="I527" i="30" s="1"/>
  <c r="F528" i="30"/>
  <c r="H528" i="30" s="1"/>
  <c r="G528" i="30"/>
  <c r="I528" i="30" s="1"/>
  <c r="F529" i="30"/>
  <c r="H529" i="30" s="1"/>
  <c r="G529" i="30"/>
  <c r="I529" i="30" s="1"/>
  <c r="F530" i="30"/>
  <c r="H530" i="30" s="1"/>
  <c r="G530" i="30"/>
  <c r="I530" i="30" s="1"/>
  <c r="F531" i="30"/>
  <c r="H531" i="30" s="1"/>
  <c r="G531" i="30"/>
  <c r="I531" i="30" s="1"/>
  <c r="F532" i="30"/>
  <c r="H532" i="30" s="1"/>
  <c r="G532" i="30"/>
  <c r="I532" i="30" s="1"/>
  <c r="F533" i="30"/>
  <c r="H533" i="30" s="1"/>
  <c r="G533" i="30"/>
  <c r="I533" i="30" s="1"/>
  <c r="F534" i="30"/>
  <c r="H534" i="30" s="1"/>
  <c r="G534" i="30"/>
  <c r="I534" i="30" s="1"/>
  <c r="F535" i="30"/>
  <c r="H535" i="30" s="1"/>
  <c r="G535" i="30"/>
  <c r="I535" i="30" s="1"/>
  <c r="F536" i="30"/>
  <c r="H536" i="30" s="1"/>
  <c r="G536" i="30"/>
  <c r="I536" i="30" s="1"/>
  <c r="F537" i="30"/>
  <c r="H537" i="30" s="1"/>
  <c r="G537" i="30"/>
  <c r="I537" i="30" s="1"/>
  <c r="F538" i="30"/>
  <c r="H538" i="30" s="1"/>
  <c r="G538" i="30"/>
  <c r="I538" i="30" s="1"/>
  <c r="F539" i="30"/>
  <c r="H539" i="30" s="1"/>
  <c r="G539" i="30"/>
  <c r="I539" i="30" s="1"/>
  <c r="F540" i="30"/>
  <c r="H540" i="30" s="1"/>
  <c r="G540" i="30"/>
  <c r="I540" i="30" s="1"/>
  <c r="F541" i="30"/>
  <c r="H541" i="30" s="1"/>
  <c r="G541" i="30"/>
  <c r="I541" i="30" s="1"/>
  <c r="G543" i="30"/>
  <c r="I543" i="30" s="1"/>
  <c r="H543" i="30"/>
  <c r="F545" i="30"/>
  <c r="H545" i="30" s="1"/>
  <c r="G545" i="30"/>
  <c r="I545" i="30" s="1"/>
  <c r="F546" i="30"/>
  <c r="H546" i="30" s="1"/>
  <c r="G546" i="30"/>
  <c r="I546" i="30" s="1"/>
  <c r="F547" i="30"/>
  <c r="H547" i="30" s="1"/>
  <c r="G547" i="30"/>
  <c r="I547" i="30" s="1"/>
  <c r="F548" i="30"/>
  <c r="H548" i="30" s="1"/>
  <c r="G548" i="30"/>
  <c r="I548" i="30" s="1"/>
  <c r="H549" i="30"/>
  <c r="I549" i="30"/>
  <c r="F550" i="30"/>
  <c r="H550" i="30" s="1"/>
  <c r="G550" i="30"/>
  <c r="I550" i="30" s="1"/>
  <c r="H551" i="30"/>
  <c r="I551" i="30"/>
  <c r="H552" i="30"/>
  <c r="I552" i="30"/>
  <c r="F553" i="30"/>
  <c r="H553" i="30" s="1"/>
  <c r="G553" i="30"/>
  <c r="I553" i="30" s="1"/>
  <c r="H554" i="30"/>
  <c r="I554" i="30"/>
  <c r="F555" i="30"/>
  <c r="H555" i="30" s="1"/>
  <c r="I555" i="30"/>
  <c r="F556" i="30"/>
  <c r="H556" i="30" s="1"/>
  <c r="I556" i="30"/>
  <c r="I557" i="30"/>
  <c r="I558" i="30"/>
  <c r="F559" i="30"/>
  <c r="H559" i="30" s="1"/>
  <c r="G559" i="30"/>
  <c r="I559" i="30" s="1"/>
  <c r="F560" i="30"/>
  <c r="H560" i="30" s="1"/>
  <c r="G560" i="30"/>
  <c r="I560" i="30" s="1"/>
  <c r="F561" i="30"/>
  <c r="H561" i="30" s="1"/>
  <c r="G561" i="30"/>
  <c r="I561" i="30" s="1"/>
  <c r="F562" i="30"/>
  <c r="H562" i="30" s="1"/>
  <c r="G562" i="30"/>
  <c r="I562" i="30" s="1"/>
  <c r="F563" i="30"/>
  <c r="H563" i="30" s="1"/>
  <c r="G563" i="30"/>
  <c r="I563" i="30" s="1"/>
  <c r="F564" i="30"/>
  <c r="H564" i="30" s="1"/>
  <c r="G564" i="30"/>
  <c r="I564" i="30" s="1"/>
  <c r="F565" i="30"/>
  <c r="H565" i="30" s="1"/>
  <c r="G565" i="30"/>
  <c r="I565" i="30" s="1"/>
  <c r="F566" i="30"/>
  <c r="H566" i="30" s="1"/>
  <c r="G566" i="30"/>
  <c r="I566" i="30" s="1"/>
  <c r="F567" i="30"/>
  <c r="H567" i="30" s="1"/>
  <c r="G567" i="30"/>
  <c r="I567" i="30" s="1"/>
  <c r="F568" i="30"/>
  <c r="H568" i="30" s="1"/>
  <c r="G568" i="30"/>
  <c r="I568" i="30" s="1"/>
  <c r="F569" i="30"/>
  <c r="H569" i="30" s="1"/>
  <c r="G569" i="30"/>
  <c r="I569" i="30" s="1"/>
  <c r="F570" i="30"/>
  <c r="H570" i="30" s="1"/>
  <c r="G570" i="30"/>
  <c r="I570" i="30" s="1"/>
  <c r="F571" i="30"/>
  <c r="H571" i="30" s="1"/>
  <c r="G571" i="30"/>
  <c r="I571" i="30" s="1"/>
  <c r="F572" i="30"/>
  <c r="H572" i="30" s="1"/>
  <c r="G572" i="30"/>
  <c r="I572" i="30" s="1"/>
  <c r="F573" i="30"/>
  <c r="H573" i="30" s="1"/>
  <c r="G573" i="30"/>
  <c r="I573" i="30" s="1"/>
  <c r="F574" i="30"/>
  <c r="H574" i="30" s="1"/>
  <c r="G574" i="30"/>
  <c r="I574" i="30" s="1"/>
  <c r="F575" i="30"/>
  <c r="H575" i="30" s="1"/>
  <c r="G575" i="30"/>
  <c r="I575" i="30" s="1"/>
  <c r="F576" i="30"/>
  <c r="H576" i="30" s="1"/>
  <c r="G576" i="30"/>
  <c r="I576" i="30" s="1"/>
  <c r="F578" i="30"/>
  <c r="H578" i="30" s="1"/>
  <c r="G578" i="30"/>
  <c r="I578" i="30" s="1"/>
  <c r="F579" i="30"/>
  <c r="H579" i="30" s="1"/>
  <c r="G579" i="30"/>
  <c r="I579" i="30" s="1"/>
  <c r="F580" i="30"/>
  <c r="H580" i="30" s="1"/>
  <c r="G580" i="30"/>
  <c r="I580" i="30" s="1"/>
  <c r="F581" i="30"/>
  <c r="H581" i="30" s="1"/>
  <c r="G581" i="30"/>
  <c r="I581" i="30" s="1"/>
  <c r="F582" i="30"/>
  <c r="H582" i="30" s="1"/>
  <c r="G582" i="30"/>
  <c r="I582" i="30" s="1"/>
  <c r="F583" i="30"/>
  <c r="H583" i="30" s="1"/>
  <c r="G583" i="30"/>
  <c r="I583" i="30" s="1"/>
  <c r="F584" i="30"/>
  <c r="H584" i="30" s="1"/>
  <c r="G584" i="30"/>
  <c r="I584" i="30" s="1"/>
  <c r="F585" i="30"/>
  <c r="H585" i="30" s="1"/>
  <c r="G585" i="30"/>
  <c r="I585" i="30" s="1"/>
  <c r="F586" i="30"/>
  <c r="H586" i="30" s="1"/>
  <c r="G586" i="30"/>
  <c r="I586" i="30" s="1"/>
  <c r="F587" i="30"/>
  <c r="H587" i="30" s="1"/>
  <c r="G587" i="30"/>
  <c r="I587" i="30" s="1"/>
  <c r="F588" i="30"/>
  <c r="H588" i="30" s="1"/>
  <c r="G588" i="30"/>
  <c r="I588" i="30" s="1"/>
  <c r="F589" i="30"/>
  <c r="H589" i="30" s="1"/>
  <c r="G589" i="30"/>
  <c r="I589" i="30" s="1"/>
  <c r="F590" i="30"/>
  <c r="H590" i="30" s="1"/>
  <c r="G590" i="30"/>
  <c r="I590" i="30" s="1"/>
  <c r="F591" i="30"/>
  <c r="H591" i="30" s="1"/>
  <c r="G591" i="30"/>
  <c r="I591" i="30" s="1"/>
  <c r="F592" i="30"/>
  <c r="H592" i="30" s="1"/>
  <c r="G592" i="30"/>
  <c r="I592" i="30" s="1"/>
  <c r="F593" i="30"/>
  <c r="H593" i="30" s="1"/>
  <c r="G593" i="30"/>
  <c r="I593" i="30" s="1"/>
  <c r="F594" i="30"/>
  <c r="H594" i="30" s="1"/>
  <c r="G594" i="30"/>
  <c r="I594" i="30" s="1"/>
  <c r="F595" i="30"/>
  <c r="H595" i="30" s="1"/>
  <c r="G595" i="30"/>
  <c r="I595" i="30" s="1"/>
  <c r="F596" i="30"/>
  <c r="H596" i="30" s="1"/>
  <c r="G596" i="30"/>
  <c r="I596" i="30" s="1"/>
  <c r="F597" i="30"/>
  <c r="H597" i="30" s="1"/>
  <c r="G597" i="30"/>
  <c r="I597" i="30" s="1"/>
  <c r="F598" i="30"/>
  <c r="H598" i="30" s="1"/>
  <c r="G598" i="30"/>
  <c r="I598" i="30" s="1"/>
  <c r="F599" i="30"/>
  <c r="H599" i="30" s="1"/>
  <c r="G599" i="30"/>
  <c r="I599" i="30" s="1"/>
  <c r="F600" i="30"/>
  <c r="H600" i="30" s="1"/>
  <c r="G600" i="30"/>
  <c r="I600" i="30" s="1"/>
  <c r="F601" i="30"/>
  <c r="H601" i="30" s="1"/>
  <c r="G601" i="30"/>
  <c r="I601" i="30" s="1"/>
  <c r="F602" i="30"/>
  <c r="H602" i="30" s="1"/>
  <c r="G602" i="30"/>
  <c r="I602" i="30" s="1"/>
  <c r="F604" i="30"/>
  <c r="H604" i="30" s="1"/>
  <c r="G604" i="30"/>
  <c r="I604" i="30" s="1"/>
  <c r="J604" i="30"/>
  <c r="F605" i="30"/>
  <c r="H605" i="30" s="1"/>
  <c r="G605" i="30"/>
  <c r="I605" i="30" s="1"/>
  <c r="F606" i="30"/>
  <c r="H606" i="30" s="1"/>
  <c r="G606" i="30"/>
  <c r="I606" i="30" s="1"/>
  <c r="C607" i="30"/>
  <c r="K604" i="30" s="1"/>
  <c r="F607" i="30"/>
  <c r="H607" i="30" s="1"/>
  <c r="G607" i="30"/>
  <c r="H608" i="30"/>
  <c r="I608" i="30"/>
  <c r="H609" i="30"/>
  <c r="I609" i="30"/>
  <c r="G610" i="30"/>
  <c r="I610" i="30" s="1"/>
  <c r="H610" i="30"/>
  <c r="H611" i="30"/>
  <c r="I611" i="30"/>
  <c r="F612" i="30"/>
  <c r="H612" i="30" s="1"/>
  <c r="G612" i="30"/>
  <c r="I612" i="30" s="1"/>
  <c r="H614" i="30"/>
  <c r="I614" i="30"/>
  <c r="H615" i="30"/>
  <c r="I615" i="30"/>
  <c r="F616" i="30"/>
  <c r="H616" i="30" s="1"/>
  <c r="G616" i="30"/>
  <c r="I616" i="30" s="1"/>
  <c r="F617" i="30"/>
  <c r="H617" i="30" s="1"/>
  <c r="G617" i="30"/>
  <c r="I617" i="30" s="1"/>
  <c r="F618" i="30"/>
  <c r="H618" i="30" s="1"/>
  <c r="G618" i="30"/>
  <c r="I618" i="30" s="1"/>
  <c r="F619" i="30"/>
  <c r="H619" i="30" s="1"/>
  <c r="G619" i="30"/>
  <c r="I619" i="30" s="1"/>
  <c r="F620" i="30"/>
  <c r="H620" i="30" s="1"/>
  <c r="G620" i="30"/>
  <c r="I620" i="30" s="1"/>
  <c r="F621" i="30"/>
  <c r="H621" i="30" s="1"/>
  <c r="G621" i="30"/>
  <c r="I621" i="30" s="1"/>
  <c r="F622" i="30"/>
  <c r="H622" i="30" s="1"/>
  <c r="G622" i="30"/>
  <c r="I622" i="30" s="1"/>
  <c r="F623" i="30"/>
  <c r="H623" i="30" s="1"/>
  <c r="G623" i="30"/>
  <c r="I623" i="30" s="1"/>
  <c r="F624" i="30"/>
  <c r="H624" i="30" s="1"/>
  <c r="G624" i="30"/>
  <c r="I624" i="30" s="1"/>
  <c r="F625" i="30"/>
  <c r="H625" i="30" s="1"/>
  <c r="G625" i="30"/>
  <c r="I625" i="30" s="1"/>
  <c r="F626" i="30"/>
  <c r="H626" i="30" s="1"/>
  <c r="G626" i="30"/>
  <c r="I626" i="30" s="1"/>
  <c r="F627" i="30"/>
  <c r="H627" i="30" s="1"/>
  <c r="G627" i="30"/>
  <c r="I627" i="30" s="1"/>
  <c r="F628" i="30"/>
  <c r="H628" i="30" s="1"/>
  <c r="G628" i="30"/>
  <c r="I628" i="30" s="1"/>
  <c r="F629" i="30"/>
  <c r="H629" i="30" s="1"/>
  <c r="G629" i="30"/>
  <c r="I629" i="30" s="1"/>
  <c r="F630" i="30"/>
  <c r="H630" i="30" s="1"/>
  <c r="G630" i="30"/>
  <c r="I630" i="30" s="1"/>
  <c r="F631" i="30"/>
  <c r="H631" i="30" s="1"/>
  <c r="G631" i="30"/>
  <c r="I631" i="30" s="1"/>
  <c r="F632" i="30"/>
  <c r="H632" i="30" s="1"/>
  <c r="G632" i="30"/>
  <c r="I632" i="30" s="1"/>
  <c r="F633" i="30"/>
  <c r="H633" i="30" s="1"/>
  <c r="G633" i="30"/>
  <c r="I633" i="30" s="1"/>
  <c r="F634" i="30"/>
  <c r="H634" i="30" s="1"/>
  <c r="G634" i="30"/>
  <c r="I634" i="30" s="1"/>
  <c r="F635" i="30"/>
  <c r="H635" i="30" s="1"/>
  <c r="G635" i="30"/>
  <c r="I635" i="30" s="1"/>
  <c r="F636" i="30"/>
  <c r="H636" i="30" s="1"/>
  <c r="G636" i="30"/>
  <c r="I636" i="30" s="1"/>
  <c r="F637" i="30"/>
  <c r="H637" i="30" s="1"/>
  <c r="G637" i="30"/>
  <c r="I637" i="30" s="1"/>
  <c r="F638" i="30"/>
  <c r="H638" i="30" s="1"/>
  <c r="G638" i="30"/>
  <c r="I638" i="30" s="1"/>
  <c r="F639" i="30"/>
  <c r="H639" i="30" s="1"/>
  <c r="G639" i="30"/>
  <c r="I639" i="30" s="1"/>
  <c r="F640" i="30"/>
  <c r="H640" i="30" s="1"/>
  <c r="G640" i="30"/>
  <c r="I640" i="30" s="1"/>
  <c r="F641" i="30"/>
  <c r="H641" i="30" s="1"/>
  <c r="G641" i="30"/>
  <c r="I641" i="30" s="1"/>
  <c r="F642" i="30"/>
  <c r="H642" i="30" s="1"/>
  <c r="G642" i="30"/>
  <c r="I642" i="30" s="1"/>
  <c r="F644" i="30"/>
  <c r="H644" i="30" s="1"/>
  <c r="I644" i="30"/>
  <c r="F645" i="30"/>
  <c r="H645" i="30" s="1"/>
  <c r="I645" i="30"/>
  <c r="F646" i="30"/>
  <c r="H646" i="30" s="1"/>
  <c r="I646" i="30"/>
  <c r="F647" i="30"/>
  <c r="H647" i="30" s="1"/>
  <c r="I647" i="30"/>
  <c r="F648" i="30"/>
  <c r="H648" i="30" s="1"/>
  <c r="I648" i="30"/>
  <c r="F649" i="30"/>
  <c r="H649" i="30" s="1"/>
  <c r="I649" i="30"/>
  <c r="F650" i="30"/>
  <c r="H650" i="30" s="1"/>
  <c r="I650" i="30"/>
  <c r="F651" i="30"/>
  <c r="H651" i="30" s="1"/>
  <c r="I651" i="30"/>
  <c r="F652" i="30"/>
  <c r="H652" i="30" s="1"/>
  <c r="I652" i="30"/>
  <c r="D653" i="30"/>
  <c r="F653" i="30"/>
  <c r="H653" i="30" s="1"/>
  <c r="I653" i="30"/>
  <c r="F654" i="30"/>
  <c r="H654" i="30" s="1"/>
  <c r="I654" i="30"/>
  <c r="F655" i="30"/>
  <c r="H655" i="30" s="1"/>
  <c r="I655" i="30"/>
  <c r="F656" i="30"/>
  <c r="H656" i="30" s="1"/>
  <c r="I656" i="30"/>
  <c r="F657" i="30"/>
  <c r="H657" i="30" s="1"/>
  <c r="I657" i="30"/>
  <c r="F658" i="30"/>
  <c r="H658" i="30" s="1"/>
  <c r="I658" i="30"/>
  <c r="F659" i="30"/>
  <c r="H659" i="30" s="1"/>
  <c r="I659" i="30"/>
  <c r="F660" i="30"/>
  <c r="H660" i="30" s="1"/>
  <c r="I660" i="30"/>
  <c r="F661" i="30"/>
  <c r="H661" i="30" s="1"/>
  <c r="I661" i="30"/>
  <c r="F663" i="30"/>
  <c r="H663" i="30" s="1"/>
  <c r="G663" i="30"/>
  <c r="I663" i="30" s="1"/>
  <c r="F664" i="30"/>
  <c r="H664" i="30" s="1"/>
  <c r="G664" i="30"/>
  <c r="I664" i="30" s="1"/>
  <c r="F665" i="30"/>
  <c r="H665" i="30" s="1"/>
  <c r="G665" i="30"/>
  <c r="I665" i="30" s="1"/>
  <c r="F666" i="30"/>
  <c r="H666" i="30" s="1"/>
  <c r="G666" i="30"/>
  <c r="I666" i="30" s="1"/>
  <c r="F668" i="30"/>
  <c r="H668" i="30" s="1"/>
  <c r="G668" i="30"/>
  <c r="I668" i="30" s="1"/>
  <c r="F669" i="30"/>
  <c r="H669" i="30" s="1"/>
  <c r="G669" i="30"/>
  <c r="I669" i="30" s="1"/>
  <c r="F670" i="30"/>
  <c r="H670" i="30" s="1"/>
  <c r="G670" i="30"/>
  <c r="I670" i="30" s="1"/>
  <c r="F671" i="30"/>
  <c r="H671" i="30" s="1"/>
  <c r="G671" i="30"/>
  <c r="I671" i="30" s="1"/>
  <c r="F672" i="30"/>
  <c r="H672" i="30" s="1"/>
  <c r="G672" i="30"/>
  <c r="I672" i="30" s="1"/>
  <c r="F673" i="30"/>
  <c r="H673" i="30" s="1"/>
  <c r="G673" i="30"/>
  <c r="I673" i="30" s="1"/>
  <c r="F674" i="30"/>
  <c r="H674" i="30" s="1"/>
  <c r="G674" i="30"/>
  <c r="I674" i="30" s="1"/>
  <c r="F675" i="30"/>
  <c r="H675" i="30" s="1"/>
  <c r="G675" i="30"/>
  <c r="I675" i="30" s="1"/>
  <c r="F676" i="30"/>
  <c r="H676" i="30" s="1"/>
  <c r="G676" i="30"/>
  <c r="I676" i="30" s="1"/>
  <c r="F677" i="30"/>
  <c r="H677" i="30" s="1"/>
  <c r="G677" i="30"/>
  <c r="I677" i="30" s="1"/>
  <c r="F678" i="30"/>
  <c r="H678" i="30" s="1"/>
  <c r="G678" i="30"/>
  <c r="I678" i="30" s="1"/>
  <c r="F679" i="30"/>
  <c r="H679" i="30" s="1"/>
  <c r="G679" i="30"/>
  <c r="I679" i="30" s="1"/>
  <c r="F680" i="30"/>
  <c r="H680" i="30" s="1"/>
  <c r="G680" i="30"/>
  <c r="I680" i="30" s="1"/>
  <c r="F681" i="30"/>
  <c r="H681" i="30" s="1"/>
  <c r="G681" i="30"/>
  <c r="I681" i="30" s="1"/>
  <c r="B682" i="30"/>
  <c r="F682" i="30"/>
  <c r="G682" i="30"/>
  <c r="I682" i="30" s="1"/>
  <c r="F683" i="30"/>
  <c r="H683" i="30" s="1"/>
  <c r="G683" i="30"/>
  <c r="I683" i="30" s="1"/>
  <c r="F684" i="30"/>
  <c r="H684" i="30" s="1"/>
  <c r="G684" i="30"/>
  <c r="I684" i="30" s="1"/>
  <c r="F685" i="30"/>
  <c r="H685" i="30" s="1"/>
  <c r="G685" i="30"/>
  <c r="I685" i="30" s="1"/>
  <c r="F686" i="30"/>
  <c r="H686" i="30" s="1"/>
  <c r="G686" i="30"/>
  <c r="I686" i="30" s="1"/>
  <c r="F687" i="30"/>
  <c r="H687" i="30" s="1"/>
  <c r="G687" i="30"/>
  <c r="I687" i="30" s="1"/>
  <c r="F688" i="30"/>
  <c r="H688" i="30" s="1"/>
  <c r="G688" i="30"/>
  <c r="I688" i="30" s="1"/>
  <c r="F689" i="30"/>
  <c r="H689" i="30" s="1"/>
  <c r="G689" i="30"/>
  <c r="I689" i="30" s="1"/>
  <c r="F690" i="30"/>
  <c r="H690" i="30" s="1"/>
  <c r="G690" i="30"/>
  <c r="I690" i="30" s="1"/>
  <c r="F691" i="30"/>
  <c r="H691" i="30" s="1"/>
  <c r="G691" i="30"/>
  <c r="I691" i="30" s="1"/>
  <c r="F692" i="30"/>
  <c r="H692" i="30" s="1"/>
  <c r="G692" i="30"/>
  <c r="I692" i="30" s="1"/>
  <c r="F693" i="30"/>
  <c r="H693" i="30" s="1"/>
  <c r="G693" i="30"/>
  <c r="I693" i="30" s="1"/>
  <c r="F694" i="30"/>
  <c r="H694" i="30" s="1"/>
  <c r="G694" i="30"/>
  <c r="I694" i="30" s="1"/>
  <c r="F695" i="30"/>
  <c r="H695" i="30" s="1"/>
  <c r="G695" i="30"/>
  <c r="I695" i="30" s="1"/>
  <c r="F696" i="30"/>
  <c r="H696" i="30" s="1"/>
  <c r="G696" i="30"/>
  <c r="I696" i="30" s="1"/>
  <c r="F697" i="30"/>
  <c r="H697" i="30" s="1"/>
  <c r="G697" i="30"/>
  <c r="I697" i="30" s="1"/>
  <c r="F698" i="30"/>
  <c r="H698" i="30" s="1"/>
  <c r="G698" i="30"/>
  <c r="I698" i="30" s="1"/>
  <c r="F699" i="30"/>
  <c r="H699" i="30" s="1"/>
  <c r="G699" i="30"/>
  <c r="I699" i="30" s="1"/>
  <c r="F700" i="30"/>
  <c r="H700" i="30" s="1"/>
  <c r="G700" i="30"/>
  <c r="I700" i="30" s="1"/>
  <c r="F701" i="30"/>
  <c r="H701" i="30" s="1"/>
  <c r="G701" i="30"/>
  <c r="I701" i="30" s="1"/>
  <c r="B702" i="30"/>
  <c r="F702" i="30"/>
  <c r="G702" i="30"/>
  <c r="I702" i="30" s="1"/>
  <c r="F705" i="30"/>
  <c r="G705" i="30"/>
  <c r="B1" i="32"/>
  <c r="H11" i="32"/>
  <c r="J11" i="32" s="1"/>
  <c r="N13" i="32"/>
  <c r="M15" i="32"/>
  <c r="N15" i="32"/>
  <c r="H17" i="32"/>
  <c r="I17" i="32"/>
  <c r="N17" i="32"/>
  <c r="H19" i="32"/>
  <c r="N19" i="32"/>
  <c r="E14" i="48"/>
  <c r="D15" i="48"/>
  <c r="E15" i="48" s="1"/>
  <c r="E16" i="48"/>
  <c r="E17" i="48"/>
  <c r="E18" i="48"/>
  <c r="E19" i="48"/>
  <c r="E20" i="48"/>
  <c r="E21" i="48"/>
  <c r="E22" i="48"/>
  <c r="E23" i="48"/>
  <c r="E24" i="48"/>
  <c r="E25" i="48"/>
  <c r="E26" i="48"/>
  <c r="E27" i="48"/>
  <c r="E28" i="48"/>
  <c r="E29" i="48"/>
  <c r="E30" i="48"/>
  <c r="E31" i="48"/>
  <c r="E32" i="48"/>
  <c r="E33" i="48"/>
  <c r="E34" i="48"/>
  <c r="E35" i="48"/>
  <c r="E36" i="48"/>
  <c r="E37" i="48"/>
  <c r="E38" i="48"/>
  <c r="E39" i="48"/>
  <c r="E40" i="48"/>
  <c r="E41" i="48"/>
  <c r="E42" i="48"/>
  <c r="E43" i="48"/>
  <c r="E44" i="48"/>
  <c r="E45" i="48"/>
  <c r="E47" i="48"/>
  <c r="E48" i="48"/>
  <c r="E49" i="48"/>
  <c r="E50" i="48"/>
  <c r="E51" i="48"/>
  <c r="E52" i="48"/>
  <c r="E53" i="48"/>
  <c r="E54" i="48"/>
  <c r="E55" i="48"/>
  <c r="E56" i="48"/>
  <c r="E57" i="48"/>
  <c r="I57" i="48"/>
  <c r="J57" i="48"/>
  <c r="E58" i="48"/>
  <c r="E59" i="48"/>
  <c r="E60" i="48"/>
  <c r="E61" i="48"/>
  <c r="E62" i="48"/>
  <c r="E63" i="48"/>
  <c r="E64" i="48"/>
  <c r="E65" i="48"/>
  <c r="E66" i="48"/>
  <c r="E67" i="48"/>
  <c r="E68" i="48"/>
  <c r="E69" i="48"/>
  <c r="E70" i="48"/>
  <c r="E71" i="48"/>
  <c r="E72" i="48"/>
  <c r="E73" i="48"/>
  <c r="E74" i="48"/>
  <c r="E75" i="48"/>
  <c r="E76" i="48"/>
  <c r="E77" i="48"/>
  <c r="E78" i="48"/>
  <c r="E79" i="48"/>
  <c r="E80" i="48"/>
  <c r="E81" i="48"/>
  <c r="E82" i="48"/>
  <c r="E83" i="48"/>
  <c r="E84" i="48"/>
  <c r="E85" i="48"/>
  <c r="E86" i="48"/>
  <c r="E87" i="48"/>
  <c r="E88" i="48"/>
  <c r="E89" i="48"/>
  <c r="E90" i="48"/>
  <c r="E91" i="48"/>
  <c r="E92" i="48"/>
  <c r="E93" i="48"/>
  <c r="E94" i="48"/>
  <c r="E95" i="48"/>
  <c r="E96" i="48"/>
  <c r="E97" i="48"/>
  <c r="E98" i="48"/>
  <c r="E99" i="48"/>
  <c r="E100" i="48"/>
  <c r="E101" i="48"/>
  <c r="E102" i="48"/>
  <c r="E103" i="48"/>
  <c r="E104" i="48"/>
  <c r="E105" i="48"/>
  <c r="E106" i="48"/>
  <c r="E107" i="48"/>
  <c r="E108" i="48"/>
  <c r="E109" i="48"/>
  <c r="E110" i="48"/>
  <c r="E111" i="48"/>
  <c r="E112" i="48"/>
  <c r="E113" i="48"/>
  <c r="E114" i="48"/>
  <c r="E115" i="48"/>
  <c r="E116" i="48"/>
  <c r="E117" i="48"/>
  <c r="E118" i="48"/>
  <c r="E119" i="48"/>
  <c r="E120" i="48"/>
  <c r="E121" i="48"/>
  <c r="E122" i="48"/>
  <c r="E123" i="48"/>
  <c r="E124" i="48"/>
  <c r="E125" i="48"/>
  <c r="E126" i="48"/>
  <c r="E127" i="48"/>
  <c r="E128" i="48"/>
  <c r="E129" i="48"/>
  <c r="E130" i="48"/>
  <c r="E131" i="48"/>
  <c r="E132" i="48"/>
  <c r="E133" i="48"/>
  <c r="E134" i="48"/>
  <c r="E136" i="48"/>
  <c r="E137" i="48"/>
  <c r="E138" i="48"/>
  <c r="E139" i="48"/>
  <c r="E140" i="48"/>
  <c r="E141" i="48"/>
  <c r="E142" i="48"/>
  <c r="E143" i="48"/>
  <c r="E144" i="48"/>
  <c r="E145" i="48"/>
  <c r="E146" i="48"/>
  <c r="E147" i="48"/>
  <c r="E148" i="48"/>
  <c r="E149" i="48"/>
  <c r="E150" i="48"/>
  <c r="E151" i="48"/>
  <c r="E152" i="48"/>
  <c r="E153" i="48"/>
  <c r="E154" i="48"/>
  <c r="E155" i="48"/>
  <c r="E156" i="48"/>
  <c r="E157" i="48"/>
  <c r="E158" i="48"/>
  <c r="E159" i="48"/>
  <c r="E160" i="48"/>
  <c r="E161" i="48"/>
  <c r="E162" i="48"/>
  <c r="E163" i="48"/>
  <c r="E164" i="48"/>
  <c r="E165" i="48"/>
  <c r="E166" i="48"/>
  <c r="E167" i="48"/>
  <c r="E168" i="48"/>
  <c r="E169" i="48"/>
  <c r="E170" i="48"/>
  <c r="E171" i="48"/>
  <c r="E172" i="48"/>
  <c r="E173" i="48"/>
  <c r="E174" i="48"/>
  <c r="E175" i="48"/>
  <c r="E176" i="48"/>
  <c r="E177" i="48"/>
  <c r="E178" i="48"/>
  <c r="E179" i="48"/>
  <c r="E180" i="48"/>
  <c r="E181" i="48"/>
  <c r="E182" i="48"/>
  <c r="E183" i="48"/>
  <c r="E184" i="48"/>
  <c r="E185" i="48"/>
  <c r="E186" i="48"/>
  <c r="E187" i="48"/>
  <c r="E188" i="48"/>
  <c r="E189" i="48"/>
  <c r="E190" i="48"/>
  <c r="E191" i="48"/>
  <c r="E192" i="48"/>
  <c r="E193" i="48"/>
  <c r="E194" i="48"/>
  <c r="E195" i="48"/>
  <c r="E196" i="48"/>
  <c r="E197" i="48"/>
  <c r="E198" i="48"/>
  <c r="E199" i="48"/>
  <c r="E200" i="48"/>
  <c r="E201" i="48"/>
  <c r="E202" i="48"/>
  <c r="E203" i="48"/>
  <c r="E204" i="48"/>
  <c r="E205" i="48"/>
  <c r="E206" i="48"/>
  <c r="E207" i="48"/>
  <c r="E208" i="48"/>
  <c r="E209" i="48"/>
  <c r="E210" i="48"/>
  <c r="E211" i="48"/>
  <c r="E212" i="48"/>
  <c r="E213" i="48"/>
  <c r="E214" i="48"/>
  <c r="E215" i="48"/>
  <c r="E216" i="48"/>
  <c r="E217" i="48"/>
  <c r="E218" i="48"/>
  <c r="E219" i="48"/>
  <c r="E220" i="48"/>
  <c r="E221" i="48"/>
  <c r="E222" i="48"/>
  <c r="E223" i="48"/>
  <c r="E224" i="48"/>
  <c r="E225" i="48"/>
  <c r="E226" i="48"/>
  <c r="E227" i="48"/>
  <c r="E228" i="48"/>
  <c r="E229" i="48"/>
  <c r="E230" i="48"/>
  <c r="E231" i="48"/>
  <c r="E232" i="48"/>
  <c r="E233" i="48"/>
  <c r="E234" i="48"/>
  <c r="E235" i="48"/>
  <c r="E236" i="48"/>
  <c r="E237" i="48"/>
  <c r="E238" i="48"/>
  <c r="E239" i="48"/>
  <c r="E240" i="48"/>
  <c r="E241" i="48"/>
  <c r="E242" i="48"/>
  <c r="E243" i="48"/>
  <c r="E244" i="48"/>
  <c r="E245" i="48"/>
  <c r="E246" i="48"/>
  <c r="E247" i="48"/>
  <c r="E248" i="48"/>
  <c r="E249" i="48"/>
  <c r="E250" i="48"/>
  <c r="E251" i="48"/>
  <c r="E252" i="48"/>
  <c r="E253" i="48"/>
  <c r="E254" i="48"/>
  <c r="E255" i="48"/>
  <c r="E256" i="48"/>
  <c r="E257" i="48"/>
  <c r="E259" i="48"/>
  <c r="E260" i="48"/>
  <c r="E261" i="48"/>
  <c r="E262" i="48"/>
  <c r="E263" i="48"/>
  <c r="E264" i="48"/>
  <c r="E265" i="48"/>
  <c r="E266" i="48"/>
  <c r="E267" i="48"/>
  <c r="E268" i="48"/>
  <c r="E269" i="48"/>
  <c r="E270" i="48"/>
  <c r="E271" i="48"/>
  <c r="E272" i="48"/>
  <c r="E273" i="48"/>
  <c r="E274" i="48"/>
  <c r="E275" i="48"/>
  <c r="E276" i="48"/>
  <c r="E277" i="48"/>
  <c r="E278" i="48"/>
  <c r="E279" i="48"/>
  <c r="E280" i="48"/>
  <c r="E281" i="48"/>
  <c r="E282" i="48"/>
  <c r="E283" i="48"/>
  <c r="E284" i="48"/>
  <c r="E285" i="48"/>
  <c r="E286" i="48"/>
  <c r="E287" i="48"/>
  <c r="E288" i="48"/>
  <c r="E289" i="48"/>
  <c r="E290" i="48"/>
  <c r="E291" i="48"/>
  <c r="E292" i="48"/>
  <c r="E293" i="48"/>
  <c r="E294" i="48"/>
  <c r="E295" i="48"/>
  <c r="E296" i="48"/>
  <c r="E297" i="48"/>
  <c r="E298" i="48"/>
  <c r="E299" i="48"/>
  <c r="E300" i="48"/>
  <c r="E301" i="48"/>
  <c r="E302" i="48"/>
  <c r="E303" i="48"/>
  <c r="L303" i="48"/>
  <c r="E305" i="48"/>
  <c r="E306" i="48"/>
  <c r="E307" i="48"/>
  <c r="E308" i="48"/>
  <c r="E310" i="48"/>
  <c r="E311" i="48"/>
  <c r="E312" i="48"/>
  <c r="E313" i="48"/>
  <c r="E314" i="48"/>
  <c r="E315" i="48"/>
  <c r="E316" i="48"/>
  <c r="E317" i="48"/>
  <c r="E318" i="48"/>
  <c r="E319" i="48"/>
  <c r="E320" i="48"/>
  <c r="E321" i="48"/>
  <c r="E322" i="48"/>
  <c r="E323" i="48"/>
  <c r="E324" i="48"/>
  <c r="E325" i="48"/>
  <c r="E326" i="48"/>
  <c r="E327" i="48"/>
  <c r="E328" i="48"/>
  <c r="E329" i="48"/>
  <c r="E330" i="48"/>
  <c r="E331" i="48"/>
  <c r="E332" i="48"/>
  <c r="E333" i="48"/>
  <c r="E334" i="48"/>
  <c r="E335" i="48"/>
  <c r="E336" i="48"/>
  <c r="E337" i="48"/>
  <c r="E338" i="48"/>
  <c r="E339" i="48"/>
  <c r="E340" i="48"/>
  <c r="E341" i="48"/>
  <c r="E342" i="48"/>
  <c r="E343" i="48"/>
  <c r="E344" i="48"/>
  <c r="E345" i="48"/>
  <c r="E346" i="48"/>
  <c r="E347" i="48"/>
  <c r="E348" i="48"/>
  <c r="E349" i="48"/>
  <c r="E350" i="48"/>
  <c r="E351" i="48"/>
  <c r="E352" i="48"/>
  <c r="E353" i="48"/>
  <c r="E354" i="48"/>
  <c r="E355" i="48"/>
  <c r="E356" i="48"/>
  <c r="E357" i="48"/>
  <c r="E358" i="48"/>
  <c r="E359" i="48"/>
  <c r="E360" i="48"/>
  <c r="E361" i="48"/>
  <c r="E362" i="48"/>
  <c r="E363" i="48"/>
  <c r="E364" i="48"/>
  <c r="E366" i="48"/>
  <c r="E367" i="48"/>
  <c r="E368" i="48"/>
  <c r="E369" i="48"/>
  <c r="E370" i="48"/>
  <c r="E371" i="48"/>
  <c r="E372" i="48"/>
  <c r="E373" i="48"/>
  <c r="E374" i="48"/>
  <c r="E375" i="48"/>
  <c r="E376" i="48"/>
  <c r="E377" i="48"/>
  <c r="E378" i="48"/>
  <c r="E379" i="48"/>
  <c r="E380" i="48"/>
  <c r="E381" i="48"/>
  <c r="E382" i="48"/>
  <c r="E383" i="48"/>
  <c r="E384" i="48"/>
  <c r="E385" i="48"/>
  <c r="E386" i="48"/>
  <c r="E387" i="48"/>
  <c r="E389" i="48"/>
  <c r="E390" i="48"/>
  <c r="E391" i="48"/>
  <c r="E392" i="48"/>
  <c r="E393" i="48"/>
  <c r="E394" i="48"/>
  <c r="E395" i="48"/>
  <c r="E396" i="48"/>
  <c r="E397" i="48"/>
  <c r="E398" i="48"/>
  <c r="E399" i="48"/>
  <c r="E400" i="48"/>
  <c r="E401" i="48"/>
  <c r="E402" i="48"/>
  <c r="E403" i="48"/>
  <c r="E404" i="48"/>
  <c r="E405" i="48"/>
  <c r="E406" i="48"/>
  <c r="E407" i="48"/>
  <c r="E408" i="48"/>
  <c r="E409" i="48"/>
  <c r="E410" i="48"/>
  <c r="E411" i="48"/>
  <c r="E412" i="48"/>
  <c r="E413" i="48"/>
  <c r="E414" i="48"/>
  <c r="E415" i="48"/>
  <c r="E416" i="48"/>
  <c r="E417" i="48"/>
  <c r="E418" i="48"/>
  <c r="E419" i="48"/>
  <c r="E420" i="48"/>
  <c r="E421" i="48"/>
  <c r="E422" i="48"/>
  <c r="E423" i="48"/>
  <c r="E424" i="48"/>
  <c r="E425" i="48"/>
  <c r="E426" i="48"/>
  <c r="E427" i="48"/>
  <c r="E428" i="48"/>
  <c r="E429" i="48"/>
  <c r="E430" i="48"/>
  <c r="E431" i="48"/>
  <c r="E432" i="48"/>
  <c r="E433" i="48"/>
  <c r="E434" i="48"/>
  <c r="E435" i="48"/>
  <c r="E436" i="48"/>
  <c r="E437" i="48"/>
  <c r="E438" i="48"/>
  <c r="E439" i="48"/>
  <c r="E440" i="48"/>
  <c r="E441" i="48"/>
  <c r="E442" i="48"/>
  <c r="E443" i="48"/>
  <c r="E444" i="48"/>
  <c r="E445" i="48"/>
  <c r="E446" i="48"/>
  <c r="E447" i="48"/>
  <c r="E448" i="48"/>
  <c r="E449" i="48"/>
  <c r="E450" i="48"/>
  <c r="E451" i="48"/>
  <c r="E452" i="48"/>
  <c r="E453" i="48"/>
  <c r="E454" i="48"/>
  <c r="E455" i="48"/>
  <c r="E456" i="48"/>
  <c r="E457" i="48"/>
  <c r="E458" i="48"/>
  <c r="E459" i="48"/>
  <c r="E460" i="48"/>
  <c r="E461" i="48"/>
  <c r="E462" i="48"/>
  <c r="E463" i="48"/>
  <c r="E465" i="48"/>
  <c r="E466" i="48"/>
  <c r="E467" i="48"/>
  <c r="E468" i="48"/>
  <c r="E469" i="48"/>
  <c r="E470" i="48"/>
  <c r="E471" i="48"/>
  <c r="E472" i="48"/>
  <c r="E473" i="48"/>
  <c r="E474" i="48"/>
  <c r="E475" i="48"/>
  <c r="E476" i="48"/>
  <c r="E477" i="48"/>
  <c r="E478" i="48"/>
  <c r="E479" i="48"/>
  <c r="E480" i="48"/>
  <c r="E481" i="48"/>
  <c r="E482" i="48"/>
  <c r="E483" i="48"/>
  <c r="E484" i="48"/>
  <c r="E485" i="48"/>
  <c r="E486" i="48"/>
  <c r="E487" i="48"/>
  <c r="E488" i="48"/>
  <c r="E490" i="48"/>
  <c r="E491" i="48"/>
  <c r="E492" i="48"/>
  <c r="E493" i="48"/>
  <c r="E494" i="48"/>
  <c r="E495" i="48"/>
  <c r="E496" i="48"/>
  <c r="E497" i="48"/>
  <c r="E498" i="48"/>
  <c r="E499" i="48"/>
  <c r="E500" i="48"/>
  <c r="E501" i="48"/>
  <c r="E502" i="48"/>
  <c r="E503" i="48"/>
  <c r="E504" i="48"/>
  <c r="E505" i="48"/>
  <c r="E506" i="48"/>
  <c r="E507" i="48"/>
  <c r="E508" i="48"/>
  <c r="E509" i="48"/>
  <c r="E510" i="48"/>
  <c r="E511" i="48"/>
  <c r="E512" i="48"/>
  <c r="E513" i="48"/>
  <c r="E514" i="48"/>
  <c r="E515" i="48"/>
  <c r="E516" i="48"/>
  <c r="E517" i="48"/>
  <c r="E518" i="48"/>
  <c r="E519" i="48"/>
  <c r="E520" i="48"/>
  <c r="E521" i="48"/>
  <c r="E523" i="48"/>
  <c r="E524" i="48"/>
  <c r="E525" i="48"/>
  <c r="E526" i="48"/>
  <c r="E527" i="48"/>
  <c r="E528" i="48"/>
  <c r="E530" i="48"/>
  <c r="E531" i="48"/>
  <c r="E532" i="48"/>
  <c r="E533" i="48"/>
  <c r="E534" i="48"/>
  <c r="E536" i="48"/>
  <c r="E537" i="48"/>
  <c r="E538" i="48"/>
  <c r="E539" i="48"/>
  <c r="E540" i="48"/>
  <c r="E541" i="48"/>
  <c r="E542" i="48"/>
  <c r="E543" i="48"/>
  <c r="E544" i="48"/>
  <c r="E545" i="48"/>
  <c r="E546" i="48"/>
  <c r="E547" i="48"/>
  <c r="E548" i="48"/>
  <c r="E549" i="48"/>
  <c r="E550" i="48"/>
  <c r="E551" i="48"/>
  <c r="E552" i="48"/>
  <c r="E553" i="48"/>
  <c r="E554" i="48"/>
  <c r="E555" i="48"/>
  <c r="E556" i="48"/>
  <c r="E557" i="48"/>
  <c r="E558" i="48"/>
  <c r="E559" i="48"/>
  <c r="E560" i="48"/>
  <c r="E561" i="48"/>
  <c r="E562" i="48"/>
  <c r="E563" i="48"/>
  <c r="E564" i="48"/>
  <c r="E565" i="48"/>
  <c r="E566" i="48"/>
  <c r="E567" i="48"/>
  <c r="E568" i="48"/>
  <c r="E569" i="48"/>
  <c r="E570" i="48"/>
  <c r="E571" i="48"/>
  <c r="E572" i="48"/>
  <c r="E573" i="48"/>
  <c r="E574" i="48"/>
  <c r="E575" i="48"/>
  <c r="E576" i="48"/>
  <c r="E577" i="48"/>
  <c r="E578" i="48"/>
  <c r="E579" i="48"/>
  <c r="E580" i="48"/>
  <c r="E581" i="48"/>
  <c r="E582" i="48"/>
  <c r="E583" i="48"/>
  <c r="E584" i="48"/>
  <c r="E585" i="48"/>
  <c r="E586" i="48"/>
  <c r="E587" i="48"/>
  <c r="E588" i="48"/>
  <c r="E589" i="48"/>
  <c r="E590" i="48"/>
  <c r="E591" i="48"/>
  <c r="E592" i="48"/>
  <c r="E593" i="48"/>
  <c r="E594" i="48"/>
  <c r="E596" i="48"/>
  <c r="E597" i="48"/>
  <c r="E598" i="48"/>
  <c r="E599" i="48"/>
  <c r="E601" i="48"/>
  <c r="E603" i="48"/>
  <c r="E604" i="48"/>
  <c r="E605" i="48"/>
  <c r="E607" i="48"/>
  <c r="E608" i="48"/>
  <c r="E609" i="48"/>
  <c r="E610" i="48"/>
  <c r="E611" i="48"/>
  <c r="E612" i="48"/>
  <c r="E613" i="48"/>
  <c r="E614" i="48"/>
  <c r="E615" i="48"/>
  <c r="E616" i="48"/>
  <c r="E617" i="48"/>
  <c r="E618" i="48"/>
  <c r="E619" i="48"/>
  <c r="E620" i="48"/>
  <c r="E621" i="48"/>
  <c r="E622" i="48"/>
  <c r="E623" i="48"/>
  <c r="E624" i="48"/>
  <c r="E625" i="48"/>
  <c r="E626" i="48"/>
  <c r="E627" i="48"/>
  <c r="E628" i="48"/>
  <c r="E630" i="48"/>
  <c r="E631" i="48"/>
  <c r="E632" i="48"/>
  <c r="E633" i="48"/>
  <c r="E634" i="48"/>
  <c r="E635" i="48"/>
  <c r="E636" i="48"/>
  <c r="E637" i="48"/>
  <c r="E638" i="48"/>
  <c r="E639" i="48"/>
  <c r="E640" i="48"/>
  <c r="E641" i="48"/>
  <c r="E642" i="48"/>
  <c r="E643" i="48"/>
  <c r="E644" i="48"/>
  <c r="E645" i="48"/>
  <c r="E646" i="48"/>
  <c r="E647" i="48"/>
  <c r="E648" i="48"/>
  <c r="E649" i="48"/>
  <c r="E650" i="48"/>
  <c r="E651" i="48"/>
  <c r="E653" i="48"/>
  <c r="E654" i="48"/>
  <c r="E655" i="48"/>
  <c r="E656" i="48"/>
  <c r="E657" i="48"/>
  <c r="E658" i="48"/>
  <c r="E659" i="48"/>
  <c r="E660" i="48"/>
  <c r="E661" i="48"/>
  <c r="E662" i="48"/>
  <c r="E663" i="48"/>
  <c r="E664" i="48"/>
  <c r="E665" i="48"/>
  <c r="E666" i="48"/>
  <c r="E667" i="48"/>
  <c r="E668" i="48"/>
  <c r="E669" i="48"/>
  <c r="E670" i="48"/>
  <c r="E671" i="48"/>
  <c r="E672" i="48"/>
  <c r="E673" i="48"/>
  <c r="E674" i="48"/>
  <c r="E675" i="48"/>
  <c r="E676" i="48"/>
  <c r="E677" i="48"/>
  <c r="E678" i="48"/>
  <c r="E679" i="48"/>
  <c r="E680" i="48"/>
  <c r="E681" i="48"/>
  <c r="E682" i="48"/>
  <c r="E683" i="48"/>
  <c r="E684" i="48"/>
  <c r="E685" i="48"/>
  <c r="E686" i="48"/>
  <c r="E687" i="48"/>
  <c r="E688" i="48"/>
  <c r="E689" i="48"/>
  <c r="E690" i="48"/>
  <c r="E693" i="48"/>
  <c r="E694" i="48"/>
  <c r="F6" i="47"/>
  <c r="F7" i="47"/>
  <c r="F8" i="47"/>
  <c r="F9" i="47"/>
  <c r="F10" i="47"/>
  <c r="F11" i="47"/>
  <c r="F12" i="47"/>
  <c r="F13" i="47"/>
  <c r="F14" i="47"/>
  <c r="F15" i="47"/>
  <c r="F16" i="47"/>
  <c r="H16" i="47"/>
  <c r="F17" i="47"/>
  <c r="F18" i="47"/>
  <c r="F19" i="47"/>
  <c r="F20" i="47"/>
  <c r="F21" i="47"/>
  <c r="F22" i="47"/>
  <c r="F23" i="47"/>
  <c r="F24" i="47"/>
  <c r="F25" i="47"/>
  <c r="F26" i="47"/>
  <c r="F27" i="47"/>
  <c r="F28" i="47"/>
  <c r="F29" i="47"/>
  <c r="F30" i="47"/>
  <c r="F31" i="47"/>
  <c r="F32" i="47"/>
  <c r="F33" i="47"/>
  <c r="F34" i="47"/>
  <c r="F35" i="47"/>
  <c r="F36" i="47"/>
  <c r="F37" i="47"/>
  <c r="F38" i="47"/>
  <c r="F39" i="47"/>
  <c r="F40" i="47"/>
  <c r="F41" i="47"/>
  <c r="F42" i="47"/>
  <c r="F43" i="47"/>
  <c r="F44" i="47"/>
  <c r="F45" i="47"/>
  <c r="F46" i="47"/>
  <c r="F47" i="47"/>
  <c r="F48" i="47"/>
  <c r="F49" i="47"/>
  <c r="F50" i="47"/>
  <c r="F51" i="47"/>
  <c r="F52" i="47"/>
  <c r="F53" i="47"/>
  <c r="F54" i="47"/>
  <c r="F55" i="47"/>
  <c r="F56" i="47"/>
  <c r="F57" i="47"/>
  <c r="F58" i="47"/>
  <c r="F59" i="47"/>
  <c r="F60" i="47"/>
  <c r="F61" i="47"/>
  <c r="F62" i="47"/>
  <c r="F63" i="47"/>
  <c r="F64" i="47"/>
  <c r="F65" i="47"/>
  <c r="F66" i="47"/>
  <c r="F67" i="47"/>
  <c r="F68" i="47"/>
  <c r="F69" i="47"/>
  <c r="F70" i="47"/>
  <c r="F71" i="47"/>
  <c r="F72" i="47"/>
  <c r="F73" i="47"/>
  <c r="F74" i="47"/>
  <c r="F75" i="47"/>
  <c r="F76" i="47"/>
  <c r="F77" i="47"/>
  <c r="F78" i="47"/>
  <c r="F79" i="47"/>
  <c r="F80" i="47"/>
  <c r="F81" i="47"/>
  <c r="F82" i="47"/>
  <c r="F83" i="47"/>
  <c r="F84" i="47"/>
  <c r="F85" i="47"/>
  <c r="F86" i="47"/>
  <c r="F87" i="47"/>
  <c r="F88" i="47"/>
  <c r="F89" i="47"/>
  <c r="F90" i="47"/>
  <c r="F91" i="47"/>
  <c r="F92" i="47"/>
  <c r="F93" i="47"/>
  <c r="F94" i="47"/>
  <c r="F95" i="47"/>
  <c r="F96" i="47"/>
  <c r="F97" i="47"/>
  <c r="F98" i="47"/>
  <c r="F99" i="47"/>
  <c r="F100" i="47"/>
  <c r="F101" i="47"/>
  <c r="F102" i="47"/>
  <c r="F103" i="47"/>
  <c r="F104" i="47"/>
  <c r="F105" i="47"/>
  <c r="F106" i="47"/>
  <c r="F107" i="47"/>
  <c r="F108" i="47"/>
  <c r="F109" i="47"/>
  <c r="F110" i="47"/>
  <c r="F111" i="47"/>
  <c r="F112" i="47"/>
  <c r="F113" i="47"/>
  <c r="F114" i="47"/>
  <c r="F115" i="47"/>
  <c r="F116" i="47"/>
  <c r="F117" i="47"/>
  <c r="F118" i="47"/>
  <c r="F119" i="47"/>
  <c r="F120" i="47"/>
  <c r="F121" i="47"/>
  <c r="F122" i="47"/>
  <c r="F123" i="47"/>
  <c r="F124" i="47"/>
  <c r="F125" i="47"/>
  <c r="F126" i="47"/>
  <c r="F127" i="47"/>
  <c r="F128" i="47"/>
  <c r="F129" i="47"/>
  <c r="F130" i="47"/>
  <c r="F131" i="47"/>
  <c r="F132" i="47"/>
  <c r="F133" i="47"/>
  <c r="F134" i="47"/>
  <c r="F135" i="47"/>
  <c r="F136" i="47"/>
  <c r="F137" i="47"/>
  <c r="F138" i="47"/>
  <c r="F139" i="47"/>
  <c r="F140" i="47"/>
  <c r="F141" i="47"/>
  <c r="F142" i="47"/>
  <c r="F143" i="47"/>
  <c r="F144" i="47"/>
  <c r="F145" i="47"/>
  <c r="F146" i="47"/>
  <c r="F147" i="47"/>
  <c r="F148" i="47"/>
  <c r="F149" i="47"/>
  <c r="F150" i="47"/>
  <c r="F151" i="47"/>
  <c r="F152" i="47"/>
  <c r="F153" i="47"/>
  <c r="F155" i="47"/>
  <c r="F156" i="47"/>
  <c r="F157" i="47"/>
  <c r="F158" i="47"/>
  <c r="F159" i="47"/>
  <c r="F160" i="47"/>
  <c r="F161" i="47"/>
  <c r="F162" i="47"/>
  <c r="F163" i="47"/>
  <c r="F164" i="47"/>
  <c r="F165" i="47"/>
  <c r="F166" i="47"/>
  <c r="F167" i="47"/>
  <c r="F168" i="47"/>
  <c r="F169" i="47"/>
  <c r="F170" i="47"/>
  <c r="F171" i="47"/>
  <c r="F172" i="47"/>
  <c r="F173" i="47"/>
  <c r="F174" i="47"/>
  <c r="F175" i="47"/>
  <c r="F176" i="47"/>
  <c r="F177" i="47"/>
  <c r="F178" i="47"/>
  <c r="F179" i="47"/>
  <c r="F180" i="47"/>
  <c r="F181" i="47"/>
  <c r="F182" i="47"/>
  <c r="F183" i="47"/>
  <c r="F184" i="47"/>
  <c r="F185" i="47"/>
  <c r="F186" i="47"/>
  <c r="F187" i="47"/>
  <c r="F188" i="47"/>
  <c r="F189" i="47"/>
  <c r="F190" i="47"/>
  <c r="F191" i="47"/>
  <c r="F192" i="47"/>
  <c r="F193" i="47"/>
  <c r="F194" i="47"/>
  <c r="F195" i="47"/>
  <c r="F196" i="47"/>
  <c r="F197" i="47"/>
  <c r="F198" i="47"/>
  <c r="F199" i="47"/>
  <c r="F200" i="47"/>
  <c r="F201" i="47"/>
  <c r="F202" i="47"/>
  <c r="F203" i="47"/>
  <c r="F204" i="47"/>
  <c r="F205" i="47"/>
  <c r="F206" i="47"/>
  <c r="F207" i="47"/>
  <c r="F208" i="47"/>
  <c r="F209" i="47"/>
  <c r="F210" i="47"/>
  <c r="F211" i="47"/>
  <c r="F212" i="47"/>
  <c r="F213" i="47"/>
  <c r="F214" i="47"/>
  <c r="F215" i="47"/>
  <c r="F216" i="47"/>
  <c r="F217" i="47"/>
  <c r="F218" i="47"/>
  <c r="F219" i="47"/>
  <c r="F220" i="47"/>
  <c r="F221" i="47"/>
  <c r="F222" i="47"/>
  <c r="F223" i="47"/>
  <c r="F224" i="47"/>
  <c r="F225" i="47"/>
  <c r="F226" i="47"/>
  <c r="F227" i="47"/>
  <c r="F228" i="47"/>
  <c r="F229" i="47"/>
  <c r="F230" i="47"/>
  <c r="F231" i="47"/>
  <c r="F232" i="47"/>
  <c r="F233" i="47"/>
  <c r="F234" i="47"/>
  <c r="F235" i="47"/>
  <c r="F236" i="47"/>
  <c r="F237" i="47"/>
  <c r="F238" i="47"/>
  <c r="F239" i="47"/>
  <c r="F240" i="47"/>
  <c r="F241" i="47"/>
  <c r="F242" i="47"/>
  <c r="F243" i="47"/>
  <c r="F244" i="47"/>
  <c r="F245" i="47"/>
  <c r="F246" i="47"/>
  <c r="F247" i="47"/>
  <c r="F248" i="47"/>
  <c r="F249" i="47"/>
  <c r="F250" i="47"/>
  <c r="F251" i="47"/>
  <c r="F252" i="47"/>
  <c r="F253" i="47"/>
  <c r="F254" i="47"/>
  <c r="F255" i="47"/>
  <c r="F256" i="47"/>
  <c r="F257" i="47"/>
  <c r="F258" i="47"/>
  <c r="F259" i="47"/>
  <c r="F260" i="47"/>
  <c r="F261" i="47"/>
  <c r="F262" i="47"/>
  <c r="F263" i="47"/>
  <c r="F264" i="47"/>
  <c r="F265" i="47"/>
  <c r="F266" i="47"/>
  <c r="F267" i="47"/>
  <c r="F268" i="47"/>
  <c r="F269" i="47"/>
  <c r="F270" i="47"/>
  <c r="F271" i="47"/>
  <c r="F272" i="47"/>
  <c r="F273" i="47"/>
  <c r="F274" i="47"/>
  <c r="F275" i="47"/>
  <c r="F276" i="47"/>
  <c r="F277" i="47"/>
  <c r="F278" i="47"/>
  <c r="F279" i="47"/>
  <c r="F280" i="47"/>
  <c r="F281" i="47"/>
  <c r="F282" i="47"/>
  <c r="F283" i="47"/>
  <c r="F284" i="47"/>
  <c r="F285" i="47"/>
  <c r="F286" i="47"/>
  <c r="F287" i="47"/>
  <c r="F288" i="47"/>
  <c r="F289" i="47"/>
  <c r="F290" i="47"/>
  <c r="F291" i="47"/>
  <c r="F292" i="47"/>
  <c r="F293" i="47"/>
  <c r="F294" i="47"/>
  <c r="F295" i="47"/>
  <c r="F296" i="47"/>
  <c r="F297" i="47"/>
  <c r="F298" i="47"/>
  <c r="F299" i="47"/>
  <c r="F300" i="47"/>
  <c r="F301" i="47"/>
  <c r="F302" i="47"/>
  <c r="F303" i="47"/>
  <c r="F304" i="47"/>
  <c r="F305" i="47"/>
  <c r="F306" i="47"/>
  <c r="F307" i="47"/>
  <c r="F308" i="47"/>
  <c r="F309" i="47"/>
  <c r="F310" i="47"/>
  <c r="F311" i="47"/>
  <c r="F312" i="47"/>
  <c r="F313" i="47"/>
  <c r="F314" i="47"/>
  <c r="F315" i="47"/>
  <c r="F316" i="47"/>
  <c r="F317" i="47"/>
  <c r="F318" i="47"/>
  <c r="F319" i="47"/>
  <c r="F320" i="47"/>
  <c r="F321" i="47"/>
  <c r="F322" i="47"/>
  <c r="F323" i="47"/>
  <c r="F324" i="47"/>
  <c r="F325" i="47"/>
  <c r="F326" i="47"/>
  <c r="F327" i="47"/>
  <c r="F328" i="47"/>
  <c r="F329" i="47"/>
  <c r="F330" i="47"/>
  <c r="F331" i="47"/>
  <c r="F332" i="47"/>
  <c r="F333" i="47"/>
  <c r="F334" i="47"/>
  <c r="F335" i="47"/>
  <c r="F336" i="47"/>
  <c r="F337" i="47"/>
  <c r="F338" i="47"/>
  <c r="F339" i="47"/>
  <c r="F340" i="47"/>
  <c r="F341" i="47"/>
  <c r="F342" i="47"/>
  <c r="F343" i="47"/>
  <c r="F344" i="47"/>
  <c r="F345" i="47"/>
  <c r="F346" i="47"/>
  <c r="F347" i="47"/>
  <c r="F348" i="47"/>
  <c r="F349" i="47"/>
  <c r="F350" i="47"/>
  <c r="F351" i="47"/>
  <c r="F352" i="47"/>
  <c r="F353" i="47"/>
  <c r="F354" i="47"/>
  <c r="F355" i="47"/>
  <c r="F356" i="47"/>
  <c r="F357" i="47"/>
  <c r="F358" i="47"/>
  <c r="F359" i="47"/>
  <c r="F360" i="47"/>
  <c r="F361" i="47"/>
  <c r="F362" i="47"/>
  <c r="F363" i="47"/>
  <c r="F364" i="47"/>
  <c r="F365" i="47"/>
  <c r="F366" i="47"/>
  <c r="F367" i="47"/>
  <c r="F368" i="47"/>
  <c r="F369" i="47"/>
  <c r="F370" i="47"/>
  <c r="F371" i="47"/>
  <c r="F372" i="47"/>
  <c r="F373" i="47"/>
  <c r="F374" i="47"/>
  <c r="F375" i="47"/>
  <c r="F376" i="47"/>
  <c r="F377" i="47"/>
  <c r="F378" i="47"/>
  <c r="F379" i="47"/>
  <c r="F380" i="47"/>
  <c r="F381" i="47"/>
  <c r="F382" i="47"/>
  <c r="F383" i="47"/>
  <c r="F384" i="47"/>
  <c r="F385" i="47"/>
  <c r="F386" i="47"/>
  <c r="F387" i="47"/>
  <c r="F388" i="47"/>
  <c r="F389" i="47"/>
  <c r="F390" i="47"/>
  <c r="F391" i="47"/>
  <c r="F392" i="47"/>
  <c r="F393" i="47"/>
  <c r="F394" i="47"/>
  <c r="F395" i="47"/>
  <c r="F396" i="47"/>
  <c r="F397" i="47"/>
  <c r="F398" i="47"/>
  <c r="F399" i="47"/>
  <c r="F400" i="47"/>
  <c r="F401" i="47"/>
  <c r="F402" i="47"/>
  <c r="F403" i="47"/>
  <c r="F404" i="47"/>
  <c r="F405" i="47"/>
  <c r="F406" i="47"/>
  <c r="F407" i="47"/>
  <c r="F408" i="47"/>
  <c r="F409" i="47"/>
  <c r="F410" i="47"/>
  <c r="F411" i="47"/>
  <c r="F412" i="47"/>
  <c r="F413" i="47"/>
  <c r="F414" i="47"/>
  <c r="F415" i="47"/>
  <c r="F416" i="47"/>
  <c r="F417" i="47"/>
  <c r="F418" i="47"/>
  <c r="F419" i="47"/>
  <c r="F420" i="47"/>
  <c r="F421" i="47"/>
  <c r="F422" i="47"/>
  <c r="F423" i="47"/>
  <c r="F424" i="47"/>
  <c r="F425" i="47"/>
  <c r="F426" i="47"/>
  <c r="F427" i="47"/>
  <c r="F428" i="47"/>
  <c r="F429" i="47"/>
  <c r="F430" i="47"/>
  <c r="F431" i="47"/>
  <c r="F432" i="47"/>
  <c r="F433" i="47"/>
  <c r="F434" i="47"/>
  <c r="F435" i="47"/>
  <c r="F436" i="47"/>
  <c r="F437" i="47"/>
  <c r="F438" i="47"/>
  <c r="F439" i="47"/>
  <c r="F440" i="47"/>
  <c r="F441" i="47"/>
  <c r="F442" i="47"/>
  <c r="F443" i="47"/>
  <c r="F444" i="47"/>
  <c r="F445" i="47"/>
  <c r="F446" i="47"/>
  <c r="F447" i="47"/>
  <c r="F448" i="47"/>
  <c r="F449" i="47"/>
  <c r="F450" i="47"/>
  <c r="F451" i="47"/>
  <c r="F452" i="47"/>
  <c r="F453" i="47"/>
  <c r="F454" i="47"/>
  <c r="F455" i="47"/>
  <c r="F456" i="47"/>
  <c r="F457" i="47"/>
  <c r="F458" i="47"/>
  <c r="F459" i="47"/>
  <c r="F460" i="47"/>
  <c r="F461" i="47"/>
  <c r="F462" i="47"/>
  <c r="F463" i="47"/>
  <c r="F464" i="47"/>
  <c r="F465" i="47"/>
  <c r="F466" i="47"/>
  <c r="F467" i="47"/>
  <c r="F468" i="47"/>
  <c r="F469" i="47"/>
  <c r="F470" i="47"/>
  <c r="F471" i="47"/>
  <c r="F472" i="47"/>
  <c r="F473" i="47"/>
  <c r="F474" i="47"/>
  <c r="F475" i="47"/>
  <c r="F476" i="47"/>
  <c r="F477" i="47"/>
  <c r="F478" i="47"/>
  <c r="F479" i="47"/>
  <c r="F480" i="47"/>
  <c r="F481" i="47"/>
  <c r="F482" i="47"/>
  <c r="F483" i="47"/>
  <c r="F484" i="47"/>
  <c r="F485" i="47"/>
  <c r="F486" i="47"/>
  <c r="F487" i="47"/>
  <c r="F488" i="47"/>
  <c r="F489" i="47"/>
  <c r="F490" i="47"/>
  <c r="F491" i="47"/>
  <c r="F492" i="47"/>
  <c r="F493" i="47"/>
  <c r="F494" i="47"/>
  <c r="F495" i="47"/>
  <c r="F496" i="47"/>
  <c r="F497" i="47"/>
  <c r="F498" i="47"/>
  <c r="F499" i="47"/>
  <c r="F500" i="47"/>
  <c r="F501" i="47"/>
  <c r="F502" i="47"/>
  <c r="F503" i="47"/>
  <c r="F504" i="47"/>
  <c r="F505" i="47"/>
  <c r="F506" i="47"/>
  <c r="F507" i="47"/>
  <c r="F508" i="47"/>
  <c r="F509" i="47"/>
  <c r="F510" i="47"/>
  <c r="F511" i="47"/>
  <c r="F512" i="47"/>
  <c r="F513" i="47"/>
  <c r="F514" i="47"/>
  <c r="F515" i="47"/>
  <c r="F516" i="47"/>
  <c r="F517" i="47"/>
  <c r="F518" i="47"/>
  <c r="F519" i="47"/>
  <c r="F520" i="47"/>
  <c r="F521" i="47"/>
  <c r="F522" i="47"/>
  <c r="F523" i="47"/>
  <c r="F524" i="47"/>
  <c r="F525" i="47"/>
  <c r="F526" i="47"/>
  <c r="F527" i="47"/>
  <c r="F528" i="47"/>
  <c r="F529" i="47"/>
  <c r="F530" i="47"/>
  <c r="F531" i="47"/>
  <c r="F532" i="47"/>
  <c r="F533" i="47"/>
  <c r="F534" i="47"/>
  <c r="F535" i="47"/>
  <c r="F536" i="47"/>
  <c r="F537" i="47"/>
  <c r="F538" i="47"/>
  <c r="F539" i="47"/>
  <c r="F540" i="47"/>
  <c r="F541" i="47"/>
  <c r="F542" i="47"/>
  <c r="F543" i="47"/>
  <c r="F544" i="47"/>
  <c r="F545" i="47"/>
  <c r="F546" i="47"/>
  <c r="F547" i="47"/>
  <c r="F548" i="47"/>
  <c r="F549" i="47"/>
  <c r="F550" i="47"/>
  <c r="B1" i="50"/>
  <c r="B2" i="50"/>
  <c r="B3" i="50"/>
  <c r="B5" i="50"/>
  <c r="A8" i="50"/>
  <c r="C8" i="50" s="1"/>
  <c r="A10" i="50"/>
  <c r="B10" i="50"/>
  <c r="A12" i="50"/>
  <c r="B12" i="50"/>
  <c r="A14" i="50"/>
  <c r="B14" i="50"/>
  <c r="A16" i="50"/>
  <c r="B16" i="50"/>
  <c r="B18" i="50"/>
  <c r="A20" i="50"/>
  <c r="B20" i="50"/>
  <c r="A22" i="50"/>
  <c r="B22" i="50"/>
  <c r="A24" i="50"/>
  <c r="B24" i="50"/>
  <c r="A26" i="50"/>
  <c r="B26" i="50"/>
  <c r="A28" i="50"/>
  <c r="B28" i="50"/>
  <c r="A30" i="50"/>
  <c r="B30" i="50"/>
  <c r="A32" i="50"/>
  <c r="B32" i="50"/>
  <c r="A34" i="50"/>
  <c r="B34" i="50"/>
  <c r="A36" i="50"/>
  <c r="B36" i="50"/>
  <c r="A38" i="50"/>
  <c r="A40" i="50"/>
  <c r="A42" i="50"/>
  <c r="B42" i="50"/>
  <c r="A44" i="50"/>
  <c r="B44" i="50"/>
  <c r="A46" i="50"/>
  <c r="C46" i="50" s="1"/>
  <c r="J11" i="5"/>
  <c r="I16" i="5"/>
  <c r="K16" i="5"/>
  <c r="G13" i="8" s="1"/>
  <c r="H16" i="5"/>
  <c r="J16" i="5"/>
  <c r="J28" i="5"/>
  <c r="J30" i="5" s="1"/>
  <c r="B41" i="5"/>
  <c r="J78" i="5"/>
  <c r="J83" i="5"/>
  <c r="J87" i="5"/>
  <c r="K87" i="5"/>
  <c r="J108" i="5"/>
  <c r="K108" i="5"/>
  <c r="J120" i="5"/>
  <c r="K120" i="5"/>
  <c r="J144" i="5"/>
  <c r="K144" i="5"/>
  <c r="J160" i="5"/>
  <c r="K160" i="5"/>
  <c r="J169" i="5"/>
  <c r="K169" i="5"/>
  <c r="J176" i="5"/>
  <c r="K176" i="5"/>
  <c r="J181" i="5"/>
  <c r="J185" i="5"/>
  <c r="K185" i="5"/>
  <c r="J202" i="5"/>
  <c r="K202" i="5"/>
  <c r="J217" i="5"/>
  <c r="K217" i="5"/>
  <c r="J243" i="5"/>
  <c r="J251" i="5" s="1"/>
  <c r="J264" i="5" s="1"/>
  <c r="J275" i="5" s="1"/>
  <c r="J315" i="5" s="1"/>
  <c r="J348" i="5" s="1"/>
  <c r="K243" i="5"/>
  <c r="K251" i="5" s="1"/>
  <c r="K264" i="5" s="1"/>
  <c r="K275" i="5" s="1"/>
  <c r="K315" i="5" s="1"/>
  <c r="K348" i="5" s="1"/>
  <c r="D13" i="36"/>
  <c r="J271" i="5"/>
  <c r="J317" i="5"/>
  <c r="E362" i="5"/>
  <c r="G362" i="5"/>
  <c r="I362" i="5"/>
  <c r="E363" i="5"/>
  <c r="G363" i="5"/>
  <c r="I363" i="5"/>
  <c r="G832" i="5"/>
  <c r="G833" i="5" s="1"/>
  <c r="A3" i="24"/>
  <c r="A305" i="24" s="1"/>
  <c r="B25" i="24"/>
  <c r="B29" i="24" s="1"/>
  <c r="B43" i="24" s="1"/>
  <c r="B47" i="24" s="1"/>
  <c r="B51" i="24" s="1"/>
  <c r="B55" i="24" s="1"/>
  <c r="A36" i="24"/>
  <c r="A94" i="24"/>
  <c r="A122" i="24"/>
  <c r="B184" i="24"/>
  <c r="B190" i="24" s="1"/>
  <c r="B194" i="24"/>
  <c r="B221" i="24" s="1"/>
  <c r="A205" i="24"/>
  <c r="A238" i="24"/>
  <c r="A255" i="24"/>
  <c r="A280" i="24"/>
  <c r="A306" i="24"/>
  <c r="B152" i="25"/>
  <c r="B154" i="25"/>
  <c r="D157" i="25"/>
  <c r="F157" i="25"/>
  <c r="D158" i="25"/>
  <c r="F158" i="25"/>
  <c r="A2" i="8"/>
  <c r="A2" i="24" s="1"/>
  <c r="B13" i="8"/>
  <c r="A54" i="8"/>
  <c r="A60" i="8"/>
  <c r="A61" i="8"/>
  <c r="B158" i="25" s="1"/>
  <c r="B171" i="36"/>
  <c r="A4" i="9"/>
  <c r="A3" i="73" s="1"/>
  <c r="U49" i="22"/>
  <c r="E57" i="22"/>
  <c r="C101" i="22"/>
  <c r="D111" i="22"/>
  <c r="D112" i="22" s="1"/>
  <c r="D113" i="22" s="1"/>
  <c r="D114" i="22" s="1"/>
  <c r="D14" i="25"/>
  <c r="D13" i="22"/>
  <c r="C22" i="9"/>
  <c r="B227" i="24"/>
  <c r="B231" i="24" s="1"/>
  <c r="B250" i="24"/>
  <c r="B262" i="24" s="1"/>
  <c r="B290" i="24" s="1"/>
  <c r="B315" i="24" s="1"/>
  <c r="I145" i="31"/>
  <c r="M145" i="31"/>
  <c r="N257" i="5" l="1"/>
  <c r="N258" i="5" s="1"/>
  <c r="C25" i="8"/>
  <c r="K78" i="44"/>
  <c r="G78" i="44" s="1"/>
  <c r="H702" i="30"/>
  <c r="L16" i="44"/>
  <c r="L42" i="44"/>
  <c r="C20" i="50"/>
  <c r="L18" i="44"/>
  <c r="L25" i="44"/>
  <c r="H301" i="30"/>
  <c r="J355" i="5"/>
  <c r="G27" i="44"/>
  <c r="L27" i="44"/>
  <c r="G31" i="44"/>
  <c r="L31" i="44"/>
  <c r="B588" i="34"/>
  <c r="B216" i="24"/>
  <c r="C704" i="30"/>
  <c r="Z55" i="44"/>
  <c r="AB55" i="44" s="1"/>
  <c r="I50" i="8"/>
  <c r="K50" i="8" s="1"/>
  <c r="J259" i="5"/>
  <c r="J260" i="5" s="1"/>
  <c r="C20" i="9" s="1"/>
  <c r="R4" i="49"/>
  <c r="R11" i="49"/>
  <c r="K70" i="44"/>
  <c r="L70" i="44" s="1"/>
  <c r="L19" i="44"/>
  <c r="G32" i="44"/>
  <c r="G35" i="44"/>
  <c r="L15" i="44"/>
  <c r="O11" i="49"/>
  <c r="S11" i="49" s="1"/>
  <c r="T11" i="49" s="1"/>
  <c r="U11" i="49" s="1"/>
  <c r="N7" i="49"/>
  <c r="I26" i="31"/>
  <c r="I27" i="32"/>
  <c r="L53" i="44"/>
  <c r="G53" i="44"/>
  <c r="M8" i="49"/>
  <c r="K26" i="44"/>
  <c r="B61" i="82"/>
  <c r="B4" i="25"/>
  <c r="O143" i="31"/>
  <c r="I151" i="31"/>
  <c r="M146" i="31"/>
  <c r="C8" i="37"/>
  <c r="C10" i="37" s="1"/>
  <c r="J19" i="32"/>
  <c r="L37" i="44"/>
  <c r="G37" i="44"/>
  <c r="L62" i="44"/>
  <c r="G62" i="44"/>
  <c r="C44" i="50"/>
  <c r="I152" i="31"/>
  <c r="B704" i="30"/>
  <c r="G20" i="44"/>
  <c r="M150" i="31"/>
  <c r="O12" i="49"/>
  <c r="P12" i="49" s="1"/>
  <c r="K12" i="44"/>
  <c r="K10" i="44"/>
  <c r="K8" i="44"/>
  <c r="L8" i="44" s="1"/>
  <c r="Z52" i="44"/>
  <c r="AB52" i="44" s="1"/>
  <c r="G24" i="44"/>
  <c r="N143" i="31"/>
  <c r="N19" i="31"/>
  <c r="T25" i="31" s="1"/>
  <c r="N5" i="49"/>
  <c r="K74" i="44"/>
  <c r="K44" i="44"/>
  <c r="Z53" i="44"/>
  <c r="AB53" i="44" s="1"/>
  <c r="Z51" i="44"/>
  <c r="AB51" i="44" s="1"/>
  <c r="R13" i="49"/>
  <c r="R10" i="49"/>
  <c r="C22" i="50"/>
  <c r="B4" i="50"/>
  <c r="F4" i="50" s="1"/>
  <c r="I293" i="38"/>
  <c r="O13" i="49"/>
  <c r="P13" i="49" s="1"/>
  <c r="K71" i="44"/>
  <c r="L71" i="44" s="1"/>
  <c r="K63" i="44"/>
  <c r="L78" i="44"/>
  <c r="I483" i="30"/>
  <c r="M6" i="49"/>
  <c r="K29" i="44"/>
  <c r="L29" i="44" s="1"/>
  <c r="I127" i="25"/>
  <c r="I128" i="25" s="1"/>
  <c r="D56" i="25"/>
  <c r="E101" i="25" s="1"/>
  <c r="E104" i="25" s="1"/>
  <c r="E107" i="25" s="1"/>
  <c r="G47" i="8"/>
  <c r="A35" i="24"/>
  <c r="A279" i="24"/>
  <c r="G26" i="8"/>
  <c r="G41" i="8"/>
  <c r="C21" i="9"/>
  <c r="M273" i="5"/>
  <c r="M275" i="5" s="1"/>
  <c r="I11" i="53"/>
  <c r="L11" i="53" s="1"/>
  <c r="L23" i="53" s="1"/>
  <c r="K28" i="5"/>
  <c r="K30" i="5" s="1"/>
  <c r="B14" i="8"/>
  <c r="B62" i="5"/>
  <c r="B67" i="5" s="1"/>
  <c r="D51" i="36"/>
  <c r="C47" i="8"/>
  <c r="I47" i="8" s="1"/>
  <c r="J351" i="5"/>
  <c r="C19" i="9"/>
  <c r="G48" i="8"/>
  <c r="E139" i="36" s="1"/>
  <c r="G50" i="8"/>
  <c r="G46" i="8"/>
  <c r="C41" i="8"/>
  <c r="G39" i="8"/>
  <c r="G364" i="52"/>
  <c r="G367" i="52"/>
  <c r="D53" i="36"/>
  <c r="G24" i="8"/>
  <c r="C13" i="8"/>
  <c r="D54" i="36"/>
  <c r="G27" i="8"/>
  <c r="G30" i="44"/>
  <c r="L30" i="44"/>
  <c r="N13" i="31"/>
  <c r="S12" i="49"/>
  <c r="T12" i="49" s="1"/>
  <c r="U12" i="49" s="1"/>
  <c r="O10" i="49"/>
  <c r="P10" i="49" s="1"/>
  <c r="N3" i="49"/>
  <c r="K73" i="44"/>
  <c r="G73" i="44" s="1"/>
  <c r="K68" i="44"/>
  <c r="L68" i="44" s="1"/>
  <c r="K64" i="44"/>
  <c r="L64" i="44" s="1"/>
  <c r="K59" i="44"/>
  <c r="K56" i="44"/>
  <c r="G56" i="44" s="1"/>
  <c r="K55" i="44"/>
  <c r="K52" i="44"/>
  <c r="G52" i="44" s="1"/>
  <c r="K48" i="44"/>
  <c r="G48" i="44" s="1"/>
  <c r="K46" i="44"/>
  <c r="L46" i="44" s="1"/>
  <c r="K45" i="44"/>
  <c r="L45" i="44" s="1"/>
  <c r="K40" i="44"/>
  <c r="L40" i="44" s="1"/>
  <c r="K21" i="44"/>
  <c r="K14" i="44"/>
  <c r="G529" i="34"/>
  <c r="I45" i="34"/>
  <c r="G57" i="36"/>
  <c r="G59" i="36" s="1"/>
  <c r="G62" i="36" s="1"/>
  <c r="G138" i="36" s="1"/>
  <c r="I15" i="53"/>
  <c r="J15" i="53" s="1"/>
  <c r="I148" i="31"/>
  <c r="L604" i="30"/>
  <c r="M604" i="30" s="1"/>
  <c r="C32" i="50"/>
  <c r="I157" i="31"/>
  <c r="R47" i="44"/>
  <c r="R64" i="44"/>
  <c r="W57" i="44"/>
  <c r="I16" i="53"/>
  <c r="J16" i="53" s="1"/>
  <c r="I20" i="53"/>
  <c r="J20" i="53" s="1"/>
  <c r="I31" i="53"/>
  <c r="G15" i="54"/>
  <c r="I15" i="54" s="1"/>
  <c r="J15" i="54" s="1"/>
  <c r="B66" i="22"/>
  <c r="G14" i="54"/>
  <c r="I14" i="54" s="1"/>
  <c r="J14" i="54" s="1"/>
  <c r="O8" i="49"/>
  <c r="P8" i="49" s="1"/>
  <c r="R8" i="49" s="1"/>
  <c r="S8" i="49" s="1"/>
  <c r="L8" i="49" s="1"/>
  <c r="N8" i="49"/>
  <c r="W7" i="22"/>
  <c r="A93" i="24"/>
  <c r="A204" i="24"/>
  <c r="H682" i="30"/>
  <c r="I156" i="31"/>
  <c r="M156" i="31"/>
  <c r="M158" i="31" s="1"/>
  <c r="J9" i="49"/>
  <c r="I9" i="49"/>
  <c r="X9" i="49"/>
  <c r="N4" i="49"/>
  <c r="O4" i="49"/>
  <c r="E81" i="44"/>
  <c r="G81" i="44" s="1"/>
  <c r="K51" i="44"/>
  <c r="G51" i="44" s="1"/>
  <c r="I15" i="32"/>
  <c r="J15" i="32" s="1"/>
  <c r="H13" i="32"/>
  <c r="H23" i="32" s="1"/>
  <c r="I19" i="53"/>
  <c r="J19" i="53" s="1"/>
  <c r="I30" i="53"/>
  <c r="E23" i="53"/>
  <c r="G704" i="30"/>
  <c r="G706" i="30" s="1"/>
  <c r="L6" i="44"/>
  <c r="G69" i="44"/>
  <c r="N13" i="49"/>
  <c r="M149" i="31"/>
  <c r="O145" i="31"/>
  <c r="G164" i="31"/>
  <c r="U29" i="44"/>
  <c r="G34" i="53"/>
  <c r="I34" i="53" s="1"/>
  <c r="G17" i="53"/>
  <c r="I17" i="53" s="1"/>
  <c r="J17" i="53" s="1"/>
  <c r="G21" i="53"/>
  <c r="I21" i="53" s="1"/>
  <c r="J21" i="53" s="1"/>
  <c r="I14" i="53"/>
  <c r="J14" i="53" s="1"/>
  <c r="L17" i="44"/>
  <c r="B49" i="50"/>
  <c r="B169" i="36"/>
  <c r="B157" i="25"/>
  <c r="I147" i="31"/>
  <c r="M147" i="31"/>
  <c r="O6" i="49"/>
  <c r="P6" i="49" s="1"/>
  <c r="R6" i="49" s="1"/>
  <c r="S6" i="49" s="1"/>
  <c r="T6" i="49" s="1"/>
  <c r="U6" i="49" s="1"/>
  <c r="V6" i="49" s="1"/>
  <c r="N6" i="49"/>
  <c r="K36" i="44"/>
  <c r="C589" i="34"/>
  <c r="G18" i="53"/>
  <c r="I18" i="53" s="1"/>
  <c r="J18" i="53" s="1"/>
  <c r="E118" i="25"/>
  <c r="E121" i="25" s="1"/>
  <c r="H297" i="30"/>
  <c r="M7" i="49"/>
  <c r="M5" i="49"/>
  <c r="O3" i="49"/>
  <c r="P3" i="49" s="1"/>
  <c r="R3" i="49" s="1"/>
  <c r="S3" i="49" s="1"/>
  <c r="K66" i="44"/>
  <c r="G66" i="44" s="1"/>
  <c r="K57" i="44"/>
  <c r="G57" i="44" s="1"/>
  <c r="K49" i="44"/>
  <c r="K41" i="44"/>
  <c r="G41" i="44" s="1"/>
  <c r="K38" i="44"/>
  <c r="G38" i="44" s="1"/>
  <c r="K34" i="44"/>
  <c r="K28" i="44"/>
  <c r="K13" i="44"/>
  <c r="K11" i="44"/>
  <c r="L11" i="44" s="1"/>
  <c r="K9" i="44"/>
  <c r="G9" i="44" s="1"/>
  <c r="J22" i="34"/>
  <c r="J24" i="34" s="1"/>
  <c r="E166" i="42"/>
  <c r="M659" i="48"/>
  <c r="M660" i="48" s="1"/>
  <c r="J17" i="32"/>
  <c r="I607" i="30"/>
  <c r="E663" i="38"/>
  <c r="G178" i="31"/>
  <c r="H178" i="31" s="1"/>
  <c r="H179" i="31" s="1"/>
  <c r="R12" i="49"/>
  <c r="O7" i="49"/>
  <c r="P7" i="49" s="1"/>
  <c r="R7" i="49" s="1"/>
  <c r="S7" i="49" s="1"/>
  <c r="Y7" i="49" s="1"/>
  <c r="O5" i="49"/>
  <c r="P5" i="49" s="1"/>
  <c r="R5" i="49" s="1"/>
  <c r="S5" i="49" s="1"/>
  <c r="Y5" i="49" s="1"/>
  <c r="K76" i="44"/>
  <c r="K67" i="44"/>
  <c r="G67" i="44" s="1"/>
  <c r="K60" i="44"/>
  <c r="I33" i="53"/>
  <c r="E358" i="52"/>
  <c r="D32" i="22"/>
  <c r="E138" i="25"/>
  <c r="E135" i="25"/>
  <c r="E145" i="25" s="1"/>
  <c r="H28" i="5"/>
  <c r="I28" i="5" s="1"/>
  <c r="J36" i="5"/>
  <c r="J38" i="5"/>
  <c r="J37" i="5"/>
  <c r="C39" i="8"/>
  <c r="F704" i="30"/>
  <c r="F706" i="30" s="1"/>
  <c r="A2" i="9"/>
  <c r="B2" i="5" s="1"/>
  <c r="I28" i="53"/>
  <c r="I37" i="53"/>
  <c r="J37" i="53" s="1"/>
  <c r="I35" i="53"/>
  <c r="I29" i="53"/>
  <c r="I36" i="53"/>
  <c r="J36" i="53" s="1"/>
  <c r="I32" i="53"/>
  <c r="L43" i="53"/>
  <c r="G22" i="54"/>
  <c r="I22" i="54" s="1"/>
  <c r="J22" i="54" s="1"/>
  <c r="G21" i="54"/>
  <c r="I21" i="54" s="1"/>
  <c r="J21" i="54" s="1"/>
  <c r="G9" i="54"/>
  <c r="I9" i="54" s="1"/>
  <c r="J9" i="54" s="1"/>
  <c r="G10" i="54"/>
  <c r="I10" i="54" s="1"/>
  <c r="J10" i="54" s="1"/>
  <c r="G11" i="54"/>
  <c r="I11" i="54" s="1"/>
  <c r="J11" i="54" s="1"/>
  <c r="F8" i="54"/>
  <c r="F24" i="54" s="1"/>
  <c r="G12" i="54"/>
  <c r="I12" i="54" s="1"/>
  <c r="J12" i="54" s="1"/>
  <c r="G13" i="54"/>
  <c r="I13" i="54" s="1"/>
  <c r="J13" i="54" s="1"/>
  <c r="G16" i="54"/>
  <c r="I16" i="54" s="1"/>
  <c r="J16" i="54" s="1"/>
  <c r="G17" i="54"/>
  <c r="I17" i="54" s="1"/>
  <c r="J17" i="54" s="1"/>
  <c r="G18" i="54"/>
  <c r="I18" i="54" s="1"/>
  <c r="J18" i="54" s="1"/>
  <c r="G19" i="54"/>
  <c r="I19" i="54" s="1"/>
  <c r="J19" i="54" s="1"/>
  <c r="G20" i="54"/>
  <c r="I20" i="54" s="1"/>
  <c r="J20" i="54" s="1"/>
  <c r="E38" i="53"/>
  <c r="K49" i="53"/>
  <c r="E9" i="53"/>
  <c r="M28" i="53"/>
  <c r="M29" i="53"/>
  <c r="M30" i="53"/>
  <c r="M31" i="53"/>
  <c r="M32" i="53"/>
  <c r="M33" i="53"/>
  <c r="M35" i="53"/>
  <c r="G8" i="53"/>
  <c r="F26" i="53"/>
  <c r="F41" i="53"/>
  <c r="C44" i="53"/>
  <c r="C49" i="53" s="1"/>
  <c r="Y57" i="44"/>
  <c r="L57" i="44"/>
  <c r="L47" i="44"/>
  <c r="G47" i="44"/>
  <c r="L65" i="44"/>
  <c r="G65" i="44"/>
  <c r="G61" i="44"/>
  <c r="L61" i="44"/>
  <c r="T19" i="44"/>
  <c r="K82" i="44"/>
  <c r="K80" i="44"/>
  <c r="E79" i="44"/>
  <c r="G79" i="44" s="1"/>
  <c r="K77" i="44"/>
  <c r="L77" i="44" s="1"/>
  <c r="K75" i="44"/>
  <c r="L75" i="44" s="1"/>
  <c r="E72" i="44"/>
  <c r="G72" i="44" s="1"/>
  <c r="K58" i="44"/>
  <c r="L58" i="44" s="1"/>
  <c r="K54" i="44"/>
  <c r="G54" i="44" s="1"/>
  <c r="K50" i="44"/>
  <c r="K43" i="44"/>
  <c r="G43" i="44" s="1"/>
  <c r="Z54" i="44"/>
  <c r="AB54" i="44" s="1"/>
  <c r="A236" i="24"/>
  <c r="A203" i="24"/>
  <c r="A278" i="24"/>
  <c r="J354" i="5"/>
  <c r="E148" i="36"/>
  <c r="E157" i="36" s="1"/>
  <c r="T8" i="49"/>
  <c r="U8" i="49" s="1"/>
  <c r="V8" i="49" s="1"/>
  <c r="B74" i="24"/>
  <c r="B101" i="24" s="1"/>
  <c r="B106" i="24" s="1"/>
  <c r="B70" i="24"/>
  <c r="T7" i="49"/>
  <c r="U7" i="49" s="1"/>
  <c r="V7" i="49" s="1"/>
  <c r="G7" i="44"/>
  <c r="L7" i="44"/>
  <c r="B159" i="25"/>
  <c r="A253" i="24"/>
  <c r="A304" i="24"/>
  <c r="A49" i="50"/>
  <c r="H708" i="30"/>
  <c r="H300" i="30"/>
  <c r="O9" i="49"/>
  <c r="G60" i="44"/>
  <c r="L60" i="44"/>
  <c r="G45" i="44"/>
  <c r="G33" i="44"/>
  <c r="G29" i="44"/>
  <c r="G23" i="44"/>
  <c r="D67" i="49"/>
  <c r="N12" i="49"/>
  <c r="K9" i="49"/>
  <c r="L52" i="44"/>
  <c r="L39" i="44"/>
  <c r="J350" i="5"/>
  <c r="A121" i="24"/>
  <c r="A92" i="24"/>
  <c r="A34" i="24"/>
  <c r="A237" i="24"/>
  <c r="B4" i="5"/>
  <c r="D6" i="31" s="1"/>
  <c r="B3" i="32" s="1"/>
  <c r="A254" i="24"/>
  <c r="A120" i="24"/>
  <c r="G46" i="44" l="1"/>
  <c r="L7" i="49"/>
  <c r="G68" i="44"/>
  <c r="G77" i="44"/>
  <c r="M34" i="53"/>
  <c r="I28" i="31"/>
  <c r="D30" i="25"/>
  <c r="E20" i="9"/>
  <c r="E21" i="9" s="1"/>
  <c r="E22" i="9" s="1"/>
  <c r="L251" i="5"/>
  <c r="L252" i="5" s="1"/>
  <c r="E18" i="9"/>
  <c r="E17" i="9" s="1"/>
  <c r="E19" i="9"/>
  <c r="L51" i="44"/>
  <c r="D35" i="25"/>
  <c r="I26" i="8"/>
  <c r="G8" i="44"/>
  <c r="G40" i="44"/>
  <c r="G64" i="44"/>
  <c r="Y11" i="49"/>
  <c r="S13" i="49"/>
  <c r="T13" i="49" s="1"/>
  <c r="U13" i="49" s="1"/>
  <c r="G70" i="44"/>
  <c r="D704" i="30"/>
  <c r="L5" i="49"/>
  <c r="S10" i="49"/>
  <c r="Y10" i="49" s="1"/>
  <c r="D34" i="25"/>
  <c r="I25" i="8"/>
  <c r="C46" i="8"/>
  <c r="I46" i="8" s="1"/>
  <c r="J172" i="5"/>
  <c r="D28" i="25"/>
  <c r="L9" i="44"/>
  <c r="L73" i="44"/>
  <c r="C49" i="50"/>
  <c r="P11" i="49"/>
  <c r="L56" i="44"/>
  <c r="L43" i="44"/>
  <c r="I23" i="32"/>
  <c r="I704" i="30"/>
  <c r="Y8" i="49"/>
  <c r="T5" i="49"/>
  <c r="U5" i="49" s="1"/>
  <c r="L48" i="44"/>
  <c r="D4" i="50"/>
  <c r="G26" i="44"/>
  <c r="L26" i="44"/>
  <c r="L41" i="44"/>
  <c r="B65" i="82"/>
  <c r="B78" i="82"/>
  <c r="B60" i="82"/>
  <c r="B81" i="82" s="1"/>
  <c r="D21" i="82" s="1"/>
  <c r="F21" i="82" s="1"/>
  <c r="B62" i="82"/>
  <c r="B82" i="82" s="1"/>
  <c r="D22" i="82" s="1"/>
  <c r="F22" i="82" s="1"/>
  <c r="H9" i="9"/>
  <c r="O19" i="32"/>
  <c r="O22" i="32" s="1"/>
  <c r="L54" i="44"/>
  <c r="M154" i="31"/>
  <c r="N164" i="31" s="1"/>
  <c r="G44" i="44"/>
  <c r="L44" i="44"/>
  <c r="Z57" i="44"/>
  <c r="I153" i="31"/>
  <c r="G74" i="44"/>
  <c r="L74" i="44"/>
  <c r="G10" i="44"/>
  <c r="L10" i="44"/>
  <c r="L6" i="49"/>
  <c r="I158" i="31"/>
  <c r="L12" i="44"/>
  <c r="G12" i="44"/>
  <c r="Y12" i="49"/>
  <c r="G58" i="44"/>
  <c r="Y6" i="49"/>
  <c r="L67" i="44"/>
  <c r="L63" i="44"/>
  <c r="G63" i="44"/>
  <c r="G75" i="44"/>
  <c r="G71" i="44"/>
  <c r="E32" i="22"/>
  <c r="E37" i="22" s="1"/>
  <c r="H42" i="8"/>
  <c r="H704" i="30"/>
  <c r="D44" i="36"/>
  <c r="G142" i="36"/>
  <c r="G144" i="36" s="1"/>
  <c r="G146" i="36" s="1"/>
  <c r="H51" i="8"/>
  <c r="M282" i="5"/>
  <c r="D47" i="36"/>
  <c r="E142" i="36"/>
  <c r="C48" i="8"/>
  <c r="I48" i="8" s="1"/>
  <c r="K48" i="8" s="1"/>
  <c r="H28" i="8"/>
  <c r="L3" i="49"/>
  <c r="Y3" i="49"/>
  <c r="T3" i="49"/>
  <c r="U3" i="49" s="1"/>
  <c r="V3" i="49" s="1"/>
  <c r="H709" i="30"/>
  <c r="J13" i="32"/>
  <c r="J23" i="32" s="1"/>
  <c r="B3" i="95" s="1"/>
  <c r="G14" i="44"/>
  <c r="L14" i="44"/>
  <c r="L21" i="44"/>
  <c r="G21" i="44"/>
  <c r="L55" i="44"/>
  <c r="G55" i="44"/>
  <c r="L59" i="44"/>
  <c r="G59" i="44"/>
  <c r="H30" i="5"/>
  <c r="H36" i="5" s="1"/>
  <c r="I30" i="5"/>
  <c r="G13" i="44"/>
  <c r="L13" i="44"/>
  <c r="X7" i="22"/>
  <c r="Y7" i="22" s="1"/>
  <c r="Y26" i="22" s="1"/>
  <c r="G76" i="44"/>
  <c r="L76" i="44"/>
  <c r="E143" i="36"/>
  <c r="L66" i="44"/>
  <c r="L38" i="44"/>
  <c r="L28" i="44"/>
  <c r="G28" i="44"/>
  <c r="L49" i="44"/>
  <c r="G49" i="44"/>
  <c r="T10" i="49"/>
  <c r="U10" i="49" s="1"/>
  <c r="H707" i="30"/>
  <c r="G11" i="44"/>
  <c r="G34" i="44"/>
  <c r="L34" i="44"/>
  <c r="G36" i="44"/>
  <c r="L36" i="44"/>
  <c r="B20" i="8"/>
  <c r="S4" i="49"/>
  <c r="P4" i="49"/>
  <c r="B2" i="25"/>
  <c r="F27" i="54"/>
  <c r="G8" i="54"/>
  <c r="J43" i="53"/>
  <c r="F11" i="53"/>
  <c r="E44" i="53"/>
  <c r="E49" i="53" s="1"/>
  <c r="I41" i="53"/>
  <c r="J35" i="53"/>
  <c r="J34" i="53"/>
  <c r="J33" i="53"/>
  <c r="J32" i="53"/>
  <c r="J31" i="53"/>
  <c r="J30" i="53"/>
  <c r="J29" i="53"/>
  <c r="J28" i="53"/>
  <c r="F9" i="53"/>
  <c r="F38" i="53"/>
  <c r="M8" i="53"/>
  <c r="AB57" i="44"/>
  <c r="G80" i="44"/>
  <c r="L80" i="44"/>
  <c r="G50" i="44"/>
  <c r="L50" i="44"/>
  <c r="G82" i="44"/>
  <c r="L82" i="44"/>
  <c r="D52" i="36"/>
  <c r="D46" i="36"/>
  <c r="M9" i="49"/>
  <c r="P9" i="49"/>
  <c r="R9" i="49" s="1"/>
  <c r="S9" i="49" s="1"/>
  <c r="L9" i="49" s="1"/>
  <c r="D69" i="49"/>
  <c r="D70" i="49"/>
  <c r="N9" i="49"/>
  <c r="H140" i="36"/>
  <c r="H141" i="36"/>
  <c r="D55" i="36"/>
  <c r="D28" i="22" l="1"/>
  <c r="E28" i="22" s="1"/>
  <c r="D3" i="95"/>
  <c r="O27" i="31"/>
  <c r="L10" i="49"/>
  <c r="Y13" i="49"/>
  <c r="D27" i="25"/>
  <c r="B79" i="82"/>
  <c r="B83" i="82" s="1"/>
  <c r="D20" i="82" s="1"/>
  <c r="F20" i="82" s="1"/>
  <c r="I7" i="80"/>
  <c r="J704" i="30"/>
  <c r="H52" i="8"/>
  <c r="E144" i="36"/>
  <c r="E146" i="36" s="1"/>
  <c r="I161" i="36" s="1"/>
  <c r="H37" i="5"/>
  <c r="H38" i="5"/>
  <c r="L83" i="44"/>
  <c r="B77" i="5"/>
  <c r="B24" i="8"/>
  <c r="W11" i="22"/>
  <c r="X11" i="22" s="1"/>
  <c r="Y11" i="22" s="1"/>
  <c r="G83" i="44"/>
  <c r="Y4" i="49"/>
  <c r="T4" i="49"/>
  <c r="U4" i="49" s="1"/>
  <c r="N23" i="32"/>
  <c r="S12" i="31"/>
  <c r="K28" i="32"/>
  <c r="F23" i="53"/>
  <c r="M11" i="53"/>
  <c r="I8" i="54"/>
  <c r="I24" i="54" s="1"/>
  <c r="M8" i="54"/>
  <c r="J8" i="53"/>
  <c r="J9" i="53" s="1"/>
  <c r="I9" i="53"/>
  <c r="L9" i="53"/>
  <c r="I26" i="53"/>
  <c r="L26" i="53" s="1"/>
  <c r="M26" i="53"/>
  <c r="I44" i="53"/>
  <c r="L41" i="53"/>
  <c r="J41" i="53"/>
  <c r="F44" i="53"/>
  <c r="N144" i="31"/>
  <c r="N145" i="31" s="1"/>
  <c r="E56" i="36"/>
  <c r="Y9" i="49"/>
  <c r="T9" i="49"/>
  <c r="U9" i="49" s="1"/>
  <c r="V9" i="49" s="1"/>
  <c r="N21" i="31" l="1"/>
  <c r="F49" i="53"/>
  <c r="B86" i="5"/>
  <c r="B25" i="8"/>
  <c r="I23" i="53"/>
  <c r="L8" i="54"/>
  <c r="L24" i="54" s="1"/>
  <c r="L27" i="54" s="1"/>
  <c r="I27" i="54"/>
  <c r="J8" i="54"/>
  <c r="J11" i="53"/>
  <c r="J23" i="53" s="1"/>
  <c r="I38" i="53"/>
  <c r="L38" i="53"/>
  <c r="J26" i="53"/>
  <c r="J38" i="53" s="1"/>
  <c r="J44" i="53"/>
  <c r="L44" i="53"/>
  <c r="D12" i="36"/>
  <c r="B107" i="5" l="1"/>
  <c r="B27" i="8" s="1"/>
  <c r="B26" i="8"/>
  <c r="J24" i="54"/>
  <c r="J27" i="54" s="1"/>
  <c r="L49" i="53"/>
  <c r="J49" i="53"/>
  <c r="I49" i="53"/>
  <c r="E39" i="36"/>
  <c r="H69" i="36"/>
  <c r="N15" i="31" l="1"/>
  <c r="C27" i="9"/>
  <c r="I12" i="66"/>
  <c r="M17" i="31"/>
  <c r="M26" i="31" s="1"/>
  <c r="K29" i="32"/>
  <c r="L28" i="32" s="1"/>
  <c r="L29" i="32" s="1"/>
  <c r="S13" i="31"/>
  <c r="S15" i="31" s="1"/>
  <c r="S17" i="31" s="1"/>
  <c r="E22" i="22"/>
  <c r="B115" i="5"/>
  <c r="B139" i="5" s="1"/>
  <c r="B21" i="8" s="1"/>
  <c r="M27" i="31" l="1"/>
  <c r="M28" i="31"/>
  <c r="N17" i="31"/>
  <c r="N26" i="31" s="1"/>
  <c r="J28" i="31"/>
  <c r="E23" i="25"/>
  <c r="B119" i="5"/>
  <c r="B35" i="8"/>
  <c r="N27" i="31" l="1"/>
  <c r="J37" i="32"/>
  <c r="J38" i="32" s="1"/>
  <c r="B4" i="95"/>
  <c r="B5" i="95" s="1"/>
  <c r="B7" i="95" s="1"/>
  <c r="C13" i="95" s="1"/>
  <c r="C14" i="95" s="1"/>
  <c r="C35" i="8"/>
  <c r="P26" i="31"/>
  <c r="I6" i="80"/>
  <c r="I8" i="80" s="1"/>
  <c r="I9" i="80" s="1"/>
  <c r="E10" i="36"/>
  <c r="E40" i="36" s="1"/>
  <c r="E57" i="36" s="1"/>
  <c r="E59" i="36" s="1"/>
  <c r="E62" i="36" s="1"/>
  <c r="J156" i="5" l="1"/>
  <c r="C21" i="8" s="1"/>
  <c r="D22" i="8" s="1"/>
  <c r="M155" i="5"/>
  <c r="D42" i="8"/>
  <c r="J35" i="8"/>
  <c r="K38" i="8"/>
  <c r="L11" i="80"/>
  <c r="B159" i="5"/>
  <c r="B42" i="9"/>
  <c r="N142" i="5" l="1"/>
  <c r="B168" i="5"/>
  <c r="B41" i="8"/>
  <c r="I21" i="8" l="1"/>
  <c r="C65" i="86"/>
  <c r="D66" i="86" s="1"/>
  <c r="L13" i="80"/>
  <c r="B46" i="8"/>
  <c r="B175" i="5"/>
  <c r="I42" i="8" l="1"/>
  <c r="B47" i="8"/>
  <c r="B184" i="5"/>
  <c r="B48" i="8" l="1"/>
  <c r="B201" i="5"/>
  <c r="B49" i="8" s="1"/>
  <c r="B216" i="5" l="1"/>
  <c r="B225" i="5" l="1"/>
  <c r="B50" i="8"/>
  <c r="B233" i="5" l="1"/>
  <c r="B11" i="9"/>
  <c r="B12" i="9" l="1"/>
  <c r="B242" i="5"/>
  <c r="B19" i="9" l="1"/>
  <c r="B250" i="5"/>
  <c r="B20" i="9" s="1"/>
  <c r="B263" i="5" l="1"/>
  <c r="B21" i="9" l="1"/>
  <c r="B274" i="5"/>
  <c r="B309" i="5" s="1"/>
  <c r="B314" i="5" s="1"/>
  <c r="B22" i="9" l="1"/>
  <c r="B23" i="9"/>
  <c r="B50" i="9" l="1"/>
  <c r="B51" i="9" s="1"/>
  <c r="B321" i="5"/>
  <c r="B347" i="5" s="1"/>
  <c r="Y4" i="22" l="1"/>
  <c r="K62" i="25" l="1"/>
  <c r="K79" i="36"/>
  <c r="G14" i="8" l="1"/>
  <c r="H15" i="8" s="1"/>
  <c r="H29" i="8" s="1"/>
  <c r="D15" i="36" l="1"/>
  <c r="D74" i="36" s="1"/>
  <c r="E116" i="36" s="1"/>
  <c r="E119" i="36" s="1"/>
  <c r="E122" i="36" s="1"/>
  <c r="E138" i="36" s="1"/>
  <c r="C12" i="9"/>
  <c r="C14" i="9" s="1"/>
  <c r="C30" i="9" l="1"/>
  <c r="E30" i="9" s="1"/>
  <c r="E14" i="9"/>
  <c r="E140" i="36"/>
  <c r="I138" i="36"/>
  <c r="E11" i="25" l="1"/>
  <c r="H29" i="9"/>
  <c r="G31" i="9"/>
  <c r="G28" i="9"/>
  <c r="H32" i="9"/>
  <c r="C35" i="9"/>
  <c r="E11" i="22" s="1"/>
  <c r="E14" i="22" s="1"/>
  <c r="E26" i="22" s="1"/>
  <c r="I140" i="36"/>
  <c r="L140" i="36" s="1"/>
  <c r="I141" i="36"/>
  <c r="E24" i="25" l="1"/>
  <c r="J15" i="8"/>
  <c r="L51" i="5"/>
  <c r="F35" i="9"/>
  <c r="B65" i="70"/>
  <c r="C57" i="70" s="1"/>
  <c r="C58" i="70" s="1"/>
  <c r="B63" i="82"/>
  <c r="E30" i="22"/>
  <c r="E36" i="22" s="1"/>
  <c r="E38" i="22" s="1"/>
  <c r="E40" i="22" s="1"/>
  <c r="E42" i="22" l="1"/>
  <c r="C78" i="70"/>
  <c r="C79" i="70" s="1"/>
  <c r="C80" i="70" s="1"/>
  <c r="C81" i="70" s="1"/>
  <c r="C82" i="70" s="1"/>
  <c r="C84" i="70" s="1"/>
  <c r="B78" i="70"/>
  <c r="B79" i="70" s="1"/>
  <c r="B80" i="70" s="1"/>
  <c r="B81" i="70" s="1"/>
  <c r="B82" i="70" s="1"/>
  <c r="B84" i="70" s="1"/>
  <c r="E43" i="22" l="1"/>
  <c r="E44" i="22" s="1"/>
  <c r="E60" i="36"/>
  <c r="E45" i="22" l="1"/>
  <c r="E46" i="22" s="1"/>
  <c r="J212" i="5"/>
  <c r="C49" i="8" l="1"/>
  <c r="I49" i="8" s="1"/>
  <c r="I52" i="8" s="1"/>
  <c r="J110" i="5"/>
  <c r="J111" i="5"/>
  <c r="C40" i="9"/>
  <c r="B66" i="70"/>
  <c r="B67" i="70" s="1"/>
  <c r="B69" i="70" s="1"/>
  <c r="D11" i="69"/>
  <c r="D101" i="69" s="1"/>
  <c r="C98" i="22"/>
  <c r="C100" i="22" s="1"/>
  <c r="C10" i="69"/>
  <c r="I10" i="69" s="1"/>
  <c r="E48" i="22"/>
  <c r="E50" i="22" s="1"/>
  <c r="E52" i="22" s="1"/>
  <c r="E55" i="22" s="1"/>
  <c r="B56" i="82" l="1"/>
  <c r="D29" i="25"/>
  <c r="D51" i="8"/>
  <c r="D52" i="8" s="1"/>
  <c r="C27" i="8"/>
  <c r="I27" i="8" s="1"/>
  <c r="F42" i="9"/>
  <c r="C45" i="9"/>
  <c r="E39" i="25"/>
  <c r="E40" i="25" s="1"/>
  <c r="E42" i="25" s="1"/>
  <c r="E45" i="25" s="1"/>
  <c r="E123" i="25" s="1"/>
  <c r="C102" i="22"/>
  <c r="C111" i="22"/>
  <c r="E111" i="22" s="1"/>
  <c r="I115" i="22"/>
  <c r="H115" i="22" s="1"/>
  <c r="I112" i="22"/>
  <c r="H112" i="22" s="1"/>
  <c r="H116" i="22" s="1"/>
  <c r="I113" i="22"/>
  <c r="H113" i="22" s="1"/>
  <c r="I114" i="22"/>
  <c r="H114" i="22" s="1"/>
  <c r="C103" i="22"/>
  <c r="B107" i="22" s="1"/>
  <c r="E107" i="22" s="1"/>
  <c r="C113" i="22"/>
  <c r="E113" i="22" s="1"/>
  <c r="C114" i="22"/>
  <c r="E114" i="22" s="1"/>
  <c r="C112" i="22"/>
  <c r="E112" i="22" s="1"/>
  <c r="F30" i="82"/>
  <c r="B65" i="22"/>
  <c r="A63" i="9"/>
  <c r="A43" i="82" s="1"/>
  <c r="B57" i="82" l="1"/>
  <c r="D11" i="82" s="1"/>
  <c r="F11" i="82" s="1"/>
  <c r="D28" i="8"/>
  <c r="B58" i="82"/>
  <c r="C47" i="9"/>
  <c r="G40" i="9"/>
  <c r="D100" i="69" s="1"/>
  <c r="H117" i="22"/>
  <c r="E127" i="25"/>
  <c r="H132" i="25" s="1"/>
  <c r="J51" i="5" l="1"/>
  <c r="J316" i="5"/>
  <c r="J56" i="5"/>
  <c r="J45" i="5" s="1"/>
  <c r="J47" i="5" s="1"/>
  <c r="G53" i="9"/>
  <c r="E47" i="9"/>
  <c r="B64" i="82"/>
  <c r="D27" i="82" s="1"/>
  <c r="F27" i="82" s="1"/>
  <c r="G47" i="9"/>
  <c r="F53" i="9"/>
  <c r="H133" i="25"/>
  <c r="I134" i="25"/>
  <c r="I135" i="25" s="1"/>
  <c r="J57" i="5" l="1"/>
  <c r="J59" i="5" s="1"/>
  <c r="L355" i="5"/>
  <c r="J319" i="5"/>
  <c r="I131" i="25"/>
  <c r="I133" i="25" s="1"/>
  <c r="I129" i="25"/>
  <c r="C50" i="9" l="1"/>
  <c r="C14" i="8"/>
  <c r="D15" i="8" s="1"/>
  <c r="L59" i="5"/>
  <c r="D29" i="8" l="1"/>
  <c r="J13" i="8"/>
  <c r="M59" i="5"/>
  <c r="M60" i="5" s="1"/>
  <c r="M61" i="5" s="1"/>
  <c r="M51" i="5"/>
  <c r="M56" i="5" s="1"/>
  <c r="K35" i="8"/>
  <c r="B59" i="82"/>
  <c r="I15" i="8"/>
  <c r="D28" i="82" l="1"/>
  <c r="F28" i="82" s="1"/>
  <c r="D15" i="82"/>
  <c r="F15" i="82" s="1"/>
  <c r="D23" i="82"/>
  <c r="F23" i="82" s="1"/>
  <c r="D29" i="82"/>
  <c r="F29" i="82" s="1"/>
  <c r="L32" i="8"/>
  <c r="J29" i="8"/>
  <c r="K15" i="8"/>
  <c r="M15" i="8" s="1"/>
  <c r="I29" i="8"/>
  <c r="L44" i="8" l="1"/>
  <c r="L45" i="8" s="1"/>
  <c r="M32" i="8"/>
  <c r="L35" i="8"/>
  <c r="M35" i="8" s="1"/>
  <c r="L34" i="8"/>
  <c r="M34"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FA Register Final!$C$2:$P$150" type="102" refreshedVersion="8" minRefreshableVersion="5">
    <extLst>
      <ext xmlns:x15="http://schemas.microsoft.com/office/spreadsheetml/2010/11/main" uri="{DE250136-89BD-433C-8126-D09CA5730AF9}">
        <x15:connection id="Range" autoDelete="1">
          <x15:rangePr sourceName="_xlcn.WorksheetConnection_FARegisterFinalC2P1501"/>
        </x15:connection>
      </ext>
    </extLst>
  </connection>
</connections>
</file>

<file path=xl/sharedStrings.xml><?xml version="1.0" encoding="utf-8"?>
<sst xmlns="http://schemas.openxmlformats.org/spreadsheetml/2006/main" count="23469" uniqueCount="4369">
  <si>
    <t>Total</t>
  </si>
  <si>
    <t>Particulars</t>
  </si>
  <si>
    <t>Investments</t>
  </si>
  <si>
    <t>Earnings per share</t>
  </si>
  <si>
    <t>Equity shares of Rs.10/- each</t>
  </si>
  <si>
    <t>Number of Shares</t>
  </si>
  <si>
    <t>Issued, subscribed and fully paid up
Equity shares of Rs.10/- each</t>
  </si>
  <si>
    <t>Equity Shares of Rs.10/-, each, fully paid up</t>
  </si>
  <si>
    <t>Other Information :</t>
  </si>
  <si>
    <t>No. of Shares</t>
  </si>
  <si>
    <t>Balance at the beginning of the year</t>
  </si>
  <si>
    <t>Add: Shares issued during the year</t>
  </si>
  <si>
    <t>Balance at the close of the year</t>
  </si>
  <si>
    <t>Particulars of Shareholders holding more than 5% share in the Company</t>
  </si>
  <si>
    <t>%</t>
  </si>
  <si>
    <t>No. of 
Shares</t>
  </si>
  <si>
    <t>Note No.</t>
  </si>
  <si>
    <t>As per beginning of reporting period</t>
  </si>
  <si>
    <t>Transferred to General Reserve</t>
  </si>
  <si>
    <t>Proposed dividend</t>
  </si>
  <si>
    <t>Closing Balance</t>
  </si>
  <si>
    <t>The Company has recognized deferred tax arising on account of timing differences, being the difference between the taxable income and accounting income, that originates in one period and is capable of reversal in one or more subsequent period(s) in compliance with Accounting Standard (AS 22) – Accounting for Taxes on income.</t>
  </si>
  <si>
    <t>TRADE PAYABLES</t>
  </si>
  <si>
    <t>OTHER CURRENT LIABILITIES</t>
  </si>
  <si>
    <t>SHORT TERM PROVISIONS</t>
  </si>
  <si>
    <t>NON-CURRENT INVESTMENTS</t>
  </si>
  <si>
    <t>Face Value</t>
  </si>
  <si>
    <t>No of Shares</t>
  </si>
  <si>
    <t>LONG TERM LOANS AND ADVANCES</t>
  </si>
  <si>
    <t>Security Deposit</t>
  </si>
  <si>
    <t>Depreciation</t>
  </si>
  <si>
    <t>TRADE RECEIVABLES</t>
  </si>
  <si>
    <t>(a) Cash on hand</t>
  </si>
  <si>
    <t>(b) Balances with banks</t>
  </si>
  <si>
    <t>SHORT-TERM LOANS AND ADVANCES</t>
  </si>
  <si>
    <t>Notes</t>
  </si>
  <si>
    <t>Share Capital</t>
  </si>
  <si>
    <t>Trade Payables</t>
  </si>
  <si>
    <t>NON-CURRENT ASSETS</t>
  </si>
  <si>
    <t>Fixed Assets</t>
  </si>
  <si>
    <t>CURRENT ASSETS</t>
  </si>
  <si>
    <t>Trade Receivables</t>
  </si>
  <si>
    <t>Significant Accounting Policies and Notes to Financial Statements form an integral part of the Balance Sheet</t>
  </si>
  <si>
    <t>Chartered Accountants</t>
  </si>
  <si>
    <t>INCOME</t>
  </si>
  <si>
    <t>Revenue from Operations</t>
  </si>
  <si>
    <t>Other Income</t>
  </si>
  <si>
    <t>Employee benefits expense</t>
  </si>
  <si>
    <t>Finance costs</t>
  </si>
  <si>
    <t>Total Tax Expenses</t>
  </si>
  <si>
    <t xml:space="preserve">Current Tax </t>
  </si>
  <si>
    <t>Deferred Tax</t>
  </si>
  <si>
    <t>REVENUE FROM OPERATIONS</t>
  </si>
  <si>
    <t>OTHER INCOME</t>
  </si>
  <si>
    <t>EMPLOYEE BENEFITS EXPENSE</t>
  </si>
  <si>
    <t>Staff welfare expenses</t>
  </si>
  <si>
    <t>Salaries and wages</t>
  </si>
  <si>
    <t>Insurance</t>
  </si>
  <si>
    <t>Director’s Remuneration</t>
  </si>
  <si>
    <t>EARNINGS PER SHARE:</t>
  </si>
  <si>
    <t>Net Profit After Tax</t>
  </si>
  <si>
    <t>Nominal Value of Equity Per Share (in Rs.)</t>
  </si>
  <si>
    <t>Basic / Diluted Earning Per Share (in Rs.)</t>
  </si>
  <si>
    <t>RELATED PARTY DISCLOSURE</t>
  </si>
  <si>
    <t xml:space="preserve">NOTES TO THE FINANCIAL STATEMENTS </t>
  </si>
  <si>
    <t>Amount in Rs</t>
  </si>
  <si>
    <t>Debit</t>
  </si>
  <si>
    <t>Credit</t>
  </si>
  <si>
    <t>TDS PAYABLE</t>
  </si>
  <si>
    <t>Cash-in-hand</t>
  </si>
  <si>
    <t>Bank Accounts</t>
  </si>
  <si>
    <t>Professional Charges</t>
  </si>
  <si>
    <t>Bank Charges</t>
  </si>
  <si>
    <t>Pooja Expenses</t>
  </si>
  <si>
    <t>Profit &amp; Loss A/c</t>
  </si>
  <si>
    <t>Grand Total</t>
  </si>
  <si>
    <t>Secured</t>
  </si>
  <si>
    <t>Printing &amp; Stationery</t>
  </si>
  <si>
    <t>TOTAL</t>
  </si>
  <si>
    <t>Director</t>
  </si>
  <si>
    <t>Managing Director</t>
  </si>
  <si>
    <t>Trial Balance</t>
  </si>
  <si>
    <t/>
  </si>
  <si>
    <t>Plant &amp; Machinery</t>
  </si>
  <si>
    <t>Capital Account</t>
  </si>
  <si>
    <t>SHARE CAPITAL</t>
  </si>
  <si>
    <t>Current Liabilities</t>
  </si>
  <si>
    <t>Crs. for Other Liabilities</t>
  </si>
  <si>
    <t>Service Tax Payable</t>
  </si>
  <si>
    <t>Sundry Creditors</t>
  </si>
  <si>
    <t>Crs for Purchase</t>
  </si>
  <si>
    <t>SECURITY DEPOSIT</t>
  </si>
  <si>
    <t>BUILDINGS</t>
  </si>
  <si>
    <t>COMPUTER</t>
  </si>
  <si>
    <t>FURNITURE AND FITTINGS</t>
  </si>
  <si>
    <t>LAND</t>
  </si>
  <si>
    <t>Current Assets</t>
  </si>
  <si>
    <t>Loans &amp; Advances (Asset)</t>
  </si>
  <si>
    <t>Sundry Debtors</t>
  </si>
  <si>
    <t>Interest Receivable</t>
  </si>
  <si>
    <t>Branch / Divisions</t>
  </si>
  <si>
    <t>Suspense A/c</t>
  </si>
  <si>
    <t>Contracts</t>
  </si>
  <si>
    <t>Contract Receipts A/c</t>
  </si>
  <si>
    <t>Purchase Accounts</t>
  </si>
  <si>
    <t>10 MM CHIPS</t>
  </si>
  <si>
    <t>Asbestos Materials</t>
  </si>
  <si>
    <t>Aviation Lamp and Accessories</t>
  </si>
  <si>
    <t>BOLTS &amp; NUTS</t>
  </si>
  <si>
    <t>C.I CAP</t>
  </si>
  <si>
    <t>FIRE BRICKS</t>
  </si>
  <si>
    <t>G.I Materials</t>
  </si>
  <si>
    <t>RMC</t>
  </si>
  <si>
    <t>Safety Materials</t>
  </si>
  <si>
    <t>SS CONE</t>
  </si>
  <si>
    <t>12 MM Metal</t>
  </si>
  <si>
    <t>20 MM METAL</t>
  </si>
  <si>
    <t>40 MM METAL</t>
  </si>
  <si>
    <t>6 mm Metal</t>
  </si>
  <si>
    <t>BRICKS</t>
  </si>
  <si>
    <t>CEMENT</t>
  </si>
  <si>
    <t>PLANKS RUNNERS &amp; PLYWOOD</t>
  </si>
  <si>
    <t>SAND</t>
  </si>
  <si>
    <t>STEEL</t>
  </si>
  <si>
    <t>TOOLS AND TACKLES</t>
  </si>
  <si>
    <t>CONTRACT ADVANCE</t>
  </si>
  <si>
    <t>CHAITANESWAR SSK - CA</t>
  </si>
  <si>
    <t>CHITTOOR CO-OP C.ADV</t>
  </si>
  <si>
    <t>Contract Advance</t>
  </si>
  <si>
    <t>MRUDAGIRI SSK LTD C.ADV</t>
  </si>
  <si>
    <t>DEFERRED TAX LIABILITY C.L</t>
  </si>
  <si>
    <t>DIRECTORS LOAN A/C</t>
  </si>
  <si>
    <t>FIXED DEPOSIT</t>
  </si>
  <si>
    <t>Fixed Deposit</t>
  </si>
  <si>
    <t>INVESTMENT</t>
  </si>
  <si>
    <t>Investment</t>
  </si>
  <si>
    <t>NSC Bond  - Chetput PO</t>
  </si>
  <si>
    <t>LOAN &amp; ADVANCE</t>
  </si>
  <si>
    <t>TDS CLIENTS</t>
  </si>
  <si>
    <t>Advance - Income Tax</t>
  </si>
  <si>
    <t>Building Deposit</t>
  </si>
  <si>
    <t>Earnest Money Deposit</t>
  </si>
  <si>
    <t>Electricity Deposit</t>
  </si>
  <si>
    <t>GAS DEPOSIT</t>
  </si>
  <si>
    <t>Group Gratuity Trust A/c (SBI)</t>
  </si>
  <si>
    <t>Labour Licence Deposit</t>
  </si>
  <si>
    <t>OTHER DEPOSIT</t>
  </si>
  <si>
    <t>RENT DEPOSIT</t>
  </si>
  <si>
    <t>Service Tax Receivable</t>
  </si>
  <si>
    <t>STAFF LOANS &amp; ADVANCES</t>
  </si>
  <si>
    <t>TELEPHONE DEPOSIT</t>
  </si>
  <si>
    <t>RESERVES AND SURPLUS</t>
  </si>
  <si>
    <t>Dividend Paid - (11-12)</t>
  </si>
  <si>
    <t>Dividend Tax Paid (11-12)</t>
  </si>
  <si>
    <t>GENERAL RESERVE</t>
  </si>
  <si>
    <t>RESERVES &amp; SURPLUS</t>
  </si>
  <si>
    <t>UNSECURED LOAN</t>
  </si>
  <si>
    <t>Rent Advance - Coral</t>
  </si>
  <si>
    <t>WIP</t>
  </si>
  <si>
    <t>WORK IN PROGRESS</t>
  </si>
  <si>
    <t>Direct Expenses</t>
  </si>
  <si>
    <t>WAGES</t>
  </si>
  <si>
    <t>Fire Brick Lining Wages</t>
  </si>
  <si>
    <t>MISC./NMR WAGES</t>
  </si>
  <si>
    <t>MISC WAGES</t>
  </si>
  <si>
    <t>Plumbing Wages</t>
  </si>
  <si>
    <t>Plumping  Wages</t>
  </si>
  <si>
    <t>RAFT BARBENDING WAGES</t>
  </si>
  <si>
    <t>RAFT CONCRETING WAGES</t>
  </si>
  <si>
    <t>SALARIES &amp; WAGES</t>
  </si>
  <si>
    <t>S.W BARBENDING WAGES</t>
  </si>
  <si>
    <t>S.W CONCRETING WAGES</t>
  </si>
  <si>
    <t>S.W MASONARY WAGES</t>
  </si>
  <si>
    <t>CARPENTER WAGES</t>
  </si>
  <si>
    <t>CONCRETE WAGES</t>
  </si>
  <si>
    <t>MASONARY WAGES</t>
  </si>
  <si>
    <t>NMR/MISC WAGES</t>
  </si>
  <si>
    <t>NMR WAGES</t>
  </si>
  <si>
    <t>WORKS EXPENSES</t>
  </si>
  <si>
    <t>ESI</t>
  </si>
  <si>
    <t>LABOUR/STAFF WELFARE</t>
  </si>
  <si>
    <t>Local Transport</t>
  </si>
  <si>
    <t>Local Travel Exp.</t>
  </si>
  <si>
    <t>MATERIALS HIRE CHARGES</t>
  </si>
  <si>
    <t>MISC EXPENSES</t>
  </si>
  <si>
    <t>MOBIL &amp; DEMOBIL MATERIAL</t>
  </si>
  <si>
    <t>MOBIL &amp; DEMOBIL MATERIALS</t>
  </si>
  <si>
    <t>P.F (SITE)</t>
  </si>
  <si>
    <t>Local Transport (MVM)</t>
  </si>
  <si>
    <t>Indirect Incomes</t>
  </si>
  <si>
    <t>INTEREST RECEIVED on FD</t>
  </si>
  <si>
    <t>Rent Received</t>
  </si>
  <si>
    <t>Indirect Expenses</t>
  </si>
  <si>
    <t>RATES &amp; TAXES</t>
  </si>
  <si>
    <t>INTEREST PAID</t>
  </si>
  <si>
    <t>ADVERTISMENT</t>
  </si>
  <si>
    <t>BOOKS &amp; PERIODICALS</t>
  </si>
  <si>
    <t>DIRECTORS  REMUNERATION</t>
  </si>
  <si>
    <t>ELECTRICAL MAINTENANCE</t>
  </si>
  <si>
    <t>Godown Rent</t>
  </si>
  <si>
    <t>Incometax Exp</t>
  </si>
  <si>
    <t>Labour/staff Welfare (MVM)</t>
  </si>
  <si>
    <t>Marketing Expenses</t>
  </si>
  <si>
    <t>Misc Expenses (MVM)</t>
  </si>
  <si>
    <t>Salaries &amp; Wages H.O</t>
  </si>
  <si>
    <t>Salaries &amp; Wages (MVM)</t>
  </si>
  <si>
    <t>STAFF WELFARE - H.O</t>
  </si>
  <si>
    <t>TRAVELLING AND CONVEYANCE</t>
  </si>
  <si>
    <t>VEHICLE MAINTENANCE</t>
  </si>
  <si>
    <t>W.C.TAX</t>
  </si>
  <si>
    <t>BANK CHARGES</t>
  </si>
  <si>
    <t>Donation</t>
  </si>
  <si>
    <t>Electricity Charges</t>
  </si>
  <si>
    <t>POOJA EXPENSES</t>
  </si>
  <si>
    <t xml:space="preserve">Wages paid </t>
  </si>
  <si>
    <t>Inventories at the end of the year</t>
  </si>
  <si>
    <t xml:space="preserve">Net (increase )/ decrease </t>
  </si>
  <si>
    <t>Mr.S.Kumaran</t>
  </si>
  <si>
    <t>General Reserve</t>
  </si>
  <si>
    <t xml:space="preserve">Add: Transferred from Statement of Profit and Loss </t>
  </si>
  <si>
    <t>As per the end of the reporting period</t>
  </si>
  <si>
    <t>Surplus in Statement of Profit &amp; Loss</t>
  </si>
  <si>
    <t>Add: Transferred from Statement of Profit and Loss Account</t>
  </si>
  <si>
    <t>Less:  Interim dividend</t>
  </si>
  <si>
    <t>INCOME FROM BUSINESS</t>
  </si>
  <si>
    <t>Net Profit as per Profit &amp; Loss A/c.</t>
  </si>
  <si>
    <t>STATEMENT OF TAXES</t>
  </si>
  <si>
    <t>Other long-term liabilities</t>
  </si>
  <si>
    <t>07.03.2002</t>
  </si>
  <si>
    <t>CO.RANGE VI(1)</t>
  </si>
  <si>
    <t>Advance Tax</t>
  </si>
  <si>
    <t>Trade / security deposits received</t>
  </si>
  <si>
    <t>Rental advance</t>
  </si>
  <si>
    <t xml:space="preserve">(a) Loans and advances from related parties </t>
  </si>
  <si>
    <t>Unsecured (from Directors)</t>
  </si>
  <si>
    <t>TDS Receivables</t>
  </si>
  <si>
    <t>Other current assets</t>
  </si>
  <si>
    <t xml:space="preserve">(a) Accruals </t>
  </si>
  <si>
    <t xml:space="preserve">    (i) Interest accrued on deposits</t>
  </si>
  <si>
    <t>Dividend</t>
  </si>
  <si>
    <t xml:space="preserve"> Inventories at the beginning of the year</t>
  </si>
  <si>
    <t>Books and Periodicals</t>
  </si>
  <si>
    <t xml:space="preserve">Weighted average No. of Equity Shares for Basic / Diluted EPS (No's) </t>
  </si>
  <si>
    <t xml:space="preserve">(a) Security deposits </t>
  </si>
  <si>
    <t>The Company has only one class of equity shares having par value of Rs.10/- each. Each holder of equity shares is entitled to one vote per share. The shareholders have the right to receive interim dividends declared by the Board of Directors and final dividend proposed by the Board of Directors and approved by the shareholders.</t>
  </si>
  <si>
    <t>Power and fuel</t>
  </si>
  <si>
    <t xml:space="preserve">Rent </t>
  </si>
  <si>
    <t>Repairs and maintenance - Machinery</t>
  </si>
  <si>
    <t>Repairs and maintenance - Office</t>
  </si>
  <si>
    <t>Repairs and maintenance - Vehicle</t>
  </si>
  <si>
    <t>Rates and taxes</t>
  </si>
  <si>
    <t xml:space="preserve">Travelling and conveyance </t>
  </si>
  <si>
    <t>Telephone &amp; Internet  Expenses</t>
  </si>
  <si>
    <t>Printing and stationery</t>
  </si>
  <si>
    <t xml:space="preserve">Legal and professional </t>
  </si>
  <si>
    <t xml:space="preserve">Miscellaneous expenses </t>
  </si>
  <si>
    <t>SEIL BUILDING DIVISION</t>
  </si>
  <si>
    <t>Indian Trading Company</t>
  </si>
  <si>
    <t>N.MOHAMED KASIM (HO)</t>
  </si>
  <si>
    <t>Hogg Hydraulics</t>
  </si>
  <si>
    <t>CASH CHENNAI</t>
  </si>
  <si>
    <t>SBI - KILPAUK - I</t>
  </si>
  <si>
    <t>Assessee's Name</t>
  </si>
  <si>
    <t>Status</t>
  </si>
  <si>
    <t>Date of Incorporation</t>
  </si>
  <si>
    <t xml:space="preserve">AMOUNT DUE </t>
  </si>
  <si>
    <t>Nature of Business</t>
  </si>
  <si>
    <t>I.T.Juri</t>
  </si>
  <si>
    <t>DUE DATE</t>
  </si>
  <si>
    <t>PAID</t>
  </si>
  <si>
    <t xml:space="preserve">AMOUNT </t>
  </si>
  <si>
    <t>CHARGED</t>
  </si>
  <si>
    <t>Asst. Year</t>
  </si>
  <si>
    <t>Year Ending</t>
  </si>
  <si>
    <t>15.09.2005</t>
  </si>
  <si>
    <t>15.03.2006</t>
  </si>
  <si>
    <t>Interest Income</t>
  </si>
  <si>
    <t xml:space="preserve">       Depreciation as per Companies Act</t>
  </si>
  <si>
    <t xml:space="preserve">       Donation</t>
  </si>
  <si>
    <t>LESS: ADMISSIBLE EXPENSES</t>
  </si>
  <si>
    <t>INCOME FROM OTHER SOURCES:</t>
  </si>
  <si>
    <t>GROSS TOTAL INCOME</t>
  </si>
  <si>
    <t>Income from Business</t>
  </si>
  <si>
    <t>Income from other sources</t>
  </si>
  <si>
    <t>TOTAL INCOME (as rounded off)</t>
  </si>
  <si>
    <t>Less: Advance Income Tax</t>
  </si>
  <si>
    <t xml:space="preserve">(b) Rajapalayam Cement  &amp; Chemicals Limited </t>
  </si>
  <si>
    <t xml:space="preserve">(a) Tan India Ltd </t>
  </si>
  <si>
    <t>Ceat Financial Service Limited</t>
  </si>
  <si>
    <t xml:space="preserve">Other non-current investments </t>
  </si>
  <si>
    <t>(a) National Saving Certificate</t>
  </si>
  <si>
    <t>(b) Reliance Natural Resource Fund</t>
  </si>
  <si>
    <t>Sale of services comprises :</t>
  </si>
  <si>
    <t>Construction and Project activity</t>
  </si>
  <si>
    <t>Contribution to Provident and other funds</t>
  </si>
  <si>
    <t>Construction Material Consumed</t>
  </si>
  <si>
    <t>Registration No. 007220S</t>
  </si>
  <si>
    <t xml:space="preserve">For and on behalf of the Board of Directors </t>
  </si>
  <si>
    <t>(S. KUMARAN)</t>
  </si>
  <si>
    <t xml:space="preserve"> (K. VISALAKSHI)</t>
  </si>
  <si>
    <t xml:space="preserve">    Director</t>
  </si>
  <si>
    <t>Mrs. S. Rajathilakam</t>
  </si>
  <si>
    <t>Mrs. K. Visalakshi</t>
  </si>
  <si>
    <t>Details of related parties:</t>
  </si>
  <si>
    <t>Description of relationship</t>
  </si>
  <si>
    <t>Names of related parties</t>
  </si>
  <si>
    <t>Mr. S. Kumaran</t>
  </si>
  <si>
    <t xml:space="preserve">Note: Related parties have been identified by the Management.      </t>
  </si>
  <si>
    <t>`</t>
  </si>
  <si>
    <t>Note</t>
  </si>
  <si>
    <t>Details of contract revenue and costs</t>
  </si>
  <si>
    <t>i</t>
  </si>
  <si>
    <t xml:space="preserve">Depreciation </t>
  </si>
  <si>
    <t>Provision for warranty</t>
  </si>
  <si>
    <t>Provision for estimated losses on onerous contracts</t>
  </si>
  <si>
    <t xml:space="preserve">Unsecured </t>
  </si>
  <si>
    <t>Notes forming part of the financial statements</t>
  </si>
  <si>
    <t>Ref No.</t>
  </si>
  <si>
    <t>Corporate information</t>
  </si>
  <si>
    <t>.</t>
  </si>
  <si>
    <t xml:space="preserve">The   Principal   activities   of  the   Company  is to engage in microfinance activities with the ultimate objective of benefiting the poor and downtrodden, (organized in the form of Self Help Groups) for enhancement of their livelihoods in a financially viable manner. The Company generally provides small value collateral free loans upto Rs. 1,00,000 for a tenor of 20 months with monthly repayment. </t>
  </si>
  <si>
    <t xml:space="preserve">The   Principal   activities   of  the   Company is undertaking Specialised Construction of Tall Structures like Silos for Cement Plants, RCC Chimneys for Power, Suger, Paper, Chemical, etc., thro Slip-Form Technology and also Construction of Educational Institutions. </t>
  </si>
  <si>
    <t>AS 1.1</t>
  </si>
  <si>
    <t>Significant accounting policies</t>
  </si>
  <si>
    <t>The significant accounting policies have been predominantly presented below in the order of the Accounting Standards notified under the Companies (Accounting Standards) Rules, 2006 (as amended). The order of presentation may be customised for each Company.</t>
  </si>
  <si>
    <t>Basis of accounting and preparation of financial statements</t>
  </si>
  <si>
    <t>Use of estimates</t>
  </si>
  <si>
    <t>AS 2.26.a</t>
  </si>
  <si>
    <t>Inventories</t>
  </si>
  <si>
    <t>Note 2 Significant accounting policies (contd.)</t>
  </si>
  <si>
    <t>Cash and cash equivalents (for purposes of Cash Flow Statement)</t>
  </si>
  <si>
    <t>AS 3.5.2</t>
  </si>
  <si>
    <t>Cash flow statement</t>
  </si>
  <si>
    <t>Cash flows are prepared in accordance with the indirect method prescribed in Accounting Standard-3.</t>
  </si>
  <si>
    <t>Fixed assets are stated at cost net of depreciation. The cost of an asset comprises its purchase price and any cost directly attributable for bringing the asset to its working condition and location for its intended use.</t>
  </si>
  <si>
    <t>AS 6.29
AS 26.63
AS 26.78
AS 26.90.a
AS 26.90.b
AS 26.94.a</t>
  </si>
  <si>
    <t xml:space="preserve">Depreciation on additions is charged proportionately from the date of acquisition/installation. </t>
  </si>
  <si>
    <t>Individual assets costing less than Rs. 5000/- are depreciated in ful, in the year of acquisition.</t>
  </si>
  <si>
    <t xml:space="preserve">Receivables </t>
  </si>
  <si>
    <t>Receivables under Financing activity include Gold Loans, Mortgage Loans and Business Loans. Loans are classified into 'Performing and Non-Performing' assets in terms of the Non Banking Financial Companies Prudential Norms (Reserve Bank) Directions, 1998 issued by the Reserve Bank of India as amended from time to time.</t>
  </si>
  <si>
    <t>Revenue recognition</t>
  </si>
  <si>
    <t>Revenues from Interest on loans financed by the company is recognized on accrual basis, considering the directions issued by the Reserve Bank of India from time to time in terms of the Non Banking Financial Companies Prudential Norms (Reserve Bank) Directions, 1998. Loans are classified into 'Performing and Non-Performing' assets in terms of the said Directions.</t>
  </si>
  <si>
    <t>Revenues from loan documentation and meeting charges are recognised as income on cash basis.</t>
  </si>
  <si>
    <t>Revenue is recognized to the extent that it is probable that the economic benefits will flow to the Company and the revenue can be reliably measured.</t>
  </si>
  <si>
    <t>Sale of goods</t>
  </si>
  <si>
    <t>Sales are recognised, net of returns and trade discounts, on transfer of significant risks and rewards of ownership to the buyer, which generally coincides with the delivery of goods to customers. Sales include excise duty but exclude sales tax and value added tax.</t>
  </si>
  <si>
    <t>Revenue from interest income on Fixed Deposits with Banks is recognized on time proportion basis taking into account the amount outstanding and the rate applicable.</t>
  </si>
  <si>
    <t>GN 9.1.3
GN 9.1.4
GN 9.1.5
AS 9.11</t>
  </si>
  <si>
    <t>AS 7.38.b
AS 7.38.c
AS 9.12</t>
  </si>
  <si>
    <t xml:space="preserve">Income from services </t>
  </si>
  <si>
    <t xml:space="preserve">Revenues from contracts priced on a time and Material &amp; Labour  basis are recognised when services are rendered and related costs are incurred.  Foreseeable losses on such contracts are recognised when probable.
</t>
  </si>
  <si>
    <t>Interest Income on securitisation is recognized on accrual basis.</t>
  </si>
  <si>
    <t>Dividend Income is recognized when the right to receive is established.</t>
  </si>
  <si>
    <t>AS 9.13</t>
  </si>
  <si>
    <t>Other income</t>
  </si>
  <si>
    <t xml:space="preserve">Interest income on Bank Deposit is accounted on accrual basis. </t>
  </si>
  <si>
    <t>Dividend income is accounted for when the right to receive it is established.</t>
  </si>
  <si>
    <t>Tangible fixed assets</t>
  </si>
  <si>
    <t>AS 10.20
AS 10.23
AS 10.8.2</t>
  </si>
  <si>
    <t xml:space="preserve">Fixed assets, except __ and ___ are carried at cost less accumulated depreciation and impairment losses, if any. The cost of fixed assets includes interest on borrowings attributable to acquisition of qualifying fixed assets up to the date the asset is ready for its intended use and other incidental expenses incurred up to that date. Exchange differences arising on restatement / settlement of long-term foreign currency borrowings relating to acquisition of depreciable fixed assets are adjusted to the cost of the respective assets and depreciated over the remaining useful life of such assets. Machinery spares which can be used only in connection with an item of fixed asset and whose use is expected to be irregular are capitalised and depreciated over the useful life of the principal item of the relevant assets. Subsequent expenditure relating to fixed assets is capitalised only if such expenditure results in an increase in the future benefits from such asset beyond its previously assessed standard of performance.
Fixed assets acquired and put to use for project purpose are capitalised and depreciation thereon is included in the project cost till commissioning of the project. </t>
  </si>
  <si>
    <t>AS 10.22</t>
  </si>
  <si>
    <t>Fixed assets acquired in full or part exchange for another asset are recorded at the fair market value or the net book value of the asset given up, adjusted for any balancing cash consideration. Fair market value is determined either for the assets acquired or asset given up, whichever is more clearly evident. Fixed assets acquired in exchange for securities of the Company are recorded at the fair market value of the assets or the fair market value of the securities issued, whichever is more clearly evident.</t>
  </si>
  <si>
    <t>AS 10.27
AS 10.30</t>
  </si>
  <si>
    <t>The Company revalued all its ___ and ___ that existed on 1 April, 200X. The revalued assets are carried at the revalued amounts less accumulated depreciation and impairment losses, if any. Increase in the net book value on such revaluation is credited to "Revaluation reserve account" except to the extent such increase is related to and not greater than a decrease arising from a revaluation / impairment that was previously recognised in the Statement of Profit and Loss, in which case such amount is credited to the Statement of Profit and Loss. Decrease in book value on revaluation is charged to the Statement of Profit and Loss except where such decrease relates to a previously recognised increase that was credited to the Revaluation reserve, in which case the decrease is charged to the Revaluation reserve to the extent the reserve has not been subsequently reversed / utilised.</t>
  </si>
  <si>
    <t>AS 10.24</t>
  </si>
  <si>
    <t>Fixed assets retired from active use and held for sale are stated at the lower of their net book value and net realisable value and are disclosed separately in the Balance Sheet.</t>
  </si>
  <si>
    <t>Capital work-in-progress:</t>
  </si>
  <si>
    <t>Projects under which assets are not ready for their intended use and other capital work-in-progress are carried at cost, comprising direct cost, related incidental expenses and attributable interest.</t>
  </si>
  <si>
    <t>Intangible assets</t>
  </si>
  <si>
    <t>AS 26.23
AS 26.59
AS 26.62</t>
  </si>
  <si>
    <t>Intangible assets are carried at cost less accumulated amortisation and impairment losses, if any. The cost of an intangible asset comprises its purchase price, including any import duties and other taxes (other than those subsequently recoverable from the taxing authorities), and any directly attributable expenditure on making the asset ready for its intended use and net of any trade discounts and rebates. Subsequent expenditure on an intangible asset after its purchase / completion is recognised as an expense when incurred unless it is probable that such expenditure will enable the asset to generate future economic benefits in excess of its originally assessed standards of performance and such expenditure can be measured and attributed to the asset reliably, in which case such expenditure is added to the cost of the asset.  
Refer Note 2.21 for accounting for Research and Development Expenses.</t>
  </si>
  <si>
    <t>Government grants, subsidies and export incentives</t>
  </si>
  <si>
    <t>AS 12.13
AS 12.14
AS 12.15
AS 12.16
AS 12.17</t>
  </si>
  <si>
    <t>Government grants and subsidies  are recognised when there is reasonable assurance that the Company will comply with the conditions attached to them and the grants / subsidy will be received. Government grants whose primary condition is that the Company should purchase, construct or otherwise acquire capital assets are presented by deducting them from the carrying value of the assets. The grant is recognised as income over the life of a depreciable asset by way of a reduced depreciation charge.</t>
  </si>
  <si>
    <t>Export benefits are accounted for in the year of exports based on eligibility and when there is no uncertainty in receiving the same.</t>
  </si>
  <si>
    <t>Government grants in the nature of promoters' contribution like investment subsidy, where no repayment is ordinarily expected in respect thereof, are treated as capital reserve. Government grants in the form of non-monetary assets, given at a concessional rate, are recorded on the basis of their acquisition cost. In case the non-monetary asset is given free of cost, the grant is recorded at a nominal value.
Other government grants and subsidies are recognised as income over the periods necessary to match them with the costs for which they are intended to compensate, on a systematic basis.</t>
  </si>
  <si>
    <t>AS 13.28
AS 13.31
AS 13.32
AS 13.35.a</t>
  </si>
  <si>
    <t>Long-term investments (excluding investment properties), are carried individually at cost less provision for diminution, other than temporary, in the value of such investments. Current investments are carried individually, at the lower of cost and fair value. Cost of investments include acquisition charges such as brokerage, fees and duties. 
Investment properties are carried individually at cost less accumulated depreciation and impairment, if any. Investment properties are capitalised and depreciated (where applicable) in accordance with the policy stated for Tangible Fixed Assets. Impairment of investment property is determined in accordance with the policy stated for Impairment of Assets.</t>
  </si>
  <si>
    <t>Employee benefits</t>
  </si>
  <si>
    <t>a. Short term employee benefits including salaries, social security contributions, short term compensated absences (such as paid annual leave) where the absences are expected to occur within twelve months after the end of the period in which the employees render the related service,  bonuses payable within twelve months after the end of the period in which the employees render the related services and non monetary benefits for current employees are estimated and measured on an undiscounted basis.</t>
  </si>
  <si>
    <t xml:space="preserve">Employee benefits include Employees Provident Fund,  Gratuity Fund, compensated absences, long service awards and post-employment medical benefits. </t>
  </si>
  <si>
    <t>AS 15.45</t>
  </si>
  <si>
    <t>b. Defined contribution plans</t>
  </si>
  <si>
    <t>The Company's contribution to provident fund and superannuation fund are considered as defined contribution plans and are charged as an expense as they fall due based on the amount of contribution required to be made.</t>
  </si>
  <si>
    <t>Company's contributions paid/payable during the year to Provident Fund and Employee State Insurance  are recognised int the Statement of Profit and Loss.</t>
  </si>
  <si>
    <t>AS 15.10
AS 15.11</t>
  </si>
  <si>
    <t>Short-term employee benefits</t>
  </si>
  <si>
    <t>The undiscounted amount of short-term employee benefits expected to be paid in exchange for the services rendered by employees are recognised during the year when the employees render the service. These benefits include performance incentive and compensated absences which are expected to occur within twelve months after the end of the period in which the employee renders the related service. The cost of such compensated absences is accounted as under :
(a) in case of accumulated compensated absences, when employees render the services that increase their entitlement of future compensated absences; and
(b) in case of non-accumulating compensated absences, when the absences occur.</t>
  </si>
  <si>
    <t>AS 15.129</t>
  </si>
  <si>
    <t>Long-term employee benefits</t>
  </si>
  <si>
    <t>Compensated absences which are not expected to occur within twelve months after the end of the period in which the employee renders the related service are recognised as a liability at the present value of the defined benefit obligation as at the Balance Sheet date less the fair value of the plan assets out of which the obligations are expected to be settled. Long Service Awards are recognised as a liability at the present value of the defined benefit obligation as at the Balance Sheet date.</t>
  </si>
  <si>
    <t>Employee share based payments</t>
  </si>
  <si>
    <t>The Company has formulated Employee Stock Option Schemes (ESOS) in accordance with the SEBI (Employee Stock Option Scheme and Employee Stock Purchase Scheme) Guidelines, 1999. The Schemes provide for grant of options to employees of the Company and its subsidiaries to acquire equity shares of the Company that vest in a graded manner and that are to be exercised within a specified period. In accordance with the SEBI Guidelines; the excess, if any, of the closing market price on the day prior to the grant of the options under ESOS over the exercise price is amortised on a straight-line basis over the vesting period. [OR]</t>
  </si>
  <si>
    <t>The Company has constituted an Employee Stock Option Plan - XXXX. Employee Stock Options granted on or after 1 April, 2005 are accounted under the ‘Intrinsic Value Method’ stated in the Guidance Note on Employee Share Based Payments issued by the Institute of Chartered Accountants of India.</t>
  </si>
  <si>
    <t>Foreign currency transactions and translations</t>
  </si>
  <si>
    <t>Transactions in foreign currencies are recorded at the exchange rate prevailing on the date of the transaction. Current assets and liabilities denominated in foreign currency are translated at the rate of exchange as the Balance Sheet date. All resulting gains or losses are recognized in the statement of  Profit and Loss.</t>
  </si>
  <si>
    <t>Borrowing costs</t>
  </si>
  <si>
    <t>AS 16.6
AS 16.14
AS 16.17
AS 16.19</t>
  </si>
  <si>
    <t>Borrowing costs include interest, amortisation of ancillary costs incurred and exchange differences arising from foreign currency borrowings to the extent they are regarded as an adjustment to the interest cost.  Costs in connection with the borrowing of funds to the extent not directly related to the acquisition of qualifying assets are charged to the Statement of Profit and Loss over the tenure of the loan. Borrowing costs, allocated to and utilised for qualifying assets, pertaining to the period from commencement of activities relating to construction / development of the qualifying asset upto the date of capitalisation of such asset is added to the cost of the assets. Capitalisation of borrowing costs is suspended and charged to the Statement of Profit and Loss during extended periods when active development activity on the qualifying assets is interrupted.</t>
  </si>
  <si>
    <t>Segment reporting</t>
  </si>
  <si>
    <t>The Company provides only Engineering  &amp; Constructin Services and does not have any other segment of business. So the Segmental reporting regulations are not applicable to the company.</t>
  </si>
  <si>
    <t>AS 17.19
AS 17.20
AS 17.24
AS 17.33
AS 17.36
AS 17.53</t>
  </si>
  <si>
    <t>The Company identifies primary segments based on the dominant source, nature of risks and returns and the internal organisation and management structure. The operating segments are the segments for which separate financial information is available and for which operating profit/loss amounts are evaluated regularly by the executive Management in deciding how to allocate resources and in assessing performance.</t>
  </si>
  <si>
    <t>The accounting policies adopted for segment reporting are in line with the accounting policies of the Company. Segment revenue, segment expenses, segment assets and segment liabilities have been identified to segments on the basis of their relationship to the operating activities of the segment. 
Inter-segment revenue is accounted on the basis of transactions which are primarily determined based on market / fair value factors. 
Revenue, expenses, assets and liabilities which relate to the Company as a whole and are not allocable to segments on reasonable basis have been included under “unallocated revenue / expenses / assets / liabilities”.</t>
  </si>
  <si>
    <t>Leases</t>
  </si>
  <si>
    <t>AS 19.11
AS 19.16
AS 19.23
AS 19.26
AS 19.40</t>
  </si>
  <si>
    <t>Where the Company as a lessor leases assets under finance leases, such amounts are recognised as receivables at an amount equal to the net investment in the lease and the finance income is recognised based on a constant rate of return on the outstanding net investment.
Assets leased by the Company in its capacity as lessee where  substantially all the risks and rewards of ownership vest in the Company are classified as finance leases. Such leases are capitalised at the inception of the lease at the lower of the fair value and the present value of the minimum lease payments and a liability is created for an equivalent amount. Each lease rental paid is allocated between the liability and the interest cost so as to obtain a constant periodic rate of interest on the outstanding liability for each year.
Lease arrangements where the risks and rewards incidental to ownership of an asset substantially vest with the lessor are recognised as operating leases. Lease rentals under operating leases are recognised in the Statement of Profit and Loss on a straight-line basis.</t>
  </si>
  <si>
    <t>AS 20.10
AS 20.26
AS 20.29
AS 20.32
AS 20.35
AS 20.39</t>
  </si>
  <si>
    <t xml:space="preserve">Basic earnings per share is computed by dividing the profit / (loss) after tax (including the post tax effect of extraordinary items, if any) by the weighted average number of equity shares outstanding during the year. Diluted earnings per share is computed by dividing  the profit / (loss) after tax (including the post tax effect of extraordinary items, if any) as adjusted for dividend, interest and other charges to expense or income relating to the dilutive potential equity shares, by the weighted average number of equity shares considered for deriving basic earnings per share and the weighted average number of equity shares which could have been issued on the conversion of all dilutive potential equity shares. Potential equity shares are deemed to be dilutive only if their conversion to equity shares would decrease the net profit per share from continuing ordinary operations. Potential dilutive equity shares are deemed to be converted as at the beginning of the period, unless they have been issued at a later date. The dilutive potential equity shares are adjusted for the proceeds receivable had the shares been actually issued at fair value (i.e. average market value of the outstanding shares). Dilutive potential equity shares are determined independently for each period presented. The number of  equity shares and potentially dilutive equity shares are adjusted for share splits / reverse share splits and bonus shares, as appropriate. </t>
  </si>
  <si>
    <t>Taxes on income</t>
  </si>
  <si>
    <t>AS 22.20
AS 22.21
AS 22.15
AS 22.17
AS 22.26
AS 22.29</t>
  </si>
  <si>
    <t xml:space="preserve">Current tax is the amount of tax payable on the taxable income for the year as determined in accordance with the provisions of the Income Tax Act, 1961.
Minimum Alternate Tax (MAT) paid in accordance with  the tax laws, which gives future economic benefits in the form of adjustment to future income tax liability, is considered as an asset if there is convincing evidence that the Company will pay normal income tax. Accordingly, MAT is recognised as an asset in the Balance Sheet when it is probable that future economic benefit associated with it will flow to the Company.
</t>
  </si>
  <si>
    <t xml:space="preserve">Deferred tax is recognised on timing differences, being the differences between the taxable income and the accounting income that originate in one period and are capable of reversal in one or more subsequent periods.  Deferred tax is measured using the tax rates and the tax laws enacted or substantially enacted as at the reporting date.  Deferred tax liabilities are recognised for all timing differences.  Deferred tax assets in respect of unabsorbed depreciation and carry forward of losses are recognised only if there is virtual certainty that there will be sufficient future taxable income available to realise such assets. Deferred tax assets are recognised for timing differences of other items only to the extent that reasonable certainty exists that sufficient future taxable income will be available against which these can be realised.  Deferred tax assets and liabilities are offset if such items relate to taxes on income levied by the same governing tax laws and the Company has a legally enforceable right for such set off. Deferred tax assets are reviewed at each Balance Sheet date for their realisability. </t>
  </si>
  <si>
    <t>Current and deferred tax relating to items directly recognised in equity are recognised in equity and not in the Statement of Profit and Loss.</t>
  </si>
  <si>
    <t>Research and development expenses</t>
  </si>
  <si>
    <t>AS 26.41
AS 26.44
AS 26.23</t>
  </si>
  <si>
    <t>Revenue expenditure pertaining to research is charged to the Statement of Profit and Loss. Development costs of products are also charged to the Statement of Profit and Loss unless a product’s technological feasibility has been established, in which case such expenditure is capitalised. The amount capitalised comprises expenditure that can be directly attributed or allocated on a reasonable and consistent basis to creating, producing and making the asset ready for its intended use. Fixed assets utilised for research and development are capitalised and depreciated in accordance with the policies stated for Tangible Fixed Assets and Intangible Assets.</t>
  </si>
  <si>
    <t>Joint venture operations</t>
  </si>
  <si>
    <t>AS 27.12</t>
  </si>
  <si>
    <t>The accounts of the Company reflect its share of the Assets, Liabilities, Income and Expenditure of the Joint Venture Operations which are accounted on the basis of the audited accounts of the Joint Ventures on line-by-line basis with similar items in the Company’s accounts to the extent of the participating interest of the Company as per the Joint Venture Agreements.</t>
  </si>
  <si>
    <t>Impairment of assets</t>
  </si>
  <si>
    <t>AS 28.6
AS 28.47
AS 28.57
AS 28.103</t>
  </si>
  <si>
    <t>The carrying values of assets / cash generating units at each Balance Sheet date are reviewed for impairment. If any indication of  impairment exists, the recoverable amount of such assets is estimated and impairment is recognised, if the carrying amount of these assets exceeds their recoverable amount. The recoverable amount is the greater of the net selling price and their value in use. Value in use is arrived at by discounting the future cash flows to their present value based on an appropriate discount factor. When there is indication that an impairment loss recognised for an asset in earlier accounting periods no longer exists or may have decreased, such reversal of impairment loss is recognised in the Statement of Profit and Loss, except in case of revalued assets.</t>
  </si>
  <si>
    <t>Provisions and contingencies</t>
  </si>
  <si>
    <t>AS 29.14
AS 29.35
AS 29.27</t>
  </si>
  <si>
    <t>A provision is recognised when the Company has a present obligation as a result of past events and it is probable that an outflow of resources will be required to settle the obligation in respect of which a reliable estimate can be made.  Contingent liabilities are disclosed in the Notes.</t>
  </si>
  <si>
    <t>AS 29.14
AS 29.35</t>
  </si>
  <si>
    <t>The estimated liability for product warranties is recorded when products are sold. These estimates are established using historical information on the nature, frequency and average cost of warranty claims and management estimates regarding possible future incidence based on corrective actions on product failures. The timing of outflows will vary as and when warranty claim will arise - being typically upto three years.</t>
  </si>
  <si>
    <t>As per the terms of the contracts, the Company provides post-contract services / warranty support to some of its customers. The Company accounts for the post-contract support / provision for warranty on the basis of the information available with the Management duly taking into account the current and past technical estimates.</t>
  </si>
  <si>
    <t>Hedge accounting</t>
  </si>
  <si>
    <t>The Company uses foreign currency forward contracts to hedge its risks associated with foreign currency fluctuations relating to highly probable forecast transactions. The Company designates such forward contracts in a cash flow hedging relationship by applying the hedge accounting principles set out in "Accounting Standard 30 Financial Instruments: Recognition and Measurement".  These forward contracts are stated at fair value at each reporting date. Changes in the fair value of these forward contracts that are designated and effective as hedges of future cash flows are recognised directly in "Hedging reserve account" under Reserves and surplus, net of applicable deferred income taxes and the ineffective portion is recognised immediately in the Statement of Profit and Loss. Amounts accumulated in the "Hedging reserve account" are reclassified to the Statement of Profit and Loss in the same periods during which the forecasted transaction affects profit and loss. Hedge accounting is discontinued when the hedging instrument expires or is sold, terminated, or exercised, or no longer qualifies for hedge accounting. For forecasted transactions, any cumulative gain or loss on the hedging instrument recognised in "Hedging reserve account" is retained until the forecasted transaction occurs. If the forecasted transaction is no longer expected to occur, the net cumulative gain or loss recognised in "Hedging reserve account" is immediately transferred to the Statement of Profit and Loss.</t>
  </si>
  <si>
    <t>Derivative contracts</t>
  </si>
  <si>
    <t>The Company enters into derivative contracts in the nature of foreign currency swaps, currency options, forward contracts with an intention to hedge its existing assets and liabilities, firm commitments and highly probable transactions. Derivative contracts which are closely linked to the existing assets and liabilities are accounted as per the policy stated for Foreign Currency Transactions and Translations. 
Derivative contracts designated as a hedging instrument for highly probable forecast transactions are accounted as per the policy stated for Hedge Accounting. 
All other derivative contracts are marked-to-market and losses are recognised in the Statement of Profit and Loss. Gains arising on the same are not recognised, until realised, on grounds of prudence.</t>
  </si>
  <si>
    <t>Preliminary expenses</t>
  </si>
  <si>
    <t>Preliminary Expenses are written off in five years from the commencement of commercial operations.</t>
  </si>
  <si>
    <t>Share issues expenses</t>
  </si>
  <si>
    <t>Share issue expenses and redemption premium are adjusted against the Securities Premium Account as permissible under Section 78(2) of the Companies Act, 1956, to the extent balance is available for utilisation in the Securities Premium Account. The balance of share issue expenses is carried as an asset and is amortised over a period of 5 years from the date of the issue of shares.</t>
  </si>
  <si>
    <t>Insurance claims</t>
  </si>
  <si>
    <t>Insurance claims are accounted for on the basis of claims admitted / expected to be admitted and to the extent that there is no uncertainty in receiving the claims.</t>
  </si>
  <si>
    <t>2.30</t>
  </si>
  <si>
    <t>Service tax input credit</t>
  </si>
  <si>
    <t>Service tax input credit is accounted for in the books in the period in which the underlying service received is accounted and when there is no uncertainty in availing / utilising the credits.</t>
  </si>
  <si>
    <t>Chennai,</t>
  </si>
  <si>
    <t>CASH FLOW STATEMENT FOR COMPANIES OTHER THAN FINANCE COMPANIES</t>
  </si>
  <si>
    <t>A. Cash flow from operating activities</t>
  </si>
  <si>
    <t>Net Profit / (Loss) before extraordinary items and tax</t>
  </si>
  <si>
    <t>Adjustments for:</t>
  </si>
  <si>
    <t>Depreciation and amortisation</t>
  </si>
  <si>
    <t>Amortisation of share issue expenses and discount on shares</t>
  </si>
  <si>
    <t>(Profit) / loss on sale / write off of assets</t>
  </si>
  <si>
    <t>Expense on employee stock option scheme</t>
  </si>
  <si>
    <t>Interest income</t>
  </si>
  <si>
    <t>Dividend income</t>
  </si>
  <si>
    <t>Net (gain) / loss on sale of investments</t>
  </si>
  <si>
    <t>Rental income from investment properties</t>
  </si>
  <si>
    <t>Rental income from operating leases</t>
  </si>
  <si>
    <t>Share of profit from partnership firms</t>
  </si>
  <si>
    <t>Share of profit from AOPs</t>
  </si>
  <si>
    <t>Share of profit from LLPs</t>
  </si>
  <si>
    <t>Liabilities / provisions no longer required written back</t>
  </si>
  <si>
    <t>Adjustments to the carrying amount of investments</t>
  </si>
  <si>
    <t>Provision for losses of subsidiary companies</t>
  </si>
  <si>
    <t>Provision/Write off for receivables under Financing Activity</t>
  </si>
  <si>
    <t>Provision for doubtful trade and other receivables, loans and advances</t>
  </si>
  <si>
    <t>Provision for estimated loss on derivatives</t>
  </si>
  <si>
    <t>Provision for contingencies</t>
  </si>
  <si>
    <t>Other non-cash charges (specify)</t>
  </si>
  <si>
    <t xml:space="preserve">Net unrealised exchange (gain) / loss </t>
  </si>
  <si>
    <t>Operating profit / (loss) before working capital changes</t>
  </si>
  <si>
    <t>Changes in working capital:</t>
  </si>
  <si>
    <t>Adjustments for (increase) / decrease in operating assets:</t>
  </si>
  <si>
    <t>Short-term loans and advances</t>
  </si>
  <si>
    <t>Long-term loans and advances</t>
  </si>
  <si>
    <t>Other non-current assets</t>
  </si>
  <si>
    <t>Adjustments for increase / (decrease) in operating liabilities:</t>
  </si>
  <si>
    <t>Trade payables</t>
  </si>
  <si>
    <t>Other current liabilities</t>
  </si>
  <si>
    <t>Short-term provisions</t>
  </si>
  <si>
    <t>Cash flow from extraordinary items</t>
  </si>
  <si>
    <t>Cash generated from operations</t>
  </si>
  <si>
    <t>Net income tax (paid) / refunds</t>
  </si>
  <si>
    <t>Net cash flow from / (used in) operating activities (A)</t>
  </si>
  <si>
    <t>B. Cash flow from investing activities</t>
  </si>
  <si>
    <t xml:space="preserve">Capital expenditure on fixed assets, including capital advances </t>
  </si>
  <si>
    <t>Proceeds from sale of fixed assets</t>
  </si>
  <si>
    <t>Inter-corporate deposits (net)</t>
  </si>
  <si>
    <t>Current investments not considered as Cash and cash equivalents</t>
  </si>
  <si>
    <t xml:space="preserve">  - Purchased</t>
  </si>
  <si>
    <t xml:space="preserve">  - Proceeds from sale</t>
  </si>
  <si>
    <t>Purchase of long-term investments</t>
  </si>
  <si>
    <t xml:space="preserve">  - Subsidiaries </t>
  </si>
  <si>
    <t xml:space="preserve">  - Associates</t>
  </si>
  <si>
    <t xml:space="preserve">  - Joint ventures</t>
  </si>
  <si>
    <t xml:space="preserve">  - Business units</t>
  </si>
  <si>
    <t xml:space="preserve">  - Others</t>
  </si>
  <si>
    <t>Proceeds from sale of long-term investments</t>
  </si>
  <si>
    <t>Loans given</t>
  </si>
  <si>
    <t>Loans realised</t>
  </si>
  <si>
    <t>Interest received</t>
  </si>
  <si>
    <t>Dividend received</t>
  </si>
  <si>
    <t>Amounts received from partnership firms</t>
  </si>
  <si>
    <t>Amounts received from AOPs</t>
  </si>
  <si>
    <t>Amounts received from LLPs</t>
  </si>
  <si>
    <t>Net cash flow from / (used in) investing activities (B)</t>
  </si>
  <si>
    <t>C. Cash flow from financing activities</t>
  </si>
  <si>
    <t>Dividends paid</t>
  </si>
  <si>
    <t>Tax on dividend</t>
  </si>
  <si>
    <t>Net cash flow from / (used in) financing activities (C)</t>
  </si>
  <si>
    <t>Net increase / (decrease) in Cash and cash equivalents (A+B+C)</t>
  </si>
  <si>
    <t>Cash and cash equivalents at the beginning of the year</t>
  </si>
  <si>
    <t>Cash and cash equivalents at the end of the year</t>
  </si>
  <si>
    <t>Reconciliation of Cash and cash equivalents with the Balance Sheet:</t>
  </si>
  <si>
    <t>Cash and cash equivalents at the end of the year *</t>
  </si>
  <si>
    <t>* Comprises:</t>
  </si>
  <si>
    <t>(b) Cheques, drafts on hand</t>
  </si>
  <si>
    <t>(i) In current accounts</t>
  </si>
  <si>
    <t>(ii) In EEFC accounts</t>
  </si>
  <si>
    <t>(ii) In deposit accounts with original maturity of less than 3 months</t>
  </si>
  <si>
    <t>(iv) In earmarked accounts (give details) (Refer Note (ii) below)</t>
  </si>
  <si>
    <t xml:space="preserve">(d) Others (specify nature) </t>
  </si>
  <si>
    <t>(e) Current investments considered as part of Cash and cash equivalents (Refer Note (ii) to Note 16 Current investments)</t>
  </si>
  <si>
    <t xml:space="preserve">Notes: </t>
  </si>
  <si>
    <t>(i) The Cash Flow Statement reflects the combined cash flows pertaining to continuing and discounting operations.</t>
  </si>
  <si>
    <t>(ii) These earmarked account balances with banks can be utilised only for the specific identified purposes.</t>
  </si>
  <si>
    <t xml:space="preserve">In terms of our report attached. </t>
  </si>
  <si>
    <t xml:space="preserve">                      </t>
  </si>
  <si>
    <t xml:space="preserve">Place : </t>
  </si>
  <si>
    <t>tax paid</t>
  </si>
  <si>
    <t>Administrative and Other expenses</t>
  </si>
  <si>
    <t xml:space="preserve"> Profit / (Loss) Before Extraordinary Items &amp; Tax</t>
  </si>
  <si>
    <t xml:space="preserve">Trade payables </t>
  </si>
  <si>
    <t>Mrs.S.Rajathilagam</t>
  </si>
  <si>
    <t>Advertisement</t>
  </si>
  <si>
    <t>a) Investment in equity instruments</t>
  </si>
  <si>
    <t xml:space="preserve">(c) Hindustany Cylinder Company Limited </t>
  </si>
  <si>
    <t>b) Investment in preference shares</t>
  </si>
  <si>
    <t xml:space="preserve">   Unsecured, considered good *</t>
  </si>
  <si>
    <t>(a) Work in progress</t>
  </si>
  <si>
    <t xml:space="preserve">INVENTORIES </t>
  </si>
  <si>
    <t xml:space="preserve">     (ii) Deposits with banks *</t>
  </si>
  <si>
    <t>The Deposits maintained by the company with banks comprise of Time deposits witch can be withdrawn by the company at any point.</t>
  </si>
  <si>
    <t>Advances to Employees</t>
  </si>
  <si>
    <t>Construction Work Expenses</t>
  </si>
  <si>
    <t>Advances received for contracts in progress</t>
  </si>
  <si>
    <t>Retention money for contracts in progress</t>
  </si>
  <si>
    <t>Gross amount due to customer for contract work (Liability)</t>
  </si>
  <si>
    <t>Gross amount due from customers for contract work (Asset)</t>
  </si>
  <si>
    <t>For A.JOHN MORIS &amp; CO</t>
  </si>
  <si>
    <t xml:space="preserve">Cash comprises cash on hand and demand deposits with banks. Cash equivalents are short-term balances (with an original maturity of three months or less from the date of acquisition), highly liquid investments that are readily convertible into known amounts of cash and which are subject to insignificant risk of changes in value. </t>
  </si>
  <si>
    <t>* The above security deposit includes Retention Amount, EMD, Electricity Deposit, GAS Deposit, Labour License Deposit, Rent Deposit and other deposits)</t>
  </si>
  <si>
    <t>(iii) Expenses Payable</t>
  </si>
  <si>
    <t>SHORT TERM BORROWINGS</t>
  </si>
  <si>
    <t>OTHER CURRENT ASSETS</t>
  </si>
  <si>
    <t>CONSTRUCTION &amp; OPERATING EXPENSES</t>
  </si>
  <si>
    <t>ADMINISTRATIVE &amp; OTHER EXPENSES</t>
  </si>
  <si>
    <t>DISCLOSURE UNDER ACCOUNTING STANDARDS - 7</t>
  </si>
  <si>
    <t>For the year ended 31 March,2014</t>
  </si>
  <si>
    <t>AJOHN MORIS &amp; CO</t>
  </si>
  <si>
    <t>Amman Earth Movers (MVM)</t>
  </si>
  <si>
    <t>Interest Payable</t>
  </si>
  <si>
    <t>K K Enterprises</t>
  </si>
  <si>
    <t>LIC</t>
  </si>
  <si>
    <t>Majestic Engg Works</t>
  </si>
  <si>
    <t>Mesha</t>
  </si>
  <si>
    <t>OUTSTANDING DIRECTORS REMUNERATION</t>
  </si>
  <si>
    <t>P.F.PAYABLE</t>
  </si>
  <si>
    <t>Print Park</t>
  </si>
  <si>
    <t>RENT PAYABLE</t>
  </si>
  <si>
    <t>Sakthi Engineering Services</t>
  </si>
  <si>
    <t>SALARY PAYABLE</t>
  </si>
  <si>
    <t>S.N.Mittal &amp; Associates</t>
  </si>
  <si>
    <t>S.R.Engg.Corporation</t>
  </si>
  <si>
    <t>Techno Consultancy Service</t>
  </si>
  <si>
    <t>Zain Traders</t>
  </si>
  <si>
    <t>Amman Pipes</t>
  </si>
  <si>
    <t>Asharam Electricals</t>
  </si>
  <si>
    <t>Chinnappa  Enterprises</t>
  </si>
  <si>
    <t>Chowdhary Engineering Works</t>
  </si>
  <si>
    <t>Delton Pneumatics</t>
  </si>
  <si>
    <t>Fakhri Fasteners</t>
  </si>
  <si>
    <t>FLUID POWER ENGINEERING</t>
  </si>
  <si>
    <t>Gandhi Industrial Electricals</t>
  </si>
  <si>
    <t>Iconet Services</t>
  </si>
  <si>
    <t>Jindal Steel &amp; Power Ltd</t>
  </si>
  <si>
    <t>Madras Cement Ltd</t>
  </si>
  <si>
    <t>Madras Chipboard Ltd</t>
  </si>
  <si>
    <t>Maniam Traders</t>
  </si>
  <si>
    <t>MSR</t>
  </si>
  <si>
    <t>MSR-   ( HO Chennai )</t>
  </si>
  <si>
    <t>Navkar Plywoods</t>
  </si>
  <si>
    <t>N.Mohamed Kasim</t>
  </si>
  <si>
    <t>N.MOHAMED KASIM (MVM)</t>
  </si>
  <si>
    <t>Oriental Enterprises</t>
  </si>
  <si>
    <t>Pandiyan Hardwares</t>
  </si>
  <si>
    <t>Sakthi Paint</t>
  </si>
  <si>
    <t>Sakthi Paints</t>
  </si>
  <si>
    <t>Santlal Balkishan Dass (Madras)</t>
  </si>
  <si>
    <t>Senthil Electricals</t>
  </si>
  <si>
    <t>Senthil Pipe Corporation (MVM)</t>
  </si>
  <si>
    <t>Senthil Traders</t>
  </si>
  <si>
    <t>Shanmugam &amp; Co</t>
  </si>
  <si>
    <t>Sree Rosh Enterprises</t>
  </si>
  <si>
    <t>Sri Kannika Parameswari Trading</t>
  </si>
  <si>
    <t>Srinivash Timbers</t>
  </si>
  <si>
    <t>Sri Vardaman Tiles</t>
  </si>
  <si>
    <t>Suryadev Alloys &amp; Power Pvt Ltd</t>
  </si>
  <si>
    <t>TIRUSUL WIRE ROPE &amp; LIFTING GEARS PVT LTD</t>
  </si>
  <si>
    <t>Trichy Civil Service</t>
  </si>
  <si>
    <t>Weiser Hydro Pneumatics</t>
  </si>
  <si>
    <t>YES GEE AGENCIES</t>
  </si>
  <si>
    <t>Ala Properties-Sub</t>
  </si>
  <si>
    <t>Anandan.P - Sub</t>
  </si>
  <si>
    <t>Anand Mason</t>
  </si>
  <si>
    <t>Anbarasan - Sub</t>
  </si>
  <si>
    <t>Anil Singh - Sub</t>
  </si>
  <si>
    <t>A.N. Star Constructions - Sub</t>
  </si>
  <si>
    <t>Anuj Kumar Rana</t>
  </si>
  <si>
    <t>AVS Buildheight Pvt Ltd</t>
  </si>
  <si>
    <t>Balu Carp</t>
  </si>
  <si>
    <t>Balu Mason</t>
  </si>
  <si>
    <t>Bannugopal Yadhav</t>
  </si>
  <si>
    <t>Baskar - Mason</t>
  </si>
  <si>
    <t>Berman.J.L - Sub</t>
  </si>
  <si>
    <t>Bharathi.J - Sub</t>
  </si>
  <si>
    <t>Bimal Rana - Sub</t>
  </si>
  <si>
    <t>B.K. Sharma</t>
  </si>
  <si>
    <t>Chandu Lal - Sub</t>
  </si>
  <si>
    <t>Damodar Dalai - Sub</t>
  </si>
  <si>
    <t>Deeraj -Sub</t>
  </si>
  <si>
    <t>Dharmendra Kumar - Sub</t>
  </si>
  <si>
    <t>Durai Samy - Sub</t>
  </si>
  <si>
    <t>Gyanath Barman - Sub</t>
  </si>
  <si>
    <t>Gyani Prasad - Sub</t>
  </si>
  <si>
    <t>IPN Earth Movers</t>
  </si>
  <si>
    <t>Kalaiselvam Otta - Sub</t>
  </si>
  <si>
    <t>Karunanidi - Sub</t>
  </si>
  <si>
    <t>Keerthivasan Mason</t>
  </si>
  <si>
    <t>Krishnasamy.M - Sub</t>
  </si>
  <si>
    <t>Kumar - Mason</t>
  </si>
  <si>
    <t>Kumar - Sub (Walchand)</t>
  </si>
  <si>
    <t>Kumbakarasan - Mason</t>
  </si>
  <si>
    <t>LAKHDATA - SUB</t>
  </si>
  <si>
    <t>Lala Singh - Sub</t>
  </si>
  <si>
    <t>LALLU SHARMA</t>
  </si>
  <si>
    <t>Life Jcb - Sub</t>
  </si>
  <si>
    <t>Mahendar Shaw - Sub</t>
  </si>
  <si>
    <t>Mahendra Bari-Sub</t>
  </si>
  <si>
    <t>Mahesh - Mason</t>
  </si>
  <si>
    <t>Manibabu -Sub</t>
  </si>
  <si>
    <t>Manickam.K - Fitter</t>
  </si>
  <si>
    <t>MANI-PAINTER</t>
  </si>
  <si>
    <t>Mayavan - Sub</t>
  </si>
  <si>
    <t>Meganathan - Painter</t>
  </si>
  <si>
    <t>Moorthy - Sub</t>
  </si>
  <si>
    <t>Munif Patel - Sub</t>
  </si>
  <si>
    <t>Murugesan - R.R Nagar</t>
  </si>
  <si>
    <t>Muthu - Sub</t>
  </si>
  <si>
    <t>Nataraj - Fitter</t>
  </si>
  <si>
    <t>NEHRU - SUB</t>
  </si>
  <si>
    <t>Pandiyan - Carp</t>
  </si>
  <si>
    <t>Pasupathy Mason</t>
  </si>
  <si>
    <t>Pawan Pandy - Sub</t>
  </si>
  <si>
    <t>PERUMAL - CARPENTER</t>
  </si>
  <si>
    <t>Prakash Berman - Sub</t>
  </si>
  <si>
    <t>Prasanth  - Sub</t>
  </si>
  <si>
    <t>Rajaraman.R - Ottas</t>
  </si>
  <si>
    <t>Rajesh Shaw - Sub</t>
  </si>
  <si>
    <t>Raj Kumar Painter</t>
  </si>
  <si>
    <t>RAMAKOTTEESWAR RAO</t>
  </si>
  <si>
    <t>Ramchandra - Sub</t>
  </si>
  <si>
    <t>Ramesh Mason</t>
  </si>
  <si>
    <t>Renta Mandi - Sub</t>
  </si>
  <si>
    <t>Sambandam - Sub</t>
  </si>
  <si>
    <t>Samidurai - Sub</t>
  </si>
  <si>
    <t>Sami Durai - Sub MVM</t>
  </si>
  <si>
    <t>Sankar Mason - Sub</t>
  </si>
  <si>
    <t>SEKAR - CARP</t>
  </si>
  <si>
    <t>Selvam.M - Fitter</t>
  </si>
  <si>
    <t>Selvam Pile - Sub</t>
  </si>
  <si>
    <t>Senthil - Mason</t>
  </si>
  <si>
    <t>Senthil - Stone Cutter</t>
  </si>
  <si>
    <t>Settu Mason</t>
  </si>
  <si>
    <t>Shambhu Kumar Yadav - Sub</t>
  </si>
  <si>
    <t>Shankar - Painter</t>
  </si>
  <si>
    <t>Shivjeet Berman - Sub</t>
  </si>
  <si>
    <t>Singh Hi-Tech</t>
  </si>
  <si>
    <t>S.N SHARMA</t>
  </si>
  <si>
    <t>Somnath - Sub</t>
  </si>
  <si>
    <t>Sonali Construction</t>
  </si>
  <si>
    <t>Sri Sai Prasad Yadav</t>
  </si>
  <si>
    <t>Sujan - Sub</t>
  </si>
  <si>
    <t>Suresh Mason</t>
  </si>
  <si>
    <t>Surya.P - Sub</t>
  </si>
  <si>
    <t>Tamilarasan-Sub</t>
  </si>
  <si>
    <t>Valarpirai &amp; Co</t>
  </si>
  <si>
    <t>Varatharajan - Sub</t>
  </si>
  <si>
    <t>Veerasami Otta - Sub</t>
  </si>
  <si>
    <t>Venkatachalam.R - Sub</t>
  </si>
  <si>
    <t>VIJAYAKUMAR-FITTER</t>
  </si>
  <si>
    <t>Vijayakumar - Sub</t>
  </si>
  <si>
    <t>Vijayan - Sub</t>
  </si>
  <si>
    <t>VISHU - MASON</t>
  </si>
  <si>
    <t>Vithal Bhimrao Mane - Sub</t>
  </si>
  <si>
    <t>Bharath - Sup</t>
  </si>
  <si>
    <t>Bimal Refractories (P)  Ltd</t>
  </si>
  <si>
    <t>Chandra Sekar - Sup (Coro-Sugar)</t>
  </si>
  <si>
    <t>Gunasekaran - Sup (Mcl)</t>
  </si>
  <si>
    <t>HEENA REFRACTORIES</t>
  </si>
  <si>
    <t>Maheshwari Glass &amp; Plywoods</t>
  </si>
  <si>
    <t>Manickam.N.K. - Sup</t>
  </si>
  <si>
    <t>Manickam.N.K. - Sup MVM</t>
  </si>
  <si>
    <t>Prabu - Sup</t>
  </si>
  <si>
    <t>Q Mix Industry</t>
  </si>
  <si>
    <t>Raveendran.E - SUP</t>
  </si>
  <si>
    <t>Sibi Chakravarthy - Sup</t>
  </si>
  <si>
    <t>Special Refractories &amp; Linings</t>
  </si>
  <si>
    <t>SRI VARDHAMAN TILES</t>
  </si>
  <si>
    <t>Sundar.K - Sup</t>
  </si>
  <si>
    <t>Suresh - Sup</t>
  </si>
  <si>
    <t>Tholkappian - Sup</t>
  </si>
  <si>
    <t>Venkateswara - Sup</t>
  </si>
  <si>
    <t>Vijayakumar - Sup</t>
  </si>
  <si>
    <t>Carp.Chinnasamy</t>
  </si>
  <si>
    <t>CARP.KATHIRVAN</t>
  </si>
  <si>
    <t>FITT.BASKAR</t>
  </si>
  <si>
    <t>Fitt.Ramu</t>
  </si>
  <si>
    <t>FITT.SAMINATHAN</t>
  </si>
  <si>
    <t>Mason Karthick</t>
  </si>
  <si>
    <t>Mason Meganathan</t>
  </si>
  <si>
    <t>Electrcity Deposit</t>
  </si>
  <si>
    <t>SBI</t>
  </si>
  <si>
    <t>S.DRS</t>
  </si>
  <si>
    <t>ABG Cement S.Drs</t>
  </si>
  <si>
    <t>Abhijeet - II S.Drs</t>
  </si>
  <si>
    <t>Abhijeet Iv S.Drs</t>
  </si>
  <si>
    <t>Agi Glaspac S.Drs</t>
  </si>
  <si>
    <t>Anrak Aluminium Ltd S.Drs.II</t>
  </si>
  <si>
    <t>Anrak Aluminium S.Drs</t>
  </si>
  <si>
    <t>Armstrong Energy S.Drs</t>
  </si>
  <si>
    <t>Bajaj Hindusthan S.Drs</t>
  </si>
  <si>
    <t>Birla Corporation Ltd S.Drs</t>
  </si>
  <si>
    <t>BPPL S.Drs</t>
  </si>
  <si>
    <t>Coromandal Simon S.Drs</t>
  </si>
  <si>
    <t>COROMANDEL ENGG ULTRA TECH S.DRS</t>
  </si>
  <si>
    <t>Cvl.Abg Kutch S.Drs</t>
  </si>
  <si>
    <t>CVL Aryan - S.Drs</t>
  </si>
  <si>
    <t>Cvl Garden Silk S.Drs</t>
  </si>
  <si>
    <t>CVL-GSFCL S.Drs</t>
  </si>
  <si>
    <t>CVL-Mahi Cements Sdrs</t>
  </si>
  <si>
    <t>CVL Meghmani II S.Drs.</t>
  </si>
  <si>
    <t>DR.V.RAMALINGAM HOUSE S.Drs</t>
  </si>
  <si>
    <t>Electrotherm Ii S.Drs</t>
  </si>
  <si>
    <t>Enmas GP Power Systems S.Drs</t>
  </si>
  <si>
    <t>ESSAR S.DRS</t>
  </si>
  <si>
    <t>Gammon India Ltd S.Drs</t>
  </si>
  <si>
    <t>Greenesol Power System S.Drs II</t>
  </si>
  <si>
    <t>GRT (VRC JWELLERS) S.DRS</t>
  </si>
  <si>
    <t>Indure Pvt Ltd S.Drs</t>
  </si>
  <si>
    <t>J.P.Balaji S.Drs</t>
  </si>
  <si>
    <t>J.P.Cement Bara S.Drs</t>
  </si>
  <si>
    <t>J.P.Cement Dalla Chimney S.Drs</t>
  </si>
  <si>
    <t>J.P.Cement Dalla S.Drs</t>
  </si>
  <si>
    <t>J.P.Cement Shahabad Chimney S.Drs</t>
  </si>
  <si>
    <t>J.P.Cement Shahabad Silo S.Drs</t>
  </si>
  <si>
    <t>J.P.Cement Sidhi Chimney S.Drs</t>
  </si>
  <si>
    <t>J.P.Cement Sidhi II S.Drs</t>
  </si>
  <si>
    <t>J.P.Cement Sidhi S.Drs</t>
  </si>
  <si>
    <t>J.P.NALIA CHIMNEY II S. Drs</t>
  </si>
  <si>
    <t>J.P Naliya Chimney S.Drs</t>
  </si>
  <si>
    <t>Madras Cement .R.R.Nagar S.Drs</t>
  </si>
  <si>
    <t>Monnet Ispat &amp; Energy S.Drs</t>
  </si>
  <si>
    <t>Monnet Ispat Iv (Purchase) S.Drs</t>
  </si>
  <si>
    <t>Monnet Ispat Iv S.Drs</t>
  </si>
  <si>
    <t>Murali Industries LImited - S.Drs</t>
  </si>
  <si>
    <t>Navabharat Energy I Ltd S.Drs</t>
  </si>
  <si>
    <t>Nava Bharat Ventures Ltd S.Drs</t>
  </si>
  <si>
    <t>Ncc Pvt Ltd S.Drs</t>
  </si>
  <si>
    <t>Saikrupa Sakhar Karkhana Ltd, S.Drs</t>
  </si>
  <si>
    <t>SBQ Steel II S.Drs</t>
  </si>
  <si>
    <t>Shraddha Ispat S.Drs</t>
  </si>
  <si>
    <t>Shree Kedarnath Sugar &amp; Agro Products S.Drs</t>
  </si>
  <si>
    <t>Shri Girija Alloy Power Chy. S.Drs</t>
  </si>
  <si>
    <t>Shri Girija Alloy Power Silo S.Drs</t>
  </si>
  <si>
    <t>Shri Girija Alloys Power Chimney II S.Drs</t>
  </si>
  <si>
    <t>Spark Green Energy (Satara) Ltd S.Drs</t>
  </si>
  <si>
    <t>Sri Renuka Sugar (Gulbarga) S.Drs</t>
  </si>
  <si>
    <t>Sri Vinayaka Paper &amp; Board Ltd S.Drs</t>
  </si>
  <si>
    <t>Surana Industries S.Drs</t>
  </si>
  <si>
    <t>Suryalakshmi Cotton Mills Ltd, S.Drs</t>
  </si>
  <si>
    <t>S.V.Power Private Limited.S.Drs</t>
  </si>
  <si>
    <t>S.V.Sugar II S.Drs</t>
  </si>
  <si>
    <t>Tamhankar Patil &amp; Associates (Kadwa Goda) S.Drs</t>
  </si>
  <si>
    <t>TEJAS - DYANESWAR  S.DRS.</t>
  </si>
  <si>
    <t>Thyssenkrupp Orient S.Drs</t>
  </si>
  <si>
    <t>Thysson Krupp Ultra Cemet S.Drs</t>
  </si>
  <si>
    <t>TVH Arignar Anna Sugar Mills S.Drs</t>
  </si>
  <si>
    <t>TVH Cheyyar Co-Op Sugar Mills S.Drs</t>
  </si>
  <si>
    <t>TVH Darmapuri Co-Op Sugar Mills S.Drs</t>
  </si>
  <si>
    <t>TVH Kallakuruchi Co-Op Sugar Mills S.Drs</t>
  </si>
  <si>
    <t>TVH Perambalur Sugar Mills S.Drs</t>
  </si>
  <si>
    <t>TVH Salem Co Op Sugar Mills S.Drs</t>
  </si>
  <si>
    <t>TVH Subramania Siva S.Drs</t>
  </si>
  <si>
    <t>Vallabh Steel Ltd - S.Drs</t>
  </si>
  <si>
    <t>Walchandnagar -  TVH  Arinar Anna S.Drs</t>
  </si>
  <si>
    <t>CHENNAI BANKS</t>
  </si>
  <si>
    <t>HDFC BANK-KILPAUK.</t>
  </si>
  <si>
    <t>IB - CHETPET [SIL]</t>
  </si>
  <si>
    <t>ICICI - KILPAUK</t>
  </si>
  <si>
    <t>PNB - TAYLORS ROAD</t>
  </si>
  <si>
    <t>SBI - KELLYS -I</t>
  </si>
  <si>
    <t>SBI - KELLYS - II</t>
  </si>
  <si>
    <t>SBI - KILPAUK - II</t>
  </si>
  <si>
    <t>SBI - KILPAUK - III</t>
  </si>
  <si>
    <t>SBI - KILPAUK [SIL]</t>
  </si>
  <si>
    <t>South Indian Bank</t>
  </si>
  <si>
    <t>MVM BANK</t>
  </si>
  <si>
    <t>IB - MYM [SIL]</t>
  </si>
  <si>
    <t>ICICI - Mayiladuthurai</t>
  </si>
  <si>
    <t>INDIAN BANK MVM</t>
  </si>
  <si>
    <t>INDIAN BANK MVM II A/C</t>
  </si>
  <si>
    <t>IOB MYM [S&amp;C]</t>
  </si>
  <si>
    <t>L.V.B THIRUKADIYUR</t>
  </si>
  <si>
    <t>Abhijeet II Site</t>
  </si>
  <si>
    <t>Alagu Jothi Foot Path Site</t>
  </si>
  <si>
    <t>AVC ADD. CLASS ROOM SITE</t>
  </si>
  <si>
    <t>AVC MBA BLOCK SITE</t>
  </si>
  <si>
    <t>Avc Multi Purpose Hall Site</t>
  </si>
  <si>
    <t>Avc Polytechnic College Site</t>
  </si>
  <si>
    <t>Avc Sports Gallery Site</t>
  </si>
  <si>
    <t>Bhubaneshwar Power Site</t>
  </si>
  <si>
    <t>CHENNAI OFFICE</t>
  </si>
  <si>
    <t>Coromandal Simon Site</t>
  </si>
  <si>
    <t>Coromandal -Ultra Tech Site</t>
  </si>
  <si>
    <t>DAAC Compound Wall Site</t>
  </si>
  <si>
    <t>DAAC Site</t>
  </si>
  <si>
    <t>Girija Silo Site</t>
  </si>
  <si>
    <t>ITC IV SITE</t>
  </si>
  <si>
    <t>J.P.Balaji Chimney Site</t>
  </si>
  <si>
    <t>J.P. Balaji II Silo Site</t>
  </si>
  <si>
    <t>J.P.Cement Nalia Site</t>
  </si>
  <si>
    <t>J.P.Cement Sidhi Chimney Site</t>
  </si>
  <si>
    <t>J.P.Cement Sidhi Site</t>
  </si>
  <si>
    <t>J.P. CEMENT WANAKBORI SITE</t>
  </si>
  <si>
    <t>J.P. Jetty Site</t>
  </si>
  <si>
    <t>Laxmi Organic Industries Site</t>
  </si>
  <si>
    <t>Lokmangal Sugar Ethanal Site</t>
  </si>
  <si>
    <t>Madras Cement Site</t>
  </si>
  <si>
    <t>Magnus Site</t>
  </si>
  <si>
    <t>McNally Bharat  Engg Co Site</t>
  </si>
  <si>
    <t>Monnet Ispat &amp; Energy II Site</t>
  </si>
  <si>
    <t>Monnet Ispat &amp; Energy Site</t>
  </si>
  <si>
    <t>Nest Promoters Site</t>
  </si>
  <si>
    <t>New Street Site</t>
  </si>
  <si>
    <t>NMDC ( NCC) Site</t>
  </si>
  <si>
    <t>OPG Power Silo Site</t>
  </si>
  <si>
    <t>Sathiapal Constructions</t>
  </si>
  <si>
    <t>SEIL CHIMNEY HO</t>
  </si>
  <si>
    <t>SEIL Chimney Sec Chennai</t>
  </si>
  <si>
    <t>SEIL Chimney Sec Myl</t>
  </si>
  <si>
    <t>Shree Cement Site</t>
  </si>
  <si>
    <t>Shree Renuka Sugar Site</t>
  </si>
  <si>
    <t>Spark Green Energy (Satara) Site</t>
  </si>
  <si>
    <t>Thermax - Grasim Industries Site</t>
  </si>
  <si>
    <t>Thirukadaiyur Yaga Mandabam Site</t>
  </si>
  <si>
    <t>TNPL Ii Site</t>
  </si>
  <si>
    <t>TVH-Dharmapuri Co-Op Sugar Mill Site</t>
  </si>
  <si>
    <t>TVH-Kallakuruchi II Site</t>
  </si>
  <si>
    <t>TVH Perambalur Site</t>
  </si>
  <si>
    <t>Tvh-Salem Co-Operative Sugar Site</t>
  </si>
  <si>
    <t>Vandana Energy &amp; Steels Site</t>
  </si>
  <si>
    <t>ANGUSAMY.P</t>
  </si>
  <si>
    <t>Asok Kumar .G</t>
  </si>
  <si>
    <t>Gurumoorthy.K</t>
  </si>
  <si>
    <t>Jagadeesh-Mmd</t>
  </si>
  <si>
    <t>KANNAN.T</t>
  </si>
  <si>
    <t>Karthick.R.</t>
  </si>
  <si>
    <t>MAHENDRAN.M</t>
  </si>
  <si>
    <t>Nandakumar.M</t>
  </si>
  <si>
    <t>NATARAJAN .P</t>
  </si>
  <si>
    <t>Prasanth Shahoo</t>
  </si>
  <si>
    <t>Rajasekar.G(GM)</t>
  </si>
  <si>
    <t>Rajasekar.R</t>
  </si>
  <si>
    <t>RAJENDRAN.K</t>
  </si>
  <si>
    <t>RAVI.G (GM)</t>
  </si>
  <si>
    <t>RAVI.G.MMD</t>
  </si>
  <si>
    <t>Sabapathy.P</t>
  </si>
  <si>
    <t>Sivaprakasam.R</t>
  </si>
  <si>
    <t>Vijayakumar.S</t>
  </si>
  <si>
    <t>VIJAYALAKSHMI .Y.</t>
  </si>
  <si>
    <t>Vijayaragavan.S</t>
  </si>
  <si>
    <t>Water for Contruction</t>
  </si>
  <si>
    <t>DUCT OPENING WAGES</t>
  </si>
  <si>
    <t>Galvanizing</t>
  </si>
  <si>
    <t>D.G HIRE AND MAINTANANCE</t>
  </si>
  <si>
    <t>ARJUDESWARAR S.D</t>
  </si>
  <si>
    <t>AVC ARTS COLLEGE S.D</t>
  </si>
  <si>
    <t>AVC ENG TOILET S.D</t>
  </si>
  <si>
    <t>AVC SUPPLEMENTARY WORKS S.D</t>
  </si>
  <si>
    <t>D.AATHINAM PERALAM S.D</t>
  </si>
  <si>
    <t>D.AATHINAM T.KUVALAI S.D</t>
  </si>
  <si>
    <t>D.AATHINAM V.KOIL I I S.D</t>
  </si>
  <si>
    <t>KVK Bio Energy - SD</t>
  </si>
  <si>
    <t>NANDI SSK S.D</t>
  </si>
  <si>
    <t>Neeraj Power Ltd - SD</t>
  </si>
  <si>
    <t>PURTI SSK LTD S.D</t>
  </si>
  <si>
    <t>P.W.D. PONDY S.D</t>
  </si>
  <si>
    <t>S.D</t>
  </si>
  <si>
    <t>Tata Power Company Ltd S.D</t>
  </si>
  <si>
    <t>TNPL-III-S.D</t>
  </si>
  <si>
    <t>UNITED INDIA INSURANCE S.D</t>
  </si>
  <si>
    <t>URC CON P LTD S.D</t>
  </si>
  <si>
    <t>Usha Martin SD</t>
  </si>
  <si>
    <t>AVC LIBRARY BLOCK T.D.S</t>
  </si>
  <si>
    <t>AVC TEMPLE TDS</t>
  </si>
  <si>
    <t>B.S.PILLAI TDS</t>
  </si>
  <si>
    <t>Dalmia Cement G.W.T.D.S</t>
  </si>
  <si>
    <t>EID Parry Ltd. TDS</t>
  </si>
  <si>
    <t>Ispat Godawari Ltd Tds</t>
  </si>
  <si>
    <t>Neeraj Power Ltd - Tds</t>
  </si>
  <si>
    <t>RK POWERGEN LTD TDS</t>
  </si>
  <si>
    <t>TCPL TDS</t>
  </si>
  <si>
    <t>TDS</t>
  </si>
  <si>
    <t>TRIVENI ENGG.&amp;INDUS.LTD - TDS</t>
  </si>
  <si>
    <t>D.G Deposit</t>
  </si>
  <si>
    <t>Anna Hoshy-Coral Flat</t>
  </si>
  <si>
    <t xml:space="preserve"> OTHER LONG TERM LIABILITIES</t>
  </si>
  <si>
    <t>Repairs &amp; Maintenance</t>
  </si>
  <si>
    <t>Rent</t>
  </si>
  <si>
    <t>Postage &amp; Telephones</t>
  </si>
  <si>
    <t>OFFICE MAINTENANCE</t>
  </si>
  <si>
    <t>Local Conveyance</t>
  </si>
  <si>
    <t>Windows &amp; Doors</t>
  </si>
  <si>
    <t>Tiles</t>
  </si>
  <si>
    <t>Sanitary Materials</t>
  </si>
  <si>
    <t>Plumbing Materials</t>
  </si>
  <si>
    <t>Petrol Diesel &amp; Grease</t>
  </si>
  <si>
    <t>Painting Materials</t>
  </si>
  <si>
    <t>Misc Materials</t>
  </si>
  <si>
    <t>Electrical Materials</t>
  </si>
  <si>
    <t>Consumables</t>
  </si>
  <si>
    <t>Binding Wire</t>
  </si>
  <si>
    <t>Mayiladuthurai</t>
  </si>
  <si>
    <t>Vehicle</t>
  </si>
  <si>
    <t>SUB - CONTRACTORS</t>
  </si>
  <si>
    <t>Crs for Supplier</t>
  </si>
  <si>
    <t>Crs for Sub-Contractors</t>
  </si>
  <si>
    <t>Crs for Expenses</t>
  </si>
  <si>
    <t>Less: Bank balances not considered as Cash and cash equivalents as defined in AS 3 Cash Flow Statements (give details)</t>
  </si>
  <si>
    <t>Add: Current investments considered as part of Cash and cash equivalents (as defined in AS 3 Cash Flow Statements) (Refer Note (ii) to Note 16 Current investments)</t>
  </si>
  <si>
    <t>TDS payable</t>
  </si>
  <si>
    <t>PF payable</t>
  </si>
  <si>
    <t>(ii) Audit Fees Payable</t>
  </si>
  <si>
    <t>Interest on late payment of Tax</t>
  </si>
  <si>
    <t>Provision for Income Tax</t>
  </si>
  <si>
    <t>Place : Chennai</t>
  </si>
  <si>
    <t>Net Cash and cash equivalents (as defined in AS 3 Cash Flow Statements) included in Note 16</t>
  </si>
  <si>
    <t>Cash and cash equivalents as per Balance Sheet (Refer Note 16)</t>
  </si>
  <si>
    <t>In accordance with our Report of even date attached</t>
  </si>
  <si>
    <t>M/s SATHIAPAL ENGINEERS (INDIA) LIMITED</t>
  </si>
  <si>
    <t>Total Expenses</t>
  </si>
  <si>
    <t>(a) Basic &amp; Diluted</t>
  </si>
  <si>
    <t>The notes referred to above form an integral part of Cash Flow Statement</t>
  </si>
  <si>
    <t>Considered good - outstanding for less than six months</t>
  </si>
  <si>
    <t>Considered good - outstanding for more than six months</t>
  </si>
  <si>
    <t>Short term borrowings</t>
  </si>
  <si>
    <t>SEIL</t>
  </si>
  <si>
    <t>1-Apr-2014 to 31-Mar-2015</t>
  </si>
  <si>
    <t>Bharani Engg Works (Prabhakaran)</t>
  </si>
  <si>
    <t>Gopinath Malla</t>
  </si>
  <si>
    <t>Janu Engg Works</t>
  </si>
  <si>
    <t>L.K.Ahluwalia</t>
  </si>
  <si>
    <t>PF (Site) Payable</t>
  </si>
  <si>
    <t>Raghubhai D Chomal</t>
  </si>
  <si>
    <t>SATISH KUMAR NEMA</t>
  </si>
  <si>
    <t>SS Earth Movers</t>
  </si>
  <si>
    <t>Utkal Galvanizers Ltd</t>
  </si>
  <si>
    <t>V.S.PHADKE</t>
  </si>
  <si>
    <t>Vijay Electricals</t>
  </si>
  <si>
    <t>CD Integrated</t>
  </si>
  <si>
    <t>Excel Agency</t>
  </si>
  <si>
    <t>Hindustan Timber Supply Co</t>
  </si>
  <si>
    <t>Jindal Enterprises</t>
  </si>
  <si>
    <t>Konark Industrial Equipment</t>
  </si>
  <si>
    <t>Lloyds Insulation Pvt Ltd</t>
  </si>
  <si>
    <t>Mittal Traders</t>
  </si>
  <si>
    <t>Navkar Plyfort</t>
  </si>
  <si>
    <t>OSC Steel Pvt Ltd</t>
  </si>
  <si>
    <t>Pennar Industries Limited</t>
  </si>
  <si>
    <t>Premier Power Products Pvt Ltd</t>
  </si>
  <si>
    <t>Ramco Cement Ltd</t>
  </si>
  <si>
    <t>Rourkela Steel Corporation</t>
  </si>
  <si>
    <t>R.S.Trading Corporation</t>
  </si>
  <si>
    <t>Shree Vijayalakshmi Plywoods</t>
  </si>
  <si>
    <t>Sidhi Electricals</t>
  </si>
  <si>
    <t>Singhi Steel</t>
  </si>
  <si>
    <t>Softex Industries Products Pvt Ltd</t>
  </si>
  <si>
    <t>Technocraft Enterprises</t>
  </si>
  <si>
    <t>Techno India</t>
  </si>
  <si>
    <t>Vijayalakshmi Glass Palace</t>
  </si>
  <si>
    <t>E.S.Industries</t>
  </si>
  <si>
    <t>K.S.PATEL &amp; SONS</t>
  </si>
  <si>
    <t>Neela Marbles</t>
  </si>
  <si>
    <t>Parvatham Agencies</t>
  </si>
  <si>
    <t>Sakthi Aluminium &amp; Hardwares</t>
  </si>
  <si>
    <t>TRICHY STEEL CORPORATION LTD</t>
  </si>
  <si>
    <t>Ambal Jcb</t>
  </si>
  <si>
    <t>Baharul Mason</t>
  </si>
  <si>
    <t>Chandravel - Carp</t>
  </si>
  <si>
    <t>Dhamodharan - Mason</t>
  </si>
  <si>
    <t>Elavarasan - Pile Contractor</t>
  </si>
  <si>
    <t>GTR Fabrication &amp; Civil Works ITC</t>
  </si>
  <si>
    <t>Jayakumar - Sub</t>
  </si>
  <si>
    <t>Jeeva - Mason</t>
  </si>
  <si>
    <t>Kamalesh Kumar-Sub</t>
  </si>
  <si>
    <t>Karunakaran - Sub</t>
  </si>
  <si>
    <t>MANIKCHAND KUMAR SINGH - SUB</t>
  </si>
  <si>
    <t>Milan Singh - Sub</t>
  </si>
  <si>
    <t>Mohan - Tile Layer</t>
  </si>
  <si>
    <t>Mukesh - Mason (McNally)</t>
  </si>
  <si>
    <t>Narendra Singh - Sub</t>
  </si>
  <si>
    <t>Neelu - Sub</t>
  </si>
  <si>
    <t>Raghav Singh-Sub</t>
  </si>
  <si>
    <t>Rajeev Kumar- Sub</t>
  </si>
  <si>
    <t>Rakesh Kumar - Sub</t>
  </si>
  <si>
    <t>Sadham Hussain - Sub</t>
  </si>
  <si>
    <t>Sanjay Jardia - Sub</t>
  </si>
  <si>
    <t>Seethan Jain - Sub (Shahabad)</t>
  </si>
  <si>
    <t>Senthil Sapathy - Sub</t>
  </si>
  <si>
    <t>SHAIKH - SUB</t>
  </si>
  <si>
    <t>Suresh - Sub</t>
  </si>
  <si>
    <t>Suvendu Sekhar Sahoo</t>
  </si>
  <si>
    <t>THIYAGARAJAN - FITTER</t>
  </si>
  <si>
    <t>Vijay Gowtham Engineering Works</t>
  </si>
  <si>
    <t>Arumugam.P - Sub</t>
  </si>
  <si>
    <t>Muthu - Painter</t>
  </si>
  <si>
    <t>Pandiyan Ottas - Sub</t>
  </si>
  <si>
    <t>Rajagopal - Sub</t>
  </si>
  <si>
    <t>Senthil Plumber</t>
  </si>
  <si>
    <t>Arul.N - Sup</t>
  </si>
  <si>
    <t>Bolli Venkata Rama Rao - Sup</t>
  </si>
  <si>
    <t>Ganesan - Sup</t>
  </si>
  <si>
    <t>Malaya Kumar Khatua</t>
  </si>
  <si>
    <t>Balakrishnan - Sup</t>
  </si>
  <si>
    <t>Palani -Sup</t>
  </si>
  <si>
    <t>Panneer Selvam - Sup</t>
  </si>
  <si>
    <t>Rajendran Sup</t>
  </si>
  <si>
    <t>VIJAYARANGAN  - SUP</t>
  </si>
  <si>
    <t>FITTER . A. NEELAMEGAM</t>
  </si>
  <si>
    <t>FITTER B. ASAITHAMBI.</t>
  </si>
  <si>
    <t>FITTER. M. ELANGOVAN</t>
  </si>
  <si>
    <t>FITTER. N. KALAISELVAN</t>
  </si>
  <si>
    <t>FITTER.N. SELVAM</t>
  </si>
  <si>
    <t>Fitter Ravi</t>
  </si>
  <si>
    <t>FITTER.R. PALANIVEL</t>
  </si>
  <si>
    <t>FITTER.R. SELVAKUMAR</t>
  </si>
  <si>
    <t>FITTER.S. ANBU</t>
  </si>
  <si>
    <t>FITTER.S. DHAYALAN</t>
  </si>
  <si>
    <t>MASON. BALU</t>
  </si>
  <si>
    <t>MASON.N.MANIMARAN</t>
  </si>
  <si>
    <t>MASON. RAMACHANDRAN</t>
  </si>
  <si>
    <t>MASON.R. JAYACHANDIRAN</t>
  </si>
  <si>
    <t>MASON.S. PACKRISAMY</t>
  </si>
  <si>
    <t>Lakhdata SD</t>
  </si>
  <si>
    <t>Vijay Gowtham SD</t>
  </si>
  <si>
    <t>Bhuleshwar Sugar Works Ltd S.Drs</t>
  </si>
  <si>
    <t>BPPL SILO - S.Drs</t>
  </si>
  <si>
    <t>CREW LTD S.Drs</t>
  </si>
  <si>
    <t>GDCL Ultra Tech S.Drs</t>
  </si>
  <si>
    <t>Gokul Sugar S.Drs</t>
  </si>
  <si>
    <t>Indian Sugar Manufacturing Co Ltd S.Drs</t>
  </si>
  <si>
    <t>ITC Sarapakka S.Drs</t>
  </si>
  <si>
    <t>J.P.Cement Shahabad Multisec Silo S.Drs</t>
  </si>
  <si>
    <t>McNally Bharat Engg Co Ltd S.Drs</t>
  </si>
  <si>
    <t>NCC (NMDC) S.DRS</t>
  </si>
  <si>
    <t>Shri Sai Priya Sugar S.Drs</t>
  </si>
  <si>
    <t>SPY Agro Industries Ltd S.Drs</t>
  </si>
  <si>
    <t>Unique Infra</t>
  </si>
  <si>
    <t>Vijay Gowtham Mob.Adv</t>
  </si>
  <si>
    <t>Bhubaneswar Silo Site</t>
  </si>
  <si>
    <t>CREW Ltd Site</t>
  </si>
  <si>
    <t>Electrotherm III Site</t>
  </si>
  <si>
    <t>GDCL Ultratech Site</t>
  </si>
  <si>
    <t>Gokul Sugar Site</t>
  </si>
  <si>
    <t>ITC Sarapakka Site</t>
  </si>
  <si>
    <t>J.P.Cement Shahabad Multisec Silo Site</t>
  </si>
  <si>
    <t>Krishna SSK Site</t>
  </si>
  <si>
    <t>New Street Compound Wall Site</t>
  </si>
  <si>
    <t>OPG III SITE</t>
  </si>
  <si>
    <t>Shri Saipriya Sugar Site</t>
  </si>
  <si>
    <t>Thirukadyur Yaga Mandabam II Site</t>
  </si>
  <si>
    <t>Ultratech Gulbarga Site</t>
  </si>
  <si>
    <t>Ashok Kumar.R.</t>
  </si>
  <si>
    <t>RAMALINGAM.P</t>
  </si>
  <si>
    <t>Vasudevan-Driver</t>
  </si>
  <si>
    <t>Vidya.B.</t>
  </si>
  <si>
    <t>10 MM METAL</t>
  </si>
  <si>
    <t>Service Tax-RCM</t>
  </si>
  <si>
    <t>MECH.WAGES OTHER SITES</t>
  </si>
  <si>
    <t>PILING WAGES</t>
  </si>
  <si>
    <t>Barbending Wages</t>
  </si>
  <si>
    <t>Electrical Wages</t>
  </si>
  <si>
    <t>E.WORK WAGES</t>
  </si>
  <si>
    <t>FABRIC WAGES</t>
  </si>
  <si>
    <t>MECH WAGES</t>
  </si>
  <si>
    <t>Painting Wages</t>
  </si>
  <si>
    <t>Loading &amp; Unloading</t>
  </si>
  <si>
    <t>Machinery Hire Charges</t>
  </si>
  <si>
    <t>Material Intercarting</t>
  </si>
  <si>
    <t>Mobil &amp; Demobil Men</t>
  </si>
  <si>
    <t>Tea Expenses</t>
  </si>
  <si>
    <t>Temporary Accomadation</t>
  </si>
  <si>
    <t>Temporary Stores Shed</t>
  </si>
  <si>
    <t>Vehicle Hire &amp; Maintenance</t>
  </si>
  <si>
    <t>Misc.Income</t>
  </si>
  <si>
    <t>Labour Licence</t>
  </si>
  <si>
    <t>Round Off A/c</t>
  </si>
  <si>
    <t>SERVICE TAX</t>
  </si>
  <si>
    <t xml:space="preserve"> (i) Statutory remittances  </t>
  </si>
  <si>
    <t>Payables -</t>
  </si>
  <si>
    <t xml:space="preserve">     (i)  Current accounts</t>
  </si>
  <si>
    <t xml:space="preserve">Trade advances </t>
  </si>
  <si>
    <t>Other Advances</t>
  </si>
  <si>
    <t>Name of the Block</t>
  </si>
  <si>
    <t>Gross Block</t>
  </si>
  <si>
    <t xml:space="preserve">Net Block  </t>
  </si>
  <si>
    <t>Additions</t>
  </si>
  <si>
    <t>Deletion</t>
  </si>
  <si>
    <t>For the Period</t>
  </si>
  <si>
    <t>Dep                Rate</t>
  </si>
  <si>
    <t>Building</t>
  </si>
  <si>
    <t>Plant &amp; Machinary</t>
  </si>
  <si>
    <t>Computers</t>
  </si>
  <si>
    <t>Furnitures &amp; Fixtures</t>
  </si>
  <si>
    <t xml:space="preserve"> Vehicles</t>
  </si>
  <si>
    <t>Rates &amp; Taxes</t>
  </si>
  <si>
    <t>Assets</t>
  </si>
  <si>
    <t>Date of Purchase</t>
  </si>
  <si>
    <t>Amount</t>
  </si>
  <si>
    <t>No. of Days till 31 mar 2014</t>
  </si>
  <si>
    <t>Depreciation for the year</t>
  </si>
  <si>
    <t>Depreciation Rate</t>
  </si>
  <si>
    <t>&gt;180 days</t>
  </si>
  <si>
    <t>P &amp; M 1</t>
  </si>
  <si>
    <t>P &amp; M 2</t>
  </si>
  <si>
    <t>P &amp; M 3</t>
  </si>
  <si>
    <t>P &amp; M 4</t>
  </si>
  <si>
    <t>P &amp; M 5</t>
  </si>
  <si>
    <t>P &amp; M 6</t>
  </si>
  <si>
    <t>P &amp; M 7</t>
  </si>
  <si>
    <t>P &amp; M 8</t>
  </si>
  <si>
    <t>Computer 1</t>
  </si>
  <si>
    <t>Computer 2</t>
  </si>
  <si>
    <t>Net Block</t>
  </si>
  <si>
    <t>WDV</t>
  </si>
  <si>
    <t>I Half
Additions</t>
  </si>
  <si>
    <t>II Half
Additions</t>
  </si>
  <si>
    <t>Depreciation For the Year</t>
  </si>
  <si>
    <t>Motor Vehicles</t>
  </si>
  <si>
    <t xml:space="preserve"> </t>
  </si>
  <si>
    <t>Annexure - Note No.10</t>
  </si>
  <si>
    <t>Total difference</t>
  </si>
  <si>
    <t>Total (a) &amp; (b)</t>
  </si>
  <si>
    <t xml:space="preserve">(a) Depreciation </t>
  </si>
  <si>
    <t>(b) Expenses disallowed under Section 40 (ia) of the Income Tax Act, 1961</t>
  </si>
  <si>
    <t>1) Deferred Tax Assets / (Liabilities) - Opening</t>
  </si>
  <si>
    <t>2) Deferred Tax Income / (Expense) - P&amp;L</t>
  </si>
  <si>
    <t>Depreciation as per Companies Act</t>
  </si>
  <si>
    <t>Depreciation as per Income Tax Act</t>
  </si>
  <si>
    <t>Customer Advance</t>
  </si>
  <si>
    <t>1. Quoted</t>
  </si>
  <si>
    <t>2. Unquoted</t>
  </si>
  <si>
    <t>Balances with Statutory Authorities</t>
  </si>
  <si>
    <t>Interest</t>
  </si>
  <si>
    <t xml:space="preserve">Trade Receivables </t>
  </si>
  <si>
    <t>Income from Investments</t>
  </si>
  <si>
    <t>For the year ended 31 March,2015</t>
  </si>
  <si>
    <t>Ponmudi Mason</t>
  </si>
  <si>
    <t>Dividend Payable</t>
  </si>
  <si>
    <t>Thermax Instrumentation Grasim S.Drs</t>
  </si>
  <si>
    <t>Closing Wip</t>
  </si>
  <si>
    <t>AUDIT FEES</t>
  </si>
  <si>
    <t>Changes in Inventories of Finished Goods, Work in Progress and Stock in Trade</t>
  </si>
  <si>
    <t>CHANGES IN INVENTORIES OF FINISHED GOODS, WORK IN PROGRESS AND STOCK IN TRADE</t>
  </si>
  <si>
    <t>Work -in-Progress &amp; Stock</t>
  </si>
  <si>
    <t>Authorized :</t>
  </si>
  <si>
    <t>On the above balances that meet the definition of Cash and Cash Equivalents as per AS - 3</t>
  </si>
  <si>
    <t>Contract revenue recognized during the year</t>
  </si>
  <si>
    <t>Aggregate of contract costs incurred and recognized profits</t>
  </si>
  <si>
    <t>Net Proceeds from Short-term borrowings</t>
  </si>
  <si>
    <t>* Deposit Accounts with more than 12 months maturity.</t>
  </si>
  <si>
    <t xml:space="preserve">Managing Partner </t>
  </si>
  <si>
    <t>₹</t>
  </si>
  <si>
    <t>Interest Calculation</t>
  </si>
  <si>
    <t>Tax payable</t>
  </si>
  <si>
    <t>Less:TDS</t>
  </si>
  <si>
    <t>Less:Advance tax</t>
  </si>
  <si>
    <t>Balance</t>
  </si>
  <si>
    <t>Interest u/s 234B</t>
  </si>
  <si>
    <t>No of month</t>
  </si>
  <si>
    <t>Rate of Interest</t>
  </si>
  <si>
    <t>Due date</t>
  </si>
  <si>
    <t>Instalment</t>
  </si>
  <si>
    <t>Instalment paid</t>
  </si>
  <si>
    <t>Diff</t>
  </si>
  <si>
    <t>No.of month</t>
  </si>
  <si>
    <t>Rate of inter</t>
  </si>
  <si>
    <t>The financial statements of the Company have been prepared in accordance with the Generally Accepted Accounting Principles in India (Indian GAAP). The Company has prepared these financials statements to comply in all material respects with the Accounting Standards notified under the Companies (Accounting Standards) Rules, 2014 (as amended) and the relevant provisions of the Companies Act, 2013.  The financial statements have been prepared on accrual basis and the directions issued by the Reserve Bank of India to the extent applicable to the Company.</t>
  </si>
  <si>
    <t>The preparation  of the financial statements in conformity with  Indian GAAP and that  requires the Management to make estimates and assumptions that affect the reported amounts of assets and liabilities and disclosure of contingent assets and liabilities at the date of the financial statements and reported amounts of revenues and expenses during the reporting period. Although such estimates are made on a reasonable and prudent basis taking into account all available information, actual results could differ from those estimates.</t>
  </si>
  <si>
    <t>The shareholders have all other rights as available to equity shareholders as per the provisions of the Companies Act, 2013, read together with the Memorandum of Association and Articles of Association of the Company, as applicable.</t>
  </si>
  <si>
    <t xml:space="preserve">Inventories are valued at cost (on FIFO ) and  providing for obsolescence and other losses, where considered necessary.  Cost of raw materials, Packing materials, Stores, Spares and Consumables includes all charges in bringing the goods to the point of sale, including octroi and other levies, transit insurance and receiving charges. </t>
  </si>
  <si>
    <t>CASH FLOW STATEMENT FOR THE YEAR ENDED 31ST MARCH, 2016</t>
  </si>
  <si>
    <t>For the year ended 31 March,2016</t>
  </si>
  <si>
    <t>REPAIRS &amp; MAINTENANCE</t>
  </si>
  <si>
    <t>RENT</t>
  </si>
  <si>
    <t>PROFESSIONAL CHARGES</t>
  </si>
  <si>
    <t>POSTAGE &amp; TELEPHONES</t>
  </si>
  <si>
    <t>Office Maintenance</t>
  </si>
  <si>
    <t>LOCAL CONVEYANCE</t>
  </si>
  <si>
    <t>INSURANCE</t>
  </si>
  <si>
    <t>Loss on Sale of Vehicle</t>
  </si>
  <si>
    <t>I.T.Interest</t>
  </si>
  <si>
    <t>GTA SERVICE TAX</t>
  </si>
  <si>
    <t>Building Maintenance</t>
  </si>
  <si>
    <t>WORK IN PROGRASS</t>
  </si>
  <si>
    <t>Visalakshi .K- Dir Loan</t>
  </si>
  <si>
    <t>Kumaran.S Dir - Loan</t>
  </si>
  <si>
    <t>PLUMBING MATERIALS</t>
  </si>
  <si>
    <t>PETROL DIESEL &amp; GREASE</t>
  </si>
  <si>
    <t>PAINTING MATERIALS</t>
  </si>
  <si>
    <t>MISC MATERIALS</t>
  </si>
  <si>
    <t>ELECTRICAL MATERIALS</t>
  </si>
  <si>
    <t>CONSUMABLES</t>
  </si>
  <si>
    <t>BINDING WIRE</t>
  </si>
  <si>
    <t>Srinivasan.S.</t>
  </si>
  <si>
    <t>MAYILADUTHURAI</t>
  </si>
  <si>
    <t>Thyssen Andhra Sugar Site</t>
  </si>
  <si>
    <t>Thiruvenkadam House Site</t>
  </si>
  <si>
    <t>Thirukadaiyur Ornamental Work Site</t>
  </si>
  <si>
    <t>Sri Maruthi Power Gen Site</t>
  </si>
  <si>
    <t>SBQ STEEL II SITE</t>
  </si>
  <si>
    <t>Nandavanam Compound Wall Site</t>
  </si>
  <si>
    <t>KVK Energy -Nagai Power Site</t>
  </si>
  <si>
    <t>Jaganath Steel Site</t>
  </si>
  <si>
    <t>ITC Sarapakka II Site</t>
  </si>
  <si>
    <t>CCCL-Solapur Site</t>
  </si>
  <si>
    <t>Ala Dandapani Cement II Site</t>
  </si>
  <si>
    <t>Acon (Lokmaniya Sugar) Site</t>
  </si>
  <si>
    <t>Cash-in-Hand</t>
  </si>
  <si>
    <t>Vitthal Refined Sugars Ltd S.Drs</t>
  </si>
  <si>
    <t>Ultratech Gulbarga S.Drs</t>
  </si>
  <si>
    <t>TVH Energy S.Drs</t>
  </si>
  <si>
    <t>Thyssen Krupp Andhra Sugar S.Drs</t>
  </si>
  <si>
    <t>Sri Maruthi Power Gen India Pvt Ltd S.Drs</t>
  </si>
  <si>
    <t>Shri Sai Priya Sugars S.Drs II</t>
  </si>
  <si>
    <t>Shri Jagannath Steels &amp; Power Ltd - S.Drs</t>
  </si>
  <si>
    <t>SBQ Steels Ltd S.Drs</t>
  </si>
  <si>
    <t>KVK Energy- Nagai Power S.Drs</t>
  </si>
  <si>
    <t>JK Cement S.Drs</t>
  </si>
  <si>
    <t>ITC SARAPAKKA II S.DRS</t>
  </si>
  <si>
    <t>HI-TECH CARBON S.DRS</t>
  </si>
  <si>
    <t>CCCL-Solapur S.Drs</t>
  </si>
  <si>
    <t>AVC CHARITIES  SCHOOL.S.DRS</t>
  </si>
  <si>
    <t>Ala Dandapani Cement II S.Drs</t>
  </si>
  <si>
    <t>ACON (Lokmaniya ) PROJECT S.Drs</t>
  </si>
  <si>
    <t>Rekha Bhansali- Loan A/c</t>
  </si>
  <si>
    <t>Opening Stock</t>
  </si>
  <si>
    <t>VEHICLE</t>
  </si>
  <si>
    <t>PLANT &amp; MACHINERY</t>
  </si>
  <si>
    <t>Yashavant M Nalawade</t>
  </si>
  <si>
    <t>V 3S Corporation</t>
  </si>
  <si>
    <t>TSK Flyash Bricks (Sathish) - Sup</t>
  </si>
  <si>
    <t>Sabanayagam &amp; Co</t>
  </si>
  <si>
    <t>New Anand Stone Crusher-Sup</t>
  </si>
  <si>
    <t>Barun Kumar Sethy - Sup</t>
  </si>
  <si>
    <t>CRS. FOR SUPPLIER</t>
  </si>
  <si>
    <t>Vijayendiran - Sub</t>
  </si>
  <si>
    <t>TECHNOCRATES - SUB</t>
  </si>
  <si>
    <t>Sundarajan - Sub</t>
  </si>
  <si>
    <t>SUKENDAR SEIKH - SUB</t>
  </si>
  <si>
    <t>RAMESH  - SUB (SOLAPUR)</t>
  </si>
  <si>
    <t>Jayachandran. R- Sub</t>
  </si>
  <si>
    <t>Elayaraja - Sub</t>
  </si>
  <si>
    <t>Bhagavathi Raj.K Sub</t>
  </si>
  <si>
    <t>Agoramoorthy - Sub</t>
  </si>
  <si>
    <t>CRS.FOR SUB-CONTRACTORS</t>
  </si>
  <si>
    <t>Padma Iron &amp; Hardware Stores</t>
  </si>
  <si>
    <t>J.S. Interior &amp; Exteriors</t>
  </si>
  <si>
    <t>JBS Engineering</t>
  </si>
  <si>
    <t>Bhavani Saw Mill</t>
  </si>
  <si>
    <t>ACME Safety Wears Ltd</t>
  </si>
  <si>
    <t>Abirami Electricals</t>
  </si>
  <si>
    <t>CRS. FOR PURCHASE</t>
  </si>
  <si>
    <t>N.K.BHANSALI &amp; CO</t>
  </si>
  <si>
    <t>Manish Srivastava</t>
  </si>
  <si>
    <t>BUSINESS ACCOUNTING SOLUTION</t>
  </si>
  <si>
    <t>CRS FOR EXPENSES</t>
  </si>
  <si>
    <t>SEIL1516</t>
  </si>
  <si>
    <t>adve.</t>
  </si>
  <si>
    <t>bank charges</t>
  </si>
  <si>
    <t>books and periodicals</t>
  </si>
  <si>
    <t>donations</t>
  </si>
  <si>
    <t>insurance</t>
  </si>
  <si>
    <t>loss on sale of fixed asset</t>
  </si>
  <si>
    <t>Audit fees</t>
  </si>
  <si>
    <t>audit fees provision</t>
  </si>
  <si>
    <t>BROKERAGE EXP</t>
  </si>
  <si>
    <t>Material Hire Charges</t>
  </si>
  <si>
    <t>LOADING &amp; UNLOADING</t>
  </si>
  <si>
    <t>MACHINERY HIRE CHARGES</t>
  </si>
  <si>
    <t>MATERIAL INTERCARTING</t>
  </si>
  <si>
    <t>Mobil &amp; Demobil  Men</t>
  </si>
  <si>
    <t>TEA EXPENSES</t>
  </si>
  <si>
    <t>TEMPORARY ACCOMADATION</t>
  </si>
  <si>
    <t>TEMPORARY STORES SHED</t>
  </si>
  <si>
    <t>VEHICLE HIRE &amp; MAINTENANCE</t>
  </si>
  <si>
    <t>RING BEAM CASTING WAGES</t>
  </si>
  <si>
    <t>TOWER ERRECTION WAGES</t>
  </si>
  <si>
    <t>BARBENDING WAGES</t>
  </si>
  <si>
    <t>ELECTRICAL WAGES</t>
  </si>
  <si>
    <t>E. WORK WAGES</t>
  </si>
  <si>
    <t>FABRIC - WAGES</t>
  </si>
  <si>
    <t>MECH.WAGES</t>
  </si>
  <si>
    <t>PAINTING WAGES</t>
  </si>
  <si>
    <t xml:space="preserve">    Interest accrued on deposits</t>
  </si>
  <si>
    <t>Contract receipts</t>
  </si>
  <si>
    <t xml:space="preserve"> Cash in hand</t>
  </si>
  <si>
    <t>Balances with divisions</t>
  </si>
  <si>
    <t>Bank accounts</t>
  </si>
  <si>
    <t xml:space="preserve">      Deposits with banks </t>
  </si>
  <si>
    <t>Group Summary</t>
  </si>
  <si>
    <t>1-Oct-2015 to 31-Mar-2016</t>
  </si>
  <si>
    <t>Opening</t>
  </si>
  <si>
    <t>Transactions</t>
  </si>
  <si>
    <t>Closing</t>
  </si>
  <si>
    <t>AVC Mandapam S.Drs</t>
  </si>
  <si>
    <t>AVC MPH S.DRS</t>
  </si>
  <si>
    <t>Dharmapuram College II S.Drs</t>
  </si>
  <si>
    <t>Electrotherm III S.Drs</t>
  </si>
  <si>
    <t>Finolex S.Drs</t>
  </si>
  <si>
    <t>Godavari Biorefineries Ltd S.Drs</t>
  </si>
  <si>
    <t>Krishna Ssk S.Drs</t>
  </si>
  <si>
    <t>Natarajar Temple Cdm S.Drs</t>
  </si>
  <si>
    <t>Nest Apartment S.Drs</t>
  </si>
  <si>
    <t>Thirukadaiyur Yaga Mandapam S.Drs</t>
  </si>
  <si>
    <t>Thiruvenkadam House Tkdr S.Drs</t>
  </si>
  <si>
    <t xml:space="preserve"> Security deposits </t>
  </si>
  <si>
    <t>Service Tax, dividend tax etc</t>
  </si>
  <si>
    <t>Expenses Payable</t>
  </si>
  <si>
    <t>other advances</t>
  </si>
  <si>
    <t>Other loans and advances</t>
  </si>
  <si>
    <t>Loans from directors</t>
  </si>
  <si>
    <t>dr</t>
  </si>
  <si>
    <t>Fixed Asset Additions</t>
  </si>
  <si>
    <t>Date</t>
  </si>
  <si>
    <t>Iind half</t>
  </si>
  <si>
    <t>Fixed Asset Deletions</t>
  </si>
  <si>
    <t>(b) Other loans and advances - (Unsecured)</t>
  </si>
  <si>
    <t>Depreciable amount for assets is the cost of an asset, or other amount substituted for cost, less its estimated residual value. Depreciation on tangible fixed assets has been provided on Straight Line value method as per the useful life prescribed in Schedule II to the Companies Act, 2013.</t>
  </si>
  <si>
    <t>Micro,Small and Medium Enterprises</t>
  </si>
  <si>
    <t xml:space="preserve">trade payables </t>
  </si>
  <si>
    <t>Cash in Hand</t>
  </si>
  <si>
    <t>Building - WIP</t>
  </si>
  <si>
    <t>Useful Life</t>
  </si>
  <si>
    <t>90% calaculation</t>
  </si>
  <si>
    <t>Gap</t>
  </si>
  <si>
    <t>FY 2015-16</t>
  </si>
  <si>
    <t xml:space="preserve">Demerger </t>
  </si>
  <si>
    <t xml:space="preserve">Date </t>
  </si>
  <si>
    <t>DR</t>
  </si>
  <si>
    <t>CR</t>
  </si>
  <si>
    <t>In the books of M/s SATHIAPAL ENGINEERS (INDIA) LIMITED</t>
  </si>
  <si>
    <t>LAND CR</t>
  </si>
  <si>
    <t>BUILDING CR</t>
  </si>
  <si>
    <t>RESERVE DR</t>
  </si>
  <si>
    <t xml:space="preserve">(c) IOB </t>
  </si>
  <si>
    <t>S. No.</t>
  </si>
  <si>
    <t>Deletion out of additions</t>
  </si>
  <si>
    <t>1-Apr-2016 to 31-Mar-2017</t>
  </si>
  <si>
    <t>Hi-Tech Calibration Services</t>
  </si>
  <si>
    <t>Hitech Concrete Solution Chennai Pvt Ltd</t>
  </si>
  <si>
    <t>Jayam Engineering Works</t>
  </si>
  <si>
    <t>J.S.Metal Graft (Jeevanatham)</t>
  </si>
  <si>
    <t>S.R.COMPUTERS</t>
  </si>
  <si>
    <t>Sri Amman Lath Works</t>
  </si>
  <si>
    <t>Vinayaga Earth Movers (Jcb)</t>
  </si>
  <si>
    <t>Agar Engineers Pvt Ltd</t>
  </si>
  <si>
    <t>Arihant Corporation</t>
  </si>
  <si>
    <t>A.S.Enterprises</t>
  </si>
  <si>
    <t>Ashish Carting</t>
  </si>
  <si>
    <t>Ashish Suppliers</t>
  </si>
  <si>
    <t>Chennai Steeel Company</t>
  </si>
  <si>
    <t>Chennai Steel Company</t>
  </si>
  <si>
    <t>Darshana Enterprises</t>
  </si>
  <si>
    <t>Deva Agencies</t>
  </si>
  <si>
    <t>Dhandapani Cement (P)Ltd</t>
  </si>
  <si>
    <t>Ganesh Electricals</t>
  </si>
  <si>
    <t>G K S  Industries</t>
  </si>
  <si>
    <t>Green Fos Pumps</t>
  </si>
  <si>
    <t>Hilti India Pvt Ltd</t>
  </si>
  <si>
    <t>Jalaram Hardware Stores</t>
  </si>
  <si>
    <t>Lakshmi Electricals &amp; Hardwares</t>
  </si>
  <si>
    <t>Maha Marbles</t>
  </si>
  <si>
    <t>National Tube &amp; Alloy Steel Corporation</t>
  </si>
  <si>
    <t>Navkar Ply Port</t>
  </si>
  <si>
    <t>New Shanteri Saw Mill</t>
  </si>
  <si>
    <t>PMG Containers (P) Ltd</t>
  </si>
  <si>
    <t>Premier Agencies</t>
  </si>
  <si>
    <t>Raghavendra Power Tools</t>
  </si>
  <si>
    <t>Sanjay Engineering Co</t>
  </si>
  <si>
    <t>Senbaga Tiles Shoppee</t>
  </si>
  <si>
    <t>Seyon Enterprises</t>
  </si>
  <si>
    <t>Spartan Engineering Industry Pvt Ltd</t>
  </si>
  <si>
    <t>SRINIVASH TIMBERS MVM</t>
  </si>
  <si>
    <t>Stroke Equipments India Pvt Ltd</t>
  </si>
  <si>
    <t>UltraTech Cement Limited</t>
  </si>
  <si>
    <t>R.S.Enterprises</t>
  </si>
  <si>
    <t>Sri Gokulam Tiles House</t>
  </si>
  <si>
    <t>Sri Kutti Associates</t>
  </si>
  <si>
    <t>Suryadev Alloys Power Pvt Ltd</t>
  </si>
  <si>
    <t>Ajay Barma - Sub</t>
  </si>
  <si>
    <t>Ajay Singh - Sub</t>
  </si>
  <si>
    <t>AKILESH  - SUB</t>
  </si>
  <si>
    <t>Arihant Enterprises</t>
  </si>
  <si>
    <t>Awadesh Kumar - Sub</t>
  </si>
  <si>
    <t>Awadh Constructions</t>
  </si>
  <si>
    <t>Ayagaran Art Gallery</t>
  </si>
  <si>
    <t>AYYATHURAI PAINTER</t>
  </si>
  <si>
    <t>Babu Mason</t>
  </si>
  <si>
    <t>Balu Carp (Mvm)</t>
  </si>
  <si>
    <t>Basappa - Sub</t>
  </si>
  <si>
    <t>Bikkiya Painter</t>
  </si>
  <si>
    <t>Binod Shaw - Sub</t>
  </si>
  <si>
    <t>Deepak Singh - Sub</t>
  </si>
  <si>
    <t>Durgesh Kumar Jha -Sub</t>
  </si>
  <si>
    <t>Elayaraja - MVM</t>
  </si>
  <si>
    <t>Gajendar Sharma - Sub (Jk)</t>
  </si>
  <si>
    <t>Jamshed Ansari-Sub</t>
  </si>
  <si>
    <t>Jayakumar Mason - Mvm</t>
  </si>
  <si>
    <t>Kishore - Sub (JK)</t>
  </si>
  <si>
    <t>Kumar (Carpenter)</t>
  </si>
  <si>
    <t>Kumaresan - Sub</t>
  </si>
  <si>
    <t>Lotus Infracon</t>
  </si>
  <si>
    <t>Mohan Dass - Carpenter</t>
  </si>
  <si>
    <t>Nagarajan.R - Sub</t>
  </si>
  <si>
    <t>Natarajan.K - Carp</t>
  </si>
  <si>
    <t>Natarajan.K (Gokul Elect) MVM</t>
  </si>
  <si>
    <t>PANDIYAN MASON (MVM)</t>
  </si>
  <si>
    <t>PANDU RAMAPPA BADHAMI - SUB</t>
  </si>
  <si>
    <t>Panneer Selvam Mason</t>
  </si>
  <si>
    <t>Ramadurai - Sub</t>
  </si>
  <si>
    <t>Ramesh.G.K - Sub</t>
  </si>
  <si>
    <t>SADAYAPPAN - CARP</t>
  </si>
  <si>
    <t>Sakthivel - Sub</t>
  </si>
  <si>
    <t>Sashi Meheto</t>
  </si>
  <si>
    <t>Sathish Kumar-Sub</t>
  </si>
  <si>
    <t>SEKAR - CARP (T.Chandrasekar)</t>
  </si>
  <si>
    <t>Shivnarayan S Patil-Sub</t>
  </si>
  <si>
    <t>S.K RAI CARP - SUB</t>
  </si>
  <si>
    <t>Subramaniyam Avc P Site</t>
  </si>
  <si>
    <t>Sunrise Corporation</t>
  </si>
  <si>
    <t>Vadivel - Sub</t>
  </si>
  <si>
    <t>Vishnu Gandhi - Sub</t>
  </si>
  <si>
    <t>WAGES OUTSTANDING</t>
  </si>
  <si>
    <t>Yogesh - Sub</t>
  </si>
  <si>
    <t>Selvam Fitter</t>
  </si>
  <si>
    <t>Shanmugam.K  - Sub</t>
  </si>
  <si>
    <t>Sudhakar - Sub</t>
  </si>
  <si>
    <t>Velmurugan - Sub</t>
  </si>
  <si>
    <t>AJ Stone Crusher-Sup</t>
  </si>
  <si>
    <t>Andhra Sugars Ltd-Sup</t>
  </si>
  <si>
    <t>Darshana Carting - Sup</t>
  </si>
  <si>
    <t>Kaliyamoorthy - Sup (Mk Bricks)</t>
  </si>
  <si>
    <t>Karthar Singh P-Sup</t>
  </si>
  <si>
    <t>Mallappa - Sup</t>
  </si>
  <si>
    <t>Murugesh - Sup</t>
  </si>
  <si>
    <t>N.K.M. Transport</t>
  </si>
  <si>
    <t>Rajkumar - Sup</t>
  </si>
  <si>
    <t>Shanker Rao-Sup</t>
  </si>
  <si>
    <t>Shree Mahabir Refractories Works</t>
  </si>
  <si>
    <t>Shri Durgesh Moulding Works</t>
  </si>
  <si>
    <t>Siddu Pusary - Sup</t>
  </si>
  <si>
    <t>Vasanth Kondirav Patel - Sup</t>
  </si>
  <si>
    <t>Ashok Kumar - Sup</t>
  </si>
  <si>
    <t>Security Wages</t>
  </si>
  <si>
    <t>Aarti Industries Limited S.Drs</t>
  </si>
  <si>
    <t>Athani Sugars Ltd S.Drs</t>
  </si>
  <si>
    <t>Goel Construction Co S.Drs</t>
  </si>
  <si>
    <t>JK Cement III (C.F.Silo) S.Drs</t>
  </si>
  <si>
    <t>JK Cement II (Jacketing) S.Drs</t>
  </si>
  <si>
    <t>L&amp;T (ADILABAD) S.DRS</t>
  </si>
  <si>
    <t>L&amp;T S.Drs</t>
  </si>
  <si>
    <t>Muthuselvam (MMS) S.Drs</t>
  </si>
  <si>
    <t>Nagarjuna Cement Ltd S.Drs</t>
  </si>
  <si>
    <t>NCC Ltd S.Drs</t>
  </si>
  <si>
    <t>Penna Cement Industries Ltd S.Drs</t>
  </si>
  <si>
    <t>Penna Cement Multisec Silo S.Drs</t>
  </si>
  <si>
    <t>Sharayu Agro Ltd S.Drs</t>
  </si>
  <si>
    <t>Shri Bhimashankar SSK S.Drs</t>
  </si>
  <si>
    <t>Sri Ganesan Enterprises S.Drs</t>
  </si>
  <si>
    <t>Streafa Project Pvt Ltd S.Drs</t>
  </si>
  <si>
    <t>Tata Steel Ltd - S.Drs</t>
  </si>
  <si>
    <t>VR Earth Movers S.Drs</t>
  </si>
  <si>
    <t>Aarthi Industries Site</t>
  </si>
  <si>
    <t>Amirthakadeswarar Gurukkal Site</t>
  </si>
  <si>
    <t>Athani Sugars Site</t>
  </si>
  <si>
    <t>Daac Addtional C.W. Site</t>
  </si>
  <si>
    <t>DAAC Cycle Stand Site</t>
  </si>
  <si>
    <t>Deepak Phenolics Ltd Site</t>
  </si>
  <si>
    <t>Goel Construction Site</t>
  </si>
  <si>
    <t>Gokul Mouli Sugar Site</t>
  </si>
  <si>
    <t>Gujarat Ambuja Exports Site</t>
  </si>
  <si>
    <t>Hotel Sadhabisegam Tkdr Site</t>
  </si>
  <si>
    <t>J.K.Cement II (Jacketing) Site</t>
  </si>
  <si>
    <t>L &amp; T (ADILABAD UNIT) Site</t>
  </si>
  <si>
    <t>L &amp; T (KHAMMAM UNIT)  SITE</t>
  </si>
  <si>
    <t>L &amp; T Wagaithanda Site</t>
  </si>
  <si>
    <t>Manakkudi Site</t>
  </si>
  <si>
    <t>MMS Building Site</t>
  </si>
  <si>
    <t>Nagarjuna Site</t>
  </si>
  <si>
    <t>NCC Vikarabad Site</t>
  </si>
  <si>
    <t>Penna Cement Jetty Silo Site</t>
  </si>
  <si>
    <t>Penna Cement Multisection Silo Site</t>
  </si>
  <si>
    <t>PRG Buildcon Site</t>
  </si>
  <si>
    <t>PRG.Buildcon Svits Site</t>
  </si>
  <si>
    <t>Seksaria Biswan Sugar Site</t>
  </si>
  <si>
    <t>Sharayu Agro Ltd Site</t>
  </si>
  <si>
    <t>Shri Bhimashankar SSK Site</t>
  </si>
  <si>
    <t>Streafa Project Pvt Ltd Site</t>
  </si>
  <si>
    <t>Superintendent House Site</t>
  </si>
  <si>
    <t>TaTa Steel Site</t>
  </si>
  <si>
    <t>Vilanagar C.W Site</t>
  </si>
  <si>
    <t>VR Earth Movers  Site</t>
  </si>
  <si>
    <t>Priyanka.K.</t>
  </si>
  <si>
    <t>Ramasamy.K.</t>
  </si>
  <si>
    <t>Ranjith Kumar</t>
  </si>
  <si>
    <t>Water for Construction</t>
  </si>
  <si>
    <t>Suhashini K -Dir Loan</t>
  </si>
  <si>
    <t>Saravanan.K.P. Ceebrass Flat</t>
  </si>
  <si>
    <t>Mech Wages HO</t>
  </si>
  <si>
    <t>EARTH EXCAVATION WAGES</t>
  </si>
  <si>
    <t>BAD DEBTS</t>
  </si>
  <si>
    <t>Bonus</t>
  </si>
  <si>
    <t>Professional Tax</t>
  </si>
  <si>
    <t>This has been came twice in TB. Becz, of this TB is not tallying.</t>
  </si>
  <si>
    <t>Other Shareholders</t>
  </si>
  <si>
    <t>OLTL RENT</t>
  </si>
  <si>
    <t>OLTL SD</t>
  </si>
  <si>
    <t>STB - LFD</t>
  </si>
  <si>
    <t>SC</t>
  </si>
  <si>
    <t>OCL STAX</t>
  </si>
  <si>
    <t>OCL PFPAY</t>
  </si>
  <si>
    <t>OCL TDSPAY</t>
  </si>
  <si>
    <t>OCL EXPPAY</t>
  </si>
  <si>
    <t>OCL CADV</t>
  </si>
  <si>
    <t>OCL CUSADV</t>
  </si>
  <si>
    <t>NCI</t>
  </si>
  <si>
    <t>Non Current Investments</t>
  </si>
  <si>
    <t>Short Term Borrowings - Loan from directors</t>
  </si>
  <si>
    <t>LTLA SD</t>
  </si>
  <si>
    <t>Long Term Loans and Advances - Security Deposits</t>
  </si>
  <si>
    <t>LTLA OADV</t>
  </si>
  <si>
    <t>SD</t>
  </si>
  <si>
    <t>CASH</t>
  </si>
  <si>
    <t>BWDIV</t>
  </si>
  <si>
    <t>Cash and Cash Equivalents - Balances with Divisions</t>
  </si>
  <si>
    <t>Cash and Cash Equivalents - Cash in Hand</t>
  </si>
  <si>
    <t>CACCOUNT</t>
  </si>
  <si>
    <t>Cash and cash Equivalents - Current Accounts</t>
  </si>
  <si>
    <t>DWBANK</t>
  </si>
  <si>
    <t>Long Term Loans and Advances - Other loans and Advances</t>
  </si>
  <si>
    <t>Cash and Cash Equivalents - Deposits with Banks</t>
  </si>
  <si>
    <t>STLA ATEMP</t>
  </si>
  <si>
    <t>Short Term Loans and Advances - Advance to Employees</t>
  </si>
  <si>
    <t>STLA TADV</t>
  </si>
  <si>
    <t>Short Term Loans and Advances - Trade Advance</t>
  </si>
  <si>
    <t>STLA OADV</t>
  </si>
  <si>
    <t>Short Term Loans and Advances - Other Advance</t>
  </si>
  <si>
    <t>STLA TDSR</t>
  </si>
  <si>
    <t>Short Term Loand and Advances - TDS Receivables</t>
  </si>
  <si>
    <t>STLA ADVTAX</t>
  </si>
  <si>
    <t>Short Term Loand and Advances - Advance tax</t>
  </si>
  <si>
    <t>OCA INTREC</t>
  </si>
  <si>
    <t>Other Current Assets - Interest Accrued on Deposits</t>
  </si>
  <si>
    <t>CONREC</t>
  </si>
  <si>
    <t>Revenue from Operations - construction and Project Activity</t>
  </si>
  <si>
    <t>OI INTREC</t>
  </si>
  <si>
    <t>OI RENT</t>
  </si>
  <si>
    <t>Other Income -  Rent Received</t>
  </si>
  <si>
    <t>Other Income -  Interest Received</t>
  </si>
  <si>
    <t>CONSMC</t>
  </si>
  <si>
    <t>Construction &amp; Operating Expenses - Construction Material Consumed</t>
  </si>
  <si>
    <t>Construction &amp; Operating Expenses - Wages Paid</t>
  </si>
  <si>
    <t>CONSWEXP</t>
  </si>
  <si>
    <t>Construction &amp; Operating Expenses - Construction Work Expenses</t>
  </si>
  <si>
    <t>SALAWAGES</t>
  </si>
  <si>
    <t>Employee Benefit Expenses - Salaries and Wages</t>
  </si>
  <si>
    <t>CONWF</t>
  </si>
  <si>
    <t>Employee Benefit Expenses - Contribution to Provident and Other Funds</t>
  </si>
  <si>
    <t>DREMU</t>
  </si>
  <si>
    <t>Employee Benefit Expenses - Directors Remuneration</t>
  </si>
  <si>
    <t>STAFFWEL</t>
  </si>
  <si>
    <t>Employee Benefit Expenses - Staff Welfare Expenses</t>
  </si>
  <si>
    <t>ADVT</t>
  </si>
  <si>
    <t>Administrative &amp; Other Expenses - Advertisement</t>
  </si>
  <si>
    <t>BCHARGES</t>
  </si>
  <si>
    <t>Administrative &amp; Other Expenses - Bank Charges</t>
  </si>
  <si>
    <t>Administrative &amp; Other Expenses - Insurance</t>
  </si>
  <si>
    <t>Administrative &amp; Other Expenses - Pooja Expenses</t>
  </si>
  <si>
    <t>Administrative &amp; Other Expenses - Rent</t>
  </si>
  <si>
    <t>Administrative &amp; Other Expenses - Books &amp; Periodicals</t>
  </si>
  <si>
    <t>Administrative &amp; Other Expenses - Marketing Expenses</t>
  </si>
  <si>
    <t>BAPERIOD</t>
  </si>
  <si>
    <t>DON</t>
  </si>
  <si>
    <t>Administrative &amp; Other Expenses - Donations and Contributions</t>
  </si>
  <si>
    <t>INSU</t>
  </si>
  <si>
    <t>INTOTAX</t>
  </si>
  <si>
    <t>Administrative &amp; Other Expenses - Interest on Late payment of Taxes</t>
  </si>
  <si>
    <t>PROCHARG</t>
  </si>
  <si>
    <t>Administrative &amp; Other Expenses - Legal and Professional</t>
  </si>
  <si>
    <t>MEXP</t>
  </si>
  <si>
    <t>MISCEXP</t>
  </si>
  <si>
    <t>Administrative &amp; Other Expenses - Miscellaneous Expenses</t>
  </si>
  <si>
    <t>POOJAEXP</t>
  </si>
  <si>
    <t>ECHARGE</t>
  </si>
  <si>
    <t>Administrative &amp; Other Expenses - Power and Fuel</t>
  </si>
  <si>
    <t>PASTAT</t>
  </si>
  <si>
    <t>Administrative &amp; Other Expenses - Printing and Stationery</t>
  </si>
  <si>
    <t>RAT</t>
  </si>
  <si>
    <t>Administrative &amp; Other Expenses - Rates and Taxes</t>
  </si>
  <si>
    <t>RAM MACH</t>
  </si>
  <si>
    <t>Administrative &amp; Other Expenses - Repairs and Maintenance (Machinery)</t>
  </si>
  <si>
    <t>RAM OFZ</t>
  </si>
  <si>
    <t>Administrative &amp; Other Expenses - Repairs and Maintenance (Office)</t>
  </si>
  <si>
    <t>RAM VEH</t>
  </si>
  <si>
    <t>Administrative &amp; Other Expenses - Repairs and Maintenance (Vehicle)</t>
  </si>
  <si>
    <t>TELEXP</t>
  </si>
  <si>
    <t>Administrative &amp; Other Expenses - Telephone and Internet Expenses</t>
  </si>
  <si>
    <t>TACONVEY</t>
  </si>
  <si>
    <t>Administrative &amp; Other Expenses - Travelling and coneveyances</t>
  </si>
  <si>
    <t>Bad Debts Written Off</t>
  </si>
  <si>
    <t>BDEBTS</t>
  </si>
  <si>
    <t>Administrative &amp; Other Expenses - Bad Debts Written Off</t>
  </si>
  <si>
    <t>GROUPED</t>
  </si>
  <si>
    <t>AFPAY</t>
  </si>
  <si>
    <t>Other Current Liabilities - Audit Fee Payable</t>
  </si>
  <si>
    <t>Employee Benefit Expense - Staff Welfare Expenses</t>
  </si>
  <si>
    <t>Administrative and Other Expenses - Miscellaneous Expenses</t>
  </si>
  <si>
    <t xml:space="preserve">SBI Kilpauk - I A/c </t>
  </si>
  <si>
    <t xml:space="preserve">   To Rent A/c</t>
  </si>
  <si>
    <t xml:space="preserve">   To Nagarjuna Cements Ltd. S Drs</t>
  </si>
  <si>
    <t>Other Current Liabilities - Expense Payable</t>
  </si>
  <si>
    <t>Other Current Liabilities - Trade Payables</t>
  </si>
  <si>
    <t>Less: Tax Deducted At Source(As per Form 26AS)</t>
  </si>
  <si>
    <t>Construction and other expenses - wages paid</t>
  </si>
  <si>
    <t>Deposits</t>
  </si>
  <si>
    <t>November</t>
  </si>
  <si>
    <t>Withdrwan</t>
  </si>
  <si>
    <t>Normal Receipts</t>
  </si>
  <si>
    <t>December</t>
  </si>
  <si>
    <t>Normal Payments</t>
  </si>
  <si>
    <t>AAHCS2295P</t>
  </si>
  <si>
    <t>SATHIAPAL ENGINEERS (INDIA) LIMITED</t>
  </si>
  <si>
    <t>14, Temple St., Alagappa Nagar,</t>
  </si>
  <si>
    <t>Kilpauk,</t>
  </si>
  <si>
    <t>Chennai - 600 010</t>
  </si>
  <si>
    <t>CIN: U74210TN2002PLC048568</t>
  </si>
  <si>
    <t>1-Apr-2017 to 31-Mar-2018</t>
  </si>
  <si>
    <t>SATHIAPAL ENGINEERS (INDIA) LIMITED - (From 1-Apr-2007) - (from 1-Apr-2012)</t>
  </si>
  <si>
    <t>Air Tours &amp; Travels</t>
  </si>
  <si>
    <t>G.L.Associate</t>
  </si>
  <si>
    <t>JANNU ENGG.WORKS</t>
  </si>
  <si>
    <t>KSR Generators</t>
  </si>
  <si>
    <t>Ramana M-CCCL Dhachepalli</t>
  </si>
  <si>
    <t>Shri Electricals</t>
  </si>
  <si>
    <t>Ambika Trading Company</t>
  </si>
  <si>
    <t>Ashish Steel Traders</t>
  </si>
  <si>
    <t>Balaji Industrial Suppliers</t>
  </si>
  <si>
    <t>CHENNAI HYDRAULICS &amp; ENGG</t>
  </si>
  <si>
    <t>Dandapani &amp; Co</t>
  </si>
  <si>
    <t>Dynamic Prestress (I) Pvt Ltd Plant III</t>
  </si>
  <si>
    <t>JK Industries</t>
  </si>
  <si>
    <t>Krishna Sales</t>
  </si>
  <si>
    <t>Lakshmi Electrical &amp; Hardwares</t>
  </si>
  <si>
    <t>Laxmi Spares</t>
  </si>
  <si>
    <t>MAYAVARAM TIMBER DEPOT</t>
  </si>
  <si>
    <t>Mayura Paints</t>
  </si>
  <si>
    <t>Mehta Plywood</t>
  </si>
  <si>
    <t>Metro Steel Mart</t>
  </si>
  <si>
    <t>Mittal Refractories</t>
  </si>
  <si>
    <t>Offers Kraft</t>
  </si>
  <si>
    <t>Pooja Enterprise</t>
  </si>
  <si>
    <t>Prasad Multi Service Pvt Ltd</t>
  </si>
  <si>
    <t>R.S.Paints &amp; Hardwares</t>
  </si>
  <si>
    <t>SAKTHI ENGINEERS</t>
  </si>
  <si>
    <t>Solapur Steel Centre</t>
  </si>
  <si>
    <t>Sri Amman Steels</t>
  </si>
  <si>
    <t>SRI LAKSHMI STEELS</t>
  </si>
  <si>
    <t>Sri Sarada Steel Corporation</t>
  </si>
  <si>
    <t>Toolsco</t>
  </si>
  <si>
    <t>Trichy Refractories</t>
  </si>
  <si>
    <t>Anil Singh - Mason</t>
  </si>
  <si>
    <t>Dynamic Prestress Projects &amp; Service Pvt Ltd</t>
  </si>
  <si>
    <t>Haresh Sankarlal Joshi - Sub</t>
  </si>
  <si>
    <t>Munif Patel -  Mason</t>
  </si>
  <si>
    <t>Nagarajan.K - Sub</t>
  </si>
  <si>
    <t>Pakkirisamy.S</t>
  </si>
  <si>
    <t>RAJEEV KUMAR - FITTER</t>
  </si>
  <si>
    <t>Ramratan Singh - Sub</t>
  </si>
  <si>
    <t>Ramu (SKI) - Sub</t>
  </si>
  <si>
    <t>RUKSOR AHAMED - SUB</t>
  </si>
  <si>
    <t>SANDEEP CHAVAN - SUB</t>
  </si>
  <si>
    <t>Sasi Kumar Mahato - Sub</t>
  </si>
  <si>
    <t>SHAIK MAHABUB ALI - FITTER</t>
  </si>
  <si>
    <t>Srinivasa Charry - Sub</t>
  </si>
  <si>
    <t>Team Work Engineering Solution</t>
  </si>
  <si>
    <t>VELMURUGAN-DALMIA</t>
  </si>
  <si>
    <t>Geltronix</t>
  </si>
  <si>
    <t>HI - TECH CERAMICS</t>
  </si>
  <si>
    <t>Jal Jivan Engineering</t>
  </si>
  <si>
    <t>Opening WIP</t>
  </si>
  <si>
    <t>Amirthacadesa Gurukkal S.Drs</t>
  </si>
  <si>
    <t>CCCL-Dhachepalli S.Drs</t>
  </si>
  <si>
    <t>Deepak Phenolics Ltd S.Drs</t>
  </si>
  <si>
    <t>Godavari Polymers Pvt Ltd S.Drs</t>
  </si>
  <si>
    <t>Gokul Mauli Sugars Ltd S.Drs</t>
  </si>
  <si>
    <t>Hotel Sadhabisegam S.Drs</t>
  </si>
  <si>
    <t>MRN Cane Power (India) Ltd S.Drs</t>
  </si>
  <si>
    <t>Nirmaan Works Pvt Ltd S.Drs</t>
  </si>
  <si>
    <t>PRG Buildcon India Pvt Ltd S.Drs</t>
  </si>
  <si>
    <t>Ray Engineering Ltd S.Drs</t>
  </si>
  <si>
    <t>Sanghi Industries Ltd S.Drs</t>
  </si>
  <si>
    <t>Seksaria Biswan Sugar Factory Ltd S.Drs</t>
  </si>
  <si>
    <t>Tirupanandal Library Block S.Drs</t>
  </si>
  <si>
    <t>CCCL Dhachepalli Site</t>
  </si>
  <si>
    <t>CCCL - SOLAPUR II SITE</t>
  </si>
  <si>
    <t>Godavari Polimer II Site</t>
  </si>
  <si>
    <t>Godavari Polimer Site</t>
  </si>
  <si>
    <t>Goel Construction II Site</t>
  </si>
  <si>
    <t>L &amp; T CHINCHAL THANDA SITE</t>
  </si>
  <si>
    <t>MRN Cane Power Site</t>
  </si>
  <si>
    <t>Nirmaan Works Pvt Ltd Site</t>
  </si>
  <si>
    <t>PLR Projects Site</t>
  </si>
  <si>
    <t>Ray Engineering Ltd Site</t>
  </si>
  <si>
    <t>Sagar Cement Site</t>
  </si>
  <si>
    <t>Sanghi Cement Site</t>
  </si>
  <si>
    <t>SKI  Carbon Black (India) Pvt Ltd Site</t>
  </si>
  <si>
    <t>KUMAR.D</t>
  </si>
  <si>
    <t>Lakshmi Kanthan</t>
  </si>
  <si>
    <t>Selvaraj.L.</t>
  </si>
  <si>
    <t>Thirugnanasambanda Murthy.S.</t>
  </si>
  <si>
    <t>Vinoth.B</t>
  </si>
  <si>
    <t>CGST  Late Fee&amp; Interest</t>
  </si>
  <si>
    <t>CONCRETE PUMP HIRE &amp; MAINTENANCE</t>
  </si>
  <si>
    <t>SGST Late Fee&amp; Interest</t>
  </si>
  <si>
    <t>GST</t>
  </si>
  <si>
    <t>Andra CGST</t>
  </si>
  <si>
    <t>Andra SGST</t>
  </si>
  <si>
    <t>Chattishgarh CGST</t>
  </si>
  <si>
    <t>Chattishgarh SGST</t>
  </si>
  <si>
    <t>Gujarat CGST</t>
  </si>
  <si>
    <t>Gujarat SGST</t>
  </si>
  <si>
    <t>Jharkhand CGST</t>
  </si>
  <si>
    <t>Jharkhand SGST</t>
  </si>
  <si>
    <t>Karnataka CGST</t>
  </si>
  <si>
    <t>Karnataka SGST</t>
  </si>
  <si>
    <t>Maharastra CGST</t>
  </si>
  <si>
    <t>Maharastra SGST</t>
  </si>
  <si>
    <t>MP CGST</t>
  </si>
  <si>
    <t>MP SGST</t>
  </si>
  <si>
    <t>Rajasthan CGST</t>
  </si>
  <si>
    <t>Rajasthan SGST</t>
  </si>
  <si>
    <t>Telangana CGST</t>
  </si>
  <si>
    <t>Telangana SGST</t>
  </si>
  <si>
    <t>TNCGST</t>
  </si>
  <si>
    <t>TNSGST</t>
  </si>
  <si>
    <t>UP CGST</t>
  </si>
  <si>
    <t>UP SGST</t>
  </si>
  <si>
    <t>Other current liabilities-Expenses payable</t>
  </si>
  <si>
    <t>Audit fees payable</t>
  </si>
  <si>
    <t>Other long term liability-Trade advance</t>
  </si>
  <si>
    <t>other current liability customer advance</t>
  </si>
  <si>
    <t>Administrative &amp; Other Expenses -electricity (office)</t>
  </si>
  <si>
    <t>Other long term liability-rent advance</t>
  </si>
  <si>
    <t>SATHIAPAL ENGG.BUILDING DIVISION</t>
  </si>
  <si>
    <t>1-Apr-2018 to 28-Aug-2018</t>
  </si>
  <si>
    <t>SATHIAPAL ENGG.BUILDING DIVISION - (from 1-Apr-2012)</t>
  </si>
  <si>
    <t>Parasu Earth Movers</t>
  </si>
  <si>
    <t>VIJAY ELECTRICALS</t>
  </si>
  <si>
    <t>Chettinad Cement Corpn Pvt Ltd</t>
  </si>
  <si>
    <t>Dhandapani &amp; Co</t>
  </si>
  <si>
    <t>Dharani Hi Tech Project Pvt Ltd</t>
  </si>
  <si>
    <t>DJ Stainless Steel Works</t>
  </si>
  <si>
    <t>East India Company</t>
  </si>
  <si>
    <t>Fortune Building System (P) Ltd</t>
  </si>
  <si>
    <t>Meenachi Steel and Cements</t>
  </si>
  <si>
    <t>Navkar Plyhome</t>
  </si>
  <si>
    <t>Pest Control (India) Pvt Ltd</t>
  </si>
  <si>
    <t>Ramtec</t>
  </si>
  <si>
    <t>RS Enterprises</t>
  </si>
  <si>
    <t>SAKTHI ALUMINIUM HARDWARES</t>
  </si>
  <si>
    <t>SENTHIL AGENCIES</t>
  </si>
  <si>
    <t>Sri Andal Traders</t>
  </si>
  <si>
    <t>Sri G.K Glass &amp; Plywoods</t>
  </si>
  <si>
    <t>Teekay Power Technic</t>
  </si>
  <si>
    <t>Vaigai Sanitation</t>
  </si>
  <si>
    <t>Anbuchezhian - Sub</t>
  </si>
  <si>
    <t>Arumugam. P - Sub</t>
  </si>
  <si>
    <t>Karthik - Tiles Layer</t>
  </si>
  <si>
    <t>Kumaravel.R (Column Box) - Sub</t>
  </si>
  <si>
    <t>Maliram Tile Layer</t>
  </si>
  <si>
    <t>Munusamy - Sub</t>
  </si>
  <si>
    <t>Pandiyan Ottas  - Sub</t>
  </si>
  <si>
    <t>RAJAGOPAL - SUB</t>
  </si>
  <si>
    <t>Ramachandran - Sub</t>
  </si>
  <si>
    <t>RAVI MASON</t>
  </si>
  <si>
    <t>SELVAM FITTER</t>
  </si>
  <si>
    <t>Senguttuvan - Sub</t>
  </si>
  <si>
    <t>SENTHIL - PLUMBER</t>
  </si>
  <si>
    <t>Shanmugam.K - Sub</t>
  </si>
  <si>
    <t>Sridhar.G - Sub</t>
  </si>
  <si>
    <t>SUDHAKAR - SUB</t>
  </si>
  <si>
    <t>Thiyagarajan - Sub</t>
  </si>
  <si>
    <t>Velayudam - Driller</t>
  </si>
  <si>
    <t>Venkatesan - Sub</t>
  </si>
  <si>
    <t>Arumugam - Sup</t>
  </si>
  <si>
    <t>BALAKRISHNAN - SUP</t>
  </si>
  <si>
    <t>Chozhan - Sup</t>
  </si>
  <si>
    <t>Moorthy.J - Sup</t>
  </si>
  <si>
    <t>PALANI - SUP</t>
  </si>
  <si>
    <t>PANNEER SELVAM - SUP</t>
  </si>
  <si>
    <t>Prabakaran - Sup</t>
  </si>
  <si>
    <t>Radhakrishna Bricks</t>
  </si>
  <si>
    <t>RJM - SUP</t>
  </si>
  <si>
    <t>Saminathan - Sup</t>
  </si>
  <si>
    <t>Senguttuvan - Sup</t>
  </si>
  <si>
    <t>Senthil Kumar.B - Sup</t>
  </si>
  <si>
    <t>Sri Gokulam Tiles &amp; Hardwares</t>
  </si>
  <si>
    <t>Sundaresan - Sup</t>
  </si>
  <si>
    <t>VIJAYARANGAN  SUP</t>
  </si>
  <si>
    <t>AVC Commercial Building Site</t>
  </si>
  <si>
    <t>Hotel Sadhabisegam Vdl Site</t>
  </si>
  <si>
    <t>Library Building Thirupanandal Site</t>
  </si>
  <si>
    <t>TILES</t>
  </si>
  <si>
    <t>WINDOWS &amp; DOORS</t>
  </si>
  <si>
    <t>SEIL 12TO19</t>
  </si>
  <si>
    <t>Gemini - Sub</t>
  </si>
  <si>
    <t>SANITARY MATERIALS</t>
  </si>
  <si>
    <t>MATERIAL LOADING &amp; UNLOADING</t>
  </si>
  <si>
    <t>MUNICIPAL EXPENSES</t>
  </si>
  <si>
    <t>depreciation</t>
  </si>
  <si>
    <t>audit fees payable</t>
  </si>
  <si>
    <t>Bhansali TDS</t>
  </si>
  <si>
    <t>lic</t>
  </si>
  <si>
    <t>Nandakumar -Suspense</t>
  </si>
  <si>
    <t>Contract receipt-AVC and tirunandal</t>
  </si>
  <si>
    <t>Other current liabilities-contract advance</t>
  </si>
  <si>
    <t>other long term liabilities-Rent advance</t>
  </si>
  <si>
    <t>JP Balaji</t>
  </si>
  <si>
    <t>masonary wages</t>
  </si>
  <si>
    <t>adjustment for itc</t>
  </si>
  <si>
    <t>Adjustment for ITC</t>
  </si>
  <si>
    <t xml:space="preserve">to </t>
  </si>
  <si>
    <t>plant and machinery</t>
  </si>
  <si>
    <t>building</t>
  </si>
  <si>
    <t>Audit fees payable for FY 17-18</t>
  </si>
  <si>
    <t xml:space="preserve">Audit fees </t>
  </si>
  <si>
    <t>A John moris and co</t>
  </si>
  <si>
    <t>TDS Receivable-Refund for FY 17-18</t>
  </si>
  <si>
    <t>To</t>
  </si>
  <si>
    <t xml:space="preserve">TDS Receivable </t>
  </si>
  <si>
    <t>Provision for income tax</t>
  </si>
  <si>
    <t>Deferred tax liability</t>
  </si>
  <si>
    <t>deferred tax expense</t>
  </si>
  <si>
    <t>to</t>
  </si>
  <si>
    <t xml:space="preserve">GST </t>
  </si>
  <si>
    <t>Purchase</t>
  </si>
  <si>
    <t>GST adjusted for march month payable</t>
  </si>
  <si>
    <t>Power, fuel and electricity</t>
  </si>
  <si>
    <t xml:space="preserve">TDS </t>
  </si>
  <si>
    <t>As at 31.03.2019</t>
  </si>
  <si>
    <t>DATE</t>
  </si>
  <si>
    <t>ADDITION</t>
  </si>
  <si>
    <t>NO OF DAYS</t>
  </si>
  <si>
    <t>DEPRECIATION RATE</t>
  </si>
  <si>
    <t>DEPRECIATION  FOR THE YEAR</t>
  </si>
  <si>
    <t>DEDUCTION</t>
  </si>
  <si>
    <t>1-Apr-2018 to 31-Mar-2019</t>
  </si>
  <si>
    <t>Crs.for Expenses</t>
  </si>
  <si>
    <t>A John Moris &amp; Co</t>
  </si>
  <si>
    <t>Aurobindo Business Machines</t>
  </si>
  <si>
    <t>CHITRA CASTINGS</t>
  </si>
  <si>
    <t>Cocon Infra Engineering</t>
  </si>
  <si>
    <t>HARIPRASAD ASSOCIATES</t>
  </si>
  <si>
    <t>KB Mehta Construction Pvt Ltd</t>
  </si>
  <si>
    <t>Mohamed Saleem &amp; Co</t>
  </si>
  <si>
    <t>Murugan Welding</t>
  </si>
  <si>
    <t>Padmamba Advertising</t>
  </si>
  <si>
    <t>Saibaba Business Solutions P Ltd</t>
  </si>
  <si>
    <t>Shreeji Infotech</t>
  </si>
  <si>
    <t>Sri Murugan Lathe &amp; Welding Works</t>
  </si>
  <si>
    <t>S.S.Earth Movers</t>
  </si>
  <si>
    <t>SSN Logistics</t>
  </si>
  <si>
    <t>Subash Chowdry</t>
  </si>
  <si>
    <t>Wintech Systems</t>
  </si>
  <si>
    <t>Crs.for Purchase</t>
  </si>
  <si>
    <t>Acme Safetywears Ltd</t>
  </si>
  <si>
    <t>Alpha Steel</t>
  </si>
  <si>
    <t>Ambika Enterprises</t>
  </si>
  <si>
    <t>Apex Infra Ventures</t>
  </si>
  <si>
    <t>Aristo Metal Industries</t>
  </si>
  <si>
    <t>Bapu's Autotrade</t>
  </si>
  <si>
    <t>B.Mangatram &amp; Co</t>
  </si>
  <si>
    <t>Chinnappa Chettiar &amp; Sons</t>
  </si>
  <si>
    <t>Deesawala Rubber Industries</t>
  </si>
  <si>
    <t>Dhandapani &amp;  Co</t>
  </si>
  <si>
    <t>Dundi Vinayaga Engineering</t>
  </si>
  <si>
    <t>FA Agency</t>
  </si>
  <si>
    <t>Forestree India Pvt Ltd.</t>
  </si>
  <si>
    <t>Ganga Ceramics</t>
  </si>
  <si>
    <t>Hyderabad Trading Company</t>
  </si>
  <si>
    <t>Hyderi Enterprises</t>
  </si>
  <si>
    <t>Industrial Equipment Centre</t>
  </si>
  <si>
    <t>Jain Loha Bada</t>
  </si>
  <si>
    <t>Jothi Pavers</t>
  </si>
  <si>
    <t>J.S.Interior &amp; Exteriors</t>
  </si>
  <si>
    <t>Kaypro Technologies Pvt Ltd</t>
  </si>
  <si>
    <t>Koppu Sadasivamurthy Sons</t>
  </si>
  <si>
    <t>Krishna Engineers</t>
  </si>
  <si>
    <t>Krishna Sales Corporation</t>
  </si>
  <si>
    <t>Lakshmi Diesel Spares</t>
  </si>
  <si>
    <t>Lawrence &amp; Mayo India Pvt Ltd</t>
  </si>
  <si>
    <t>Metal Portable Cabins</t>
  </si>
  <si>
    <t>Meta Star</t>
  </si>
  <si>
    <t>NKM AGENCIES</t>
  </si>
  <si>
    <t>N.K.Trading Co</t>
  </si>
  <si>
    <t>Nurani Iron Store</t>
  </si>
  <si>
    <t>Om Enterprises</t>
  </si>
  <si>
    <t>Om Steels</t>
  </si>
  <si>
    <t>Oriental Scoffolding Pvt Ltd</t>
  </si>
  <si>
    <t>Prasad Combines</t>
  </si>
  <si>
    <t>PSR Tiles Park</t>
  </si>
  <si>
    <t>Ragavendra Power Tools</t>
  </si>
  <si>
    <t>Rahul Industries</t>
  </si>
  <si>
    <t>Rajaram Electric Co</t>
  </si>
  <si>
    <t>Rangoli Multi Stores</t>
  </si>
  <si>
    <t>R &amp; R Paints</t>
  </si>
  <si>
    <t>Santhi Plylam &amp; Decors</t>
  </si>
  <si>
    <t>Schwing Stetter India Pvt Ltd</t>
  </si>
  <si>
    <t>Scope Technologies</t>
  </si>
  <si>
    <t>Senthil Rewinding Repairing Works</t>
  </si>
  <si>
    <t>Servo Powertronics</t>
  </si>
  <si>
    <t>Shri Sivaa Agency</t>
  </si>
  <si>
    <t>Shyan Enterprises-Sub (Sanghi Site)</t>
  </si>
  <si>
    <t>Siva Agency</t>
  </si>
  <si>
    <t>Sri Jayadurga Power Tools</t>
  </si>
  <si>
    <t>Sri Vijayalakshmi Steel Traders</t>
  </si>
  <si>
    <t>Stroke Equipment's&amp;Instrumentation (P) Ltd</t>
  </si>
  <si>
    <t>SUNDARAM MOTORS</t>
  </si>
  <si>
    <t>Suriyaram Enterprises</t>
  </si>
  <si>
    <t>Surya Tiles &amp; Granities</t>
  </si>
  <si>
    <t>The Laptop Shoppee</t>
  </si>
  <si>
    <t>Thermal Scientific Works</t>
  </si>
  <si>
    <t>Trade Winds</t>
  </si>
  <si>
    <t>TR Enterprises</t>
  </si>
  <si>
    <t>Universal Sales Corporation AHM</t>
  </si>
  <si>
    <t>Vardhman Corporation</t>
  </si>
  <si>
    <t>Veena Electricals</t>
  </si>
  <si>
    <t>Vibrant Graphic &amp; Systems</t>
  </si>
  <si>
    <t>Vijay Enterprise</t>
  </si>
  <si>
    <t>Amman Motor Pipes</t>
  </si>
  <si>
    <t>TAMILNADU AGRO AGENCIES</t>
  </si>
  <si>
    <t>Crs.for Sub Contractors</t>
  </si>
  <si>
    <t>CHUNI LAL -SUB SANGHI.II</t>
  </si>
  <si>
    <t>Gopal Kannan-Sub</t>
  </si>
  <si>
    <t>Jeevanantham - Carp</t>
  </si>
  <si>
    <t>Keerthivasan - Mason</t>
  </si>
  <si>
    <t>Kumar - Painter</t>
  </si>
  <si>
    <t>Linga Reddy T.V. - Sub</t>
  </si>
  <si>
    <t>NATARAJAN -FITTER</t>
  </si>
  <si>
    <t>Nehru - Sub</t>
  </si>
  <si>
    <t>Pandiyan - Stone Cutter</t>
  </si>
  <si>
    <t>Rajkumar - Painter</t>
  </si>
  <si>
    <t>Raju Kisan - Sub</t>
  </si>
  <si>
    <t>Raju Patel - Mason</t>
  </si>
  <si>
    <t>Ramesh - Mason</t>
  </si>
  <si>
    <t>Ravi Kumar Reddy-Sub</t>
  </si>
  <si>
    <t>Ringu Kumar-Sub</t>
  </si>
  <si>
    <t>Sanjay  Kumar Lohar - Pipe Line Work</t>
  </si>
  <si>
    <t>Shahanshah - Painter</t>
  </si>
  <si>
    <t>Siranjeevi - Sub</t>
  </si>
  <si>
    <t>SUNIL KUMAR - SUB SANGHI.II</t>
  </si>
  <si>
    <t>Uttam Ray - Sub</t>
  </si>
  <si>
    <t>Vel Wood Carving Work</t>
  </si>
  <si>
    <t>Vijayarangan - Jcb</t>
  </si>
  <si>
    <t>Vijay Pal-Sub</t>
  </si>
  <si>
    <t>Arun - Sup</t>
  </si>
  <si>
    <t>Chavan Khadi Kendra-Sup</t>
  </si>
  <si>
    <t>Chinna Konda Reddy.B</t>
  </si>
  <si>
    <t>Giridhar Reddy - Sup</t>
  </si>
  <si>
    <t>Govindan.G - Sup</t>
  </si>
  <si>
    <t>Jawahar - Sup</t>
  </si>
  <si>
    <t>Meganathan - Sup</t>
  </si>
  <si>
    <t>N.K.M.TRANSPORT</t>
  </si>
  <si>
    <t>Raja - Sup</t>
  </si>
  <si>
    <t>Sharmil Kumar.K - Sup</t>
  </si>
  <si>
    <t>Sri Lakshmi Sand Supplier &amp; Services</t>
  </si>
  <si>
    <t>Sri Siva Sai Constructions</t>
  </si>
  <si>
    <t>Uday Infra Projects</t>
  </si>
  <si>
    <t>Ramesh - Sup</t>
  </si>
  <si>
    <t>SRINIVASAN - SUP</t>
  </si>
  <si>
    <t>THIYAGARAJAN - SUP.</t>
  </si>
  <si>
    <t>Sub - Contractors</t>
  </si>
  <si>
    <t>Micro Leakage Care</t>
  </si>
  <si>
    <t>Audit Fees Payable</t>
  </si>
  <si>
    <t>Dividend Tax Payable</t>
  </si>
  <si>
    <t>Provision for Income Tax -II</t>
  </si>
  <si>
    <t>Mrs. Rekha Bhansali A/c</t>
  </si>
  <si>
    <t>21 Sugar Ltd S.Drs</t>
  </si>
  <si>
    <t>Aarthi Industries II S.Drs</t>
  </si>
  <si>
    <t>AP Bava (JK) S.Drs</t>
  </si>
  <si>
    <t>AP Bava Kcp S.Drs</t>
  </si>
  <si>
    <t>ATC Tires Pvt Limited S.Drs</t>
  </si>
  <si>
    <t>AVC  (Commercial Bldg) S.Drs</t>
  </si>
  <si>
    <t>CCCL-Solapur II S.Drs</t>
  </si>
  <si>
    <t>Coromandal (Ramco) S.Drs</t>
  </si>
  <si>
    <t>Goel Construction Co II S.Drs</t>
  </si>
  <si>
    <t>India Cement Ltd Andhra S.Drs</t>
  </si>
  <si>
    <t>Jindal Urban S.Drs</t>
  </si>
  <si>
    <t>Khatav Man Taluka Agro Processing Ltd S.Drs</t>
  </si>
  <si>
    <t>Sagar Cements Ltd S.Drs</t>
  </si>
  <si>
    <t>Sanghi Industries CPP Chimney S.Drs</t>
  </si>
  <si>
    <t>Sanghi Industries II S.Drs</t>
  </si>
  <si>
    <t>SRR Projects Pvt Ltd S.Drs</t>
  </si>
  <si>
    <t>SBI-Kilpauk-I</t>
  </si>
  <si>
    <t>Sbi-Kilpauk II</t>
  </si>
  <si>
    <t>Indian Bank Mvm</t>
  </si>
  <si>
    <t>21 Sugar Site</t>
  </si>
  <si>
    <t>Aarthi Indusries II Site</t>
  </si>
  <si>
    <t>AP Bava (JK) Site</t>
  </si>
  <si>
    <t>AP Bava (KCP) Site</t>
  </si>
  <si>
    <t>ATC Tires Pvt Ltd Site</t>
  </si>
  <si>
    <t>ATG Site</t>
  </si>
  <si>
    <t>Buildmet (Novoco) Site</t>
  </si>
  <si>
    <t>Coromandal (Ramco) Site</t>
  </si>
  <si>
    <t>Godavari Polimer 60 KL II Site</t>
  </si>
  <si>
    <t>Godavari Polimer 90 KL Site</t>
  </si>
  <si>
    <t>Hotel Sadhabisegam Vdl Rectfn Site</t>
  </si>
  <si>
    <t>India Cement Andra Site</t>
  </si>
  <si>
    <t>Jindal Urban Site</t>
  </si>
  <si>
    <t>Khatav Man Site</t>
  </si>
  <si>
    <t>Mayiladuthurai B.Div</t>
  </si>
  <si>
    <t>Ray Engineering II Site</t>
  </si>
  <si>
    <t>Sanghi Industries CPP Chimney Site</t>
  </si>
  <si>
    <t>Sanghi Industries II Site</t>
  </si>
  <si>
    <t>SRR Projects Pvt Ltd Site</t>
  </si>
  <si>
    <t>Kavitha.B.</t>
  </si>
  <si>
    <t>Lalitha.B.</t>
  </si>
  <si>
    <t>MAHESH.V</t>
  </si>
  <si>
    <t>Muthuraman.V</t>
  </si>
  <si>
    <t>Parthipan.C</t>
  </si>
  <si>
    <t>Poornima .S.</t>
  </si>
  <si>
    <t>Prasana Durga</t>
  </si>
  <si>
    <t>Prasana Kumar Chowdhary</t>
  </si>
  <si>
    <t>Pratap Ranjan Nayak</t>
  </si>
  <si>
    <t>SALARY SUSPENSES</t>
  </si>
  <si>
    <t>Shanmugam.S.</t>
  </si>
  <si>
    <t>Srinivasan.D</t>
  </si>
  <si>
    <t>Vinoth Raj D</t>
  </si>
  <si>
    <t>Soling Stone</t>
  </si>
  <si>
    <t>40 mm Metal</t>
  </si>
  <si>
    <t>6mm Metal</t>
  </si>
  <si>
    <t>Bricks</t>
  </si>
  <si>
    <t>Cement</t>
  </si>
  <si>
    <t>Misc.Materials</t>
  </si>
  <si>
    <t>Planks Runners &amp; Plywood</t>
  </si>
  <si>
    <t>Sand</t>
  </si>
  <si>
    <t>Steel</t>
  </si>
  <si>
    <t>Deferred Tax Liability C.L</t>
  </si>
  <si>
    <t>Directors Loan A/c</t>
  </si>
  <si>
    <t>TN SGST</t>
  </si>
  <si>
    <t>Loan &amp; Advance</t>
  </si>
  <si>
    <t>TDS Clients</t>
  </si>
  <si>
    <t>Advance -Income Tax</t>
  </si>
  <si>
    <t>Work in Progress</t>
  </si>
  <si>
    <t>Wages</t>
  </si>
  <si>
    <t>Salaries &amp; Wages</t>
  </si>
  <si>
    <t>Carpenter Wages</t>
  </si>
  <si>
    <t>Concrete Wages</t>
  </si>
  <si>
    <t>Fabric Wages</t>
  </si>
  <si>
    <t>Masonary Wages</t>
  </si>
  <si>
    <t>Nmr / Misc Wages</t>
  </si>
  <si>
    <t>Labour / Staff Welfare</t>
  </si>
  <si>
    <t>Misc Expenses</t>
  </si>
  <si>
    <t>Interest Received on FD</t>
  </si>
  <si>
    <t>Interest Paid</t>
  </si>
  <si>
    <t>Advertisment</t>
  </si>
  <si>
    <t>Audit Fees</t>
  </si>
  <si>
    <t>W.C Tax</t>
  </si>
  <si>
    <t>-</t>
  </si>
  <si>
    <t>Repairs and maintenance - Building</t>
  </si>
  <si>
    <t>HAM</t>
  </si>
  <si>
    <t>Hire and Maintenance</t>
  </si>
  <si>
    <t>Depreciation -IT</t>
  </si>
  <si>
    <t>Depreciation-Co.</t>
  </si>
  <si>
    <t>Deferred Tax Asset</t>
  </si>
  <si>
    <t>Velmurugan-Sup</t>
  </si>
  <si>
    <t>LAWRENCE&amp;MAYO(INDIA)PVT LTD</t>
  </si>
  <si>
    <t>SUB -  CONTRACTORS</t>
  </si>
  <si>
    <t>cr</t>
  </si>
  <si>
    <t xml:space="preserve">     Add: Education cess @  4% on above</t>
  </si>
  <si>
    <t>Code</t>
  </si>
  <si>
    <t>Original Cost</t>
  </si>
  <si>
    <t>Useful Life as per Companies Act</t>
  </si>
  <si>
    <t>WDV as on 1.04.2018</t>
  </si>
  <si>
    <t>Depreciable Amount</t>
  </si>
  <si>
    <t>Accumulated Dep</t>
  </si>
  <si>
    <t>Accumulated Depreciation as on 31-3-2019</t>
  </si>
  <si>
    <t>To be depreciated in future</t>
  </si>
  <si>
    <t>Depreciation per day</t>
  </si>
  <si>
    <t>No. of days used till 31st Mar 2018</t>
  </si>
  <si>
    <t>No. of days used till 31st Mar 2019</t>
  </si>
  <si>
    <t>Remaining Useful Life</t>
  </si>
  <si>
    <t>Depreciation for the CY (2018-19)</t>
  </si>
  <si>
    <t>Closing WDV</t>
  </si>
  <si>
    <t>Current year fully depreciated assets</t>
  </si>
  <si>
    <t>Depreciation for the 2019-20</t>
  </si>
  <si>
    <t>plant and machinary</t>
  </si>
  <si>
    <t>plant &amp; Machinary</t>
  </si>
  <si>
    <t>computers</t>
  </si>
  <si>
    <t>furniture and fittings</t>
  </si>
  <si>
    <t>vehicles</t>
  </si>
  <si>
    <t>As per Signed financials</t>
  </si>
  <si>
    <t>Private Limited Company</t>
  </si>
  <si>
    <t>194A</t>
  </si>
  <si>
    <t>194C</t>
  </si>
  <si>
    <t>AVC COLLEGE OF ENGINEERING</t>
  </si>
  <si>
    <t>194IA</t>
  </si>
  <si>
    <t>ICICI KILPAUK</t>
  </si>
  <si>
    <t>ADVANCE TAX</t>
  </si>
  <si>
    <t>KELLYS I</t>
  </si>
  <si>
    <t>SRR PROJECTS</t>
  </si>
  <si>
    <t>KELLYS II</t>
  </si>
  <si>
    <t>CLOSED</t>
  </si>
  <si>
    <t>TALLY</t>
  </si>
  <si>
    <t>26AS</t>
  </si>
  <si>
    <t>DIFF</t>
  </si>
  <si>
    <t>SBI KILPAUK I</t>
  </si>
  <si>
    <t>SBI KILPAUK II</t>
  </si>
  <si>
    <t>HAJEE AP BAVA INFRA</t>
  </si>
  <si>
    <t>SBI KILPAUK III</t>
  </si>
  <si>
    <t>MRN CANE POWER</t>
  </si>
  <si>
    <t>SRI MARUTHI POWER GEN</t>
  </si>
  <si>
    <t>ARTHI INDUSTRIES LIMITED</t>
  </si>
  <si>
    <t>DEEPAK PHENOLICS</t>
  </si>
  <si>
    <t>AVC COLLEGE OF ENGG</t>
  </si>
  <si>
    <t>CHETTINAD CEMENT</t>
  </si>
  <si>
    <t>R VENKATESH</t>
  </si>
  <si>
    <t>COROMANDEL ENGINEERING</t>
  </si>
  <si>
    <t>JINDAL URBAN</t>
  </si>
  <si>
    <t>GODAVARI POLYMERS</t>
  </si>
  <si>
    <t>SAGAR CEMENTS</t>
  </si>
  <si>
    <t>INDIA CEMENTS</t>
  </si>
  <si>
    <t>GOEL</t>
  </si>
  <si>
    <t>ATC TYRES</t>
  </si>
  <si>
    <t>RAY ENGG</t>
  </si>
  <si>
    <t>21 SUGARS</t>
  </si>
  <si>
    <t>KHATAV</t>
  </si>
  <si>
    <t>SANGHII</t>
  </si>
  <si>
    <t>Address: Registered Office:</t>
  </si>
  <si>
    <t>CSR Expenses</t>
  </si>
  <si>
    <t xml:space="preserve">The Company was converted from Public Company to  Private company with effect from 10th April 2019 and herein after called as M/s.Sathiapal Engineers (India) Private limited. </t>
  </si>
  <si>
    <t>Q1</t>
  </si>
  <si>
    <t>gross</t>
  </si>
  <si>
    <t>26Q</t>
  </si>
  <si>
    <t>Q2</t>
  </si>
  <si>
    <t>Q3</t>
  </si>
  <si>
    <t>24Q</t>
  </si>
  <si>
    <t>1-Apr-2019 to 31-Mar-2020</t>
  </si>
  <si>
    <t>CCCL-Vizag Site</t>
  </si>
  <si>
    <t>Coromandal (Ramco Ariyalur) Site</t>
  </si>
  <si>
    <t>Dalmia Cement 2020 Site</t>
  </si>
  <si>
    <t>ITC Bhadrachalam Telangana 2019 Site</t>
  </si>
  <si>
    <t>Mayiladuthurai Office</t>
  </si>
  <si>
    <t>MRN Cane Power II Site  Karnataka</t>
  </si>
  <si>
    <t>Nirma Site</t>
  </si>
  <si>
    <t>Novoco Site</t>
  </si>
  <si>
    <t>Nuvoco Jojobera Site</t>
  </si>
  <si>
    <t>Orient Abersives Ltd Site</t>
  </si>
  <si>
    <t>Philips Carban Site</t>
  </si>
  <si>
    <t>Ramco Cement R R Nagar Site</t>
  </si>
  <si>
    <t>Rungta Mines  (Chaliyama-Jharkhand) Site</t>
  </si>
  <si>
    <t>Satguru Cement Pvt Ltd Site</t>
  </si>
  <si>
    <t>Sayaji Industries Site</t>
  </si>
  <si>
    <t>Tarun Construction (Wonder Cement )Site</t>
  </si>
  <si>
    <t>TNPL Unit II Site.</t>
  </si>
  <si>
    <t>Ajith Kumar Chakaravarthy.</t>
  </si>
  <si>
    <t>Akashraj.K</t>
  </si>
  <si>
    <t>Anusuya.A</t>
  </si>
  <si>
    <t>Jawahar.J</t>
  </si>
  <si>
    <t>MURUGAN.S.</t>
  </si>
  <si>
    <t>Sundaramoorthi.V</t>
  </si>
  <si>
    <t>RMC Sales</t>
  </si>
  <si>
    <t>Melaguru Mandapam Site</t>
  </si>
  <si>
    <t>RSK Kaliyaraj Residence Site</t>
  </si>
  <si>
    <t>TPL Quarters Site</t>
  </si>
  <si>
    <t>ok</t>
  </si>
  <si>
    <t xml:space="preserve">  </t>
  </si>
  <si>
    <t xml:space="preserve">   </t>
  </si>
  <si>
    <t>not ok</t>
  </si>
  <si>
    <t>STL</t>
  </si>
  <si>
    <t>A.K.Thulasidass</t>
  </si>
  <si>
    <t>Ammayapper Road Ways-Ramco R R Nagar</t>
  </si>
  <si>
    <t>CSR Donation Payable</t>
  </si>
  <si>
    <t>Prime Fabrication</t>
  </si>
  <si>
    <t>Selvam.T  Pandal Contractor</t>
  </si>
  <si>
    <t>Vivek Desings (C.Arul)</t>
  </si>
  <si>
    <t>OCL</t>
  </si>
  <si>
    <t>OCL TDS PAY</t>
  </si>
  <si>
    <t>OCL PF PAY</t>
  </si>
  <si>
    <t>OCL AUDIT</t>
  </si>
  <si>
    <t>As on 1-4-19</t>
  </si>
  <si>
    <t>Acc Dep</t>
  </si>
  <si>
    <t>RATE</t>
  </si>
  <si>
    <t>SBI - New Avadi Road</t>
  </si>
  <si>
    <t>AAB Engineering.</t>
  </si>
  <si>
    <t>Aathilakshmi Cement Tile Work-Sup Ramco R R Nagar</t>
  </si>
  <si>
    <t>Advance Constructions Technologies (P) Ltd</t>
  </si>
  <si>
    <t>Agoram Agencies</t>
  </si>
  <si>
    <t>Akash Traders</t>
  </si>
  <si>
    <t>Akshya Enterprises.</t>
  </si>
  <si>
    <t>Asbestos India</t>
  </si>
  <si>
    <t>Bharat Steel (Chennai) Pvt Ltd</t>
  </si>
  <si>
    <t>B R K Traders</t>
  </si>
  <si>
    <t>B Tirugnanam Pillai &amp; Sons</t>
  </si>
  <si>
    <t>Bureau Veritas India Pvt Ltd.</t>
  </si>
  <si>
    <t>Chettinad Builders Private Limited</t>
  </si>
  <si>
    <t>Dolphin Automation.</t>
  </si>
  <si>
    <t>Gauri Enterprises</t>
  </si>
  <si>
    <t>Harish Chemicals Tech</t>
  </si>
  <si>
    <t>H,K.Steels</t>
  </si>
  <si>
    <t>Jaydeep Trading Company</t>
  </si>
  <si>
    <t>J &amp; M Engineering Works</t>
  </si>
  <si>
    <t>JSP Automotive</t>
  </si>
  <si>
    <t>Khandelwal Enterprises</t>
  </si>
  <si>
    <t>Kothari Engineering</t>
  </si>
  <si>
    <t>Kutch Colour Bank</t>
  </si>
  <si>
    <t>Lg Electronics India Pvt Ltd</t>
  </si>
  <si>
    <t>Mastan Colour Home</t>
  </si>
  <si>
    <t>M.J.Steel Traders</t>
  </si>
  <si>
    <t>Mubarak Stores- Sup Ramco R R Nagar</t>
  </si>
  <si>
    <t>New Raza Electric Store</t>
  </si>
  <si>
    <t>New Saravanan Mill Store</t>
  </si>
  <si>
    <t>Nexgen Ventures Pvt Ltd.</t>
  </si>
  <si>
    <t>Nisa Infra</t>
  </si>
  <si>
    <t>PM Containers</t>
  </si>
  <si>
    <t>Prashant Galvanizers</t>
  </si>
  <si>
    <t>Proficient Marketing</t>
  </si>
  <si>
    <t>R.P.S.Enterprises</t>
  </si>
  <si>
    <t>R &amp; R Construction &amp; Industries Hardwares</t>
  </si>
  <si>
    <t>Sai Enterprises</t>
  </si>
  <si>
    <t>Sanjeev Electrical Co</t>
  </si>
  <si>
    <t>Senthil Pipe Electricals</t>
  </si>
  <si>
    <t>Shiva Industries.</t>
  </si>
  <si>
    <t>Shrimma Power Tools</t>
  </si>
  <si>
    <t>Siddhi Vinayak Sales</t>
  </si>
  <si>
    <t>Sri Narayana Blue Metal</t>
  </si>
  <si>
    <t>Sri Saibaba Iron Mart</t>
  </si>
  <si>
    <t>Taaha Paint &amp; Hardwares</t>
  </si>
  <si>
    <t>The India Cements Ltd</t>
  </si>
  <si>
    <t>Trend Engineers</t>
  </si>
  <si>
    <t>Vaibhav Udyog Metal India Pvt Ltd</t>
  </si>
  <si>
    <t>Vinay Trading</t>
  </si>
  <si>
    <t>V.J.Marcone Pvt Ltd</t>
  </si>
  <si>
    <t>Yamunaji Traders</t>
  </si>
  <si>
    <t>Mayavaram Timber Depot</t>
  </si>
  <si>
    <t>R.S. Paints &amp; Hardwares</t>
  </si>
  <si>
    <t>Senthil Agencies</t>
  </si>
  <si>
    <t>Sri Ram &amp; Company</t>
  </si>
  <si>
    <t>Adithya Earth Movers</t>
  </si>
  <si>
    <t>Archit Kumar-Sub</t>
  </si>
  <si>
    <t>Ashish Construction</t>
  </si>
  <si>
    <t>Ashok Bhai - Pile Work</t>
  </si>
  <si>
    <t>Ayyappan - Sub</t>
  </si>
  <si>
    <t>Bogala Somi Reddy - Sub</t>
  </si>
  <si>
    <t>Chandrasekar - Stone Cutter</t>
  </si>
  <si>
    <t>Chella Chetty - Sub</t>
  </si>
  <si>
    <t>Dhasarathan-Ramco R R Nagar Site</t>
  </si>
  <si>
    <t>GOPALMAR SAND BLASTING WORK</t>
  </si>
  <si>
    <t>G Venkata Ramana Engineering &amp; Contractors</t>
  </si>
  <si>
    <t>Hariom Cement Product &amp; Sanatery Wares</t>
  </si>
  <si>
    <t>HUSAAIN - CONCRETOR ICL</t>
  </si>
  <si>
    <t>JJ Earth Movers</t>
  </si>
  <si>
    <t>Jothi Welding Works (Kalaiyarasan)</t>
  </si>
  <si>
    <t>Kalaiselvi.S -Ramco R R Nagar Site</t>
  </si>
  <si>
    <t>KPVS Earth Movers</t>
  </si>
  <si>
    <t>Manikandan-Sub (Sanghi Site)</t>
  </si>
  <si>
    <t>Muraliselvam.M - Sub</t>
  </si>
  <si>
    <t>Murugan.P - Sub</t>
  </si>
  <si>
    <t>Palanisamy - Sub</t>
  </si>
  <si>
    <t>Prema.T.- Ramco R R Nagar Site</t>
  </si>
  <si>
    <t>Rajendar-Fitter</t>
  </si>
  <si>
    <t>Ramesh  Reddy .B -ICL Site</t>
  </si>
  <si>
    <t>Ramesh - Sub (NEW)</t>
  </si>
  <si>
    <t>RANJAYA JARDIA - SUB</t>
  </si>
  <si>
    <t>Ravindran - Sub</t>
  </si>
  <si>
    <t>Selvam Engineering Works</t>
  </si>
  <si>
    <t>Selvam - Painter</t>
  </si>
  <si>
    <t>Senthil Kumar G.K - Sub</t>
  </si>
  <si>
    <t>Shahani Construction</t>
  </si>
  <si>
    <t>Shanawaz Khan-Sub</t>
  </si>
  <si>
    <t>Siva Reddy-Satguru Site</t>
  </si>
  <si>
    <t>Sri K Chowder Reddy &amp; Co</t>
  </si>
  <si>
    <t>Susant Kumar Dalai-Sub</t>
  </si>
  <si>
    <t>Sushmaa Demolition Work</t>
  </si>
  <si>
    <t>Veerapandian Mason - Sub</t>
  </si>
  <si>
    <t>Vignesh-Ramco Ariyalur Site</t>
  </si>
  <si>
    <t>Vijayabharathi - Fitter</t>
  </si>
  <si>
    <t>Ravi - Mason</t>
  </si>
  <si>
    <t>Apex Technocon</t>
  </si>
  <si>
    <t>Baskar - Sup</t>
  </si>
  <si>
    <t>Deivasigamani.G - Sup</t>
  </si>
  <si>
    <t>Giridhar Reddy .T - Sup</t>
  </si>
  <si>
    <t>Harpalsinh Shaktishinh Zala - Sup</t>
  </si>
  <si>
    <t>Jayabalan.S. - Sup</t>
  </si>
  <si>
    <t>Jay Ambe Traders-Sayaji  Site Supplier</t>
  </si>
  <si>
    <t>Kartya Constructions Pvt Ltd-Sup</t>
  </si>
  <si>
    <t>Murugaraj.K -Ramco R R Nagar Site</t>
  </si>
  <si>
    <t>New Bharath Blue Metal-Sup</t>
  </si>
  <si>
    <t>Priya Engineering Projects Pvt Ltd-Sup</t>
  </si>
  <si>
    <t>Proact Safety Consultants Pvt Ltd</t>
  </si>
  <si>
    <t>Rajagopal.K - Sup</t>
  </si>
  <si>
    <t>Rushabh Enterprises.</t>
  </si>
  <si>
    <t>Selvakumar.G - Sup</t>
  </si>
  <si>
    <t>Seven Hill Blue Metel</t>
  </si>
  <si>
    <t>Shiv Stone Crusher</t>
  </si>
  <si>
    <t>Sitaram Cargo Movers</t>
  </si>
  <si>
    <t>Sriram.S - Sup</t>
  </si>
  <si>
    <t>Tejpal And Co</t>
  </si>
  <si>
    <t>Thamaraikannan - Sup</t>
  </si>
  <si>
    <t>Viral A Patel</t>
  </si>
  <si>
    <t>SHT LAD</t>
  </si>
  <si>
    <t>ATG Tires Pvt Ltd S.Drs.</t>
  </si>
  <si>
    <t>Bethanan Associates.</t>
  </si>
  <si>
    <t>Buildmet (Novoco) S.Drs. Chhatishgarh</t>
  </si>
  <si>
    <t>Coromandal (Ramco Ariyalur)S.Drs.</t>
  </si>
  <si>
    <t>Dedicon Engineering Pvt Ltd - Sales</t>
  </si>
  <si>
    <t>Dharumai Aathinam Priests Qtrs S.Drs</t>
  </si>
  <si>
    <t>ITC -Bhadrachalam Telangana 2019.S.Drs</t>
  </si>
  <si>
    <t>Lipika Construction - Sales</t>
  </si>
  <si>
    <t>Mela Gurumuhurtham S.Drs</t>
  </si>
  <si>
    <t>MRN Cane Power II S.Drs. Kanataka</t>
  </si>
  <si>
    <t>Nirma Limited S.Drs</t>
  </si>
  <si>
    <t>Nuvoco S.Drs - Chhatishgarh</t>
  </si>
  <si>
    <t>Ramco R R Nagar Ltd S.Drs.</t>
  </si>
  <si>
    <t>RSK Kaliyaraj Resi.S.Drs</t>
  </si>
  <si>
    <t>Sanghi Industries RMPH Chimney S.Drs</t>
  </si>
  <si>
    <t>Satguru Cement Pvt Ltd S.Drs</t>
  </si>
  <si>
    <t>Sayaji Industries Ltd S.Drs.</t>
  </si>
  <si>
    <t>Tarun Construction (Wonder Cement) S.Drs</t>
  </si>
  <si>
    <t>TNPL Unit II S.Drs</t>
  </si>
  <si>
    <t>TPL Staff Quarters - S.Drs</t>
  </si>
  <si>
    <t>Wonder Cement Ltd S.Drs</t>
  </si>
  <si>
    <t>Crs for Suppliers</t>
  </si>
  <si>
    <t>Crs For Purchase</t>
  </si>
  <si>
    <t>Seil1920</t>
  </si>
  <si>
    <t>Sathiapal Charitable Trust</t>
  </si>
  <si>
    <t>Mrs.Rekha Bahnsali A/c</t>
  </si>
  <si>
    <t>INTREST</t>
  </si>
  <si>
    <t xml:space="preserve">           </t>
  </si>
  <si>
    <t xml:space="preserve">                                                                                                                                                                                                                                                                                                                                                                                                                                                                                                                                                                                                                                                                                                                                                                                                                                                                                                                                                                                                                                                                                                                                                                                                                                                                                                                                                                                                                                                                                                                                                                                                              </t>
  </si>
  <si>
    <t>Date of Purchase / Put to use</t>
  </si>
  <si>
    <t>Particular</t>
  </si>
  <si>
    <t>Original Cost (Rs)</t>
  </si>
  <si>
    <t>Life as per Co. Act, 2013</t>
  </si>
  <si>
    <t>Salvaged value</t>
  </si>
  <si>
    <t>Depreciable amount over whole life</t>
  </si>
  <si>
    <t>Rate of Dep.</t>
  </si>
  <si>
    <t>Used during the year</t>
  </si>
  <si>
    <t>Deprication for the year</t>
  </si>
  <si>
    <t xml:space="preserve">Furniture </t>
  </si>
  <si>
    <t>Furniture</t>
  </si>
  <si>
    <t>Computer</t>
  </si>
  <si>
    <t>Plant and machinery</t>
  </si>
  <si>
    <t>Plant and Machinery</t>
  </si>
  <si>
    <t>Motor Vehicle</t>
  </si>
  <si>
    <t>Land</t>
  </si>
  <si>
    <t>land</t>
  </si>
  <si>
    <t>Total Fixed Assets</t>
  </si>
  <si>
    <t>DEPRECIATION CHART FOR F. Y. 2019-20</t>
  </si>
  <si>
    <t>FOR ASSETS PURCHASED AFTER 31.03.2020</t>
  </si>
  <si>
    <t>Deprication till 2019-20</t>
  </si>
  <si>
    <t>WDV as on 31st Mar 2020</t>
  </si>
  <si>
    <t>Dep for the Year 2019-20</t>
  </si>
  <si>
    <t>FOR ASSETS PURCHASED AFTER 31.03.2019</t>
  </si>
  <si>
    <t>(b) Basic Diluted</t>
  </si>
  <si>
    <t>Rent Payable</t>
  </si>
  <si>
    <t>rekha bhansali</t>
  </si>
  <si>
    <t>SUNDRY CREDITORS</t>
  </si>
  <si>
    <t>CRS FOR PURCHSE</t>
  </si>
  <si>
    <t>CRS FOR SUBCONTRACTORS</t>
  </si>
  <si>
    <t>CRS FOR SUPPLIERS</t>
  </si>
  <si>
    <t>LOANS &amp; ADVANCE</t>
  </si>
  <si>
    <t>STAFF LOAN &amp; ADCANCES</t>
  </si>
  <si>
    <t>CURRENT LIABILITY -SUNDRY CRS</t>
  </si>
  <si>
    <t>AMMAYAPPAR ROAD WAYS 2275</t>
  </si>
  <si>
    <t>CHITRA CASTINGS RS.175000</t>
  </si>
  <si>
    <t>HARIPRASAD RS.7066</t>
  </si>
  <si>
    <t>MESHA RS.76500</t>
  </si>
  <si>
    <t>N.K.BHANSALI RS.525000</t>
  </si>
  <si>
    <t>VIVEK DESIGNS RS. 10000</t>
  </si>
  <si>
    <t>REKHA BHANSALI RS.1718775</t>
  </si>
  <si>
    <t>(CURRENT ASSETS - LOANS AND ADVANCES ASSET</t>
  </si>
  <si>
    <t>INTEREST RECEIVABLES</t>
  </si>
  <si>
    <t>P&amp;L - CONTRACTS</t>
  </si>
  <si>
    <t>P&amp;L - INDIRECT INCOME</t>
  </si>
  <si>
    <t>CSR  TO BE SHOWN IN P&amp; L</t>
  </si>
  <si>
    <t xml:space="preserve">       CRS.FOR PURCHASE 3155764.6</t>
  </si>
  <si>
    <t xml:space="preserve">      CRS FOR SUB.CON 7969523.5</t>
  </si>
  <si>
    <t xml:space="preserve">     CRS FOR SUPPLIER 3123374</t>
  </si>
  <si>
    <t xml:space="preserve">       (LOANS &amp; ADVANCE - TDS CLIENTS)</t>
  </si>
  <si>
    <t xml:space="preserve">       (LOANS &amp; ADVANCE - ADVANCE INCOME TAX</t>
  </si>
  <si>
    <t>CURRENT LAIBILITY</t>
  </si>
  <si>
    <t>OTHER LONG TERM LAIBILITY</t>
  </si>
  <si>
    <t>sundry creditors</t>
  </si>
  <si>
    <t>surdry creditors</t>
  </si>
  <si>
    <t>AUDIT FEE PAY</t>
  </si>
  <si>
    <t>SALARY PAY</t>
  </si>
  <si>
    <t>PF PAY</t>
  </si>
  <si>
    <t>RENT PAY</t>
  </si>
  <si>
    <t>TDS PAY</t>
  </si>
  <si>
    <t>OTHER EX</t>
  </si>
  <si>
    <t>DEBIT</t>
  </si>
  <si>
    <t>sd</t>
  </si>
  <si>
    <t>customer advance</t>
  </si>
  <si>
    <t>security deposits</t>
  </si>
  <si>
    <t>SRTL(loans and advance)</t>
  </si>
  <si>
    <t>SHRT(LOAND AND ADVANCE)</t>
  </si>
  <si>
    <t>SHRT(OTHER LOAND AND ADVANCE)</t>
  </si>
  <si>
    <t>STL&amp;A(ITAD)</t>
  </si>
  <si>
    <t>STL&amp;A(TDS)</t>
  </si>
  <si>
    <t>OTCA(INTREST)18</t>
  </si>
  <si>
    <t>STP(ITTAX)9</t>
  </si>
  <si>
    <t>Dividend distribution tax Paid on Interim dividend</t>
  </si>
  <si>
    <t>Engineering &amp; Construction</t>
  </si>
  <si>
    <t>or</t>
  </si>
  <si>
    <t>( K.VISALAKSHI)</t>
  </si>
  <si>
    <t>Retention Money</t>
  </si>
  <si>
    <t>Salary Payable</t>
  </si>
  <si>
    <t>Note No:10 PROPERTY PLANT &amp; EQUIPMENT: (AS PER COMPANIES ACT, 2013)</t>
  </si>
  <si>
    <t xml:space="preserve">     Add: Surcharge @ 10% on above</t>
  </si>
  <si>
    <t>Add Intrest u/s - 234C</t>
  </si>
  <si>
    <t>I . Tax on Total Income @ 22% u/s 115 BAA</t>
  </si>
  <si>
    <t xml:space="preserve">M/s. Sathiapal Engineers (India) Private Limited formerly known as M/s. Sathiapal Engineers (India) Limitedis registered with the Chennai Registrar of Companies as a  Public  Limited Company on 07th March 2002 vide Registration no. U74210TN2002PLCO48568 </t>
  </si>
  <si>
    <t xml:space="preserve">Depreciation as per Companies Act </t>
  </si>
  <si>
    <t>Original Cost of the Asset</t>
  </si>
  <si>
    <t>Deletions</t>
  </si>
  <si>
    <t>Gross Asset</t>
  </si>
  <si>
    <t>Useful life in days</t>
  </si>
  <si>
    <t>Opening WDV as on 01-04-2020</t>
  </si>
  <si>
    <t>No of days used till 31-03-2020</t>
  </si>
  <si>
    <t>No of days used in CY 2020-21</t>
  </si>
  <si>
    <t>Accumulated depreciation upto 01-04-2020</t>
  </si>
  <si>
    <t>Depreciation for the CY 2020-21</t>
  </si>
  <si>
    <t>Accumulated depreciation upto 31-03-2021</t>
  </si>
  <si>
    <t>Closing WDV as on 31-03-2021</t>
  </si>
  <si>
    <t>Workings</t>
  </si>
  <si>
    <t>OC- depble</t>
  </si>
  <si>
    <t>Sealing machine</t>
  </si>
  <si>
    <t>ETO Stabilizer</t>
  </si>
  <si>
    <t>AHU</t>
  </si>
  <si>
    <t>Air Conditioner</t>
  </si>
  <si>
    <t>Bar coding machine</t>
  </si>
  <si>
    <t>Camera</t>
  </si>
  <si>
    <t>Nissan Car</t>
  </si>
  <si>
    <t>Cutter machine</t>
  </si>
  <si>
    <t>Cyclomixer</t>
  </si>
  <si>
    <t>Drilling machine</t>
  </si>
  <si>
    <t>Dry bath Incubator</t>
  </si>
  <si>
    <t>Electro pneumatic system</t>
  </si>
  <si>
    <t>EPABX</t>
  </si>
  <si>
    <t>Foot Operated Sealing Machine</t>
  </si>
  <si>
    <t>Furniture and Fittings</t>
  </si>
  <si>
    <t>Generator &amp; UPS</t>
  </si>
  <si>
    <t>Hand Operated Sealing Machine</t>
  </si>
  <si>
    <t>Horizontal sealer</t>
  </si>
  <si>
    <t>Lab Equipments</t>
  </si>
  <si>
    <t>Office Equipment</t>
  </si>
  <si>
    <t>Tvs Msp 240 Classic Printer</t>
  </si>
  <si>
    <t>Solid Ink Coder</t>
  </si>
  <si>
    <t>Tipping  &amp; Punching Machine</t>
  </si>
  <si>
    <t>Tube Cutting Machine</t>
  </si>
  <si>
    <t>TVS Streek</t>
  </si>
  <si>
    <t>TVS XL Super</t>
  </si>
  <si>
    <t>Vaccum Cleaner</t>
  </si>
  <si>
    <t>Weiging scale</t>
  </si>
  <si>
    <t>PVC Welding Machine</t>
  </si>
  <si>
    <t>Semi Automatic Batch Printing</t>
  </si>
  <si>
    <t>Hero Honda Motor Cycle</t>
  </si>
  <si>
    <t>Crates</t>
  </si>
  <si>
    <t>Water Motor</t>
  </si>
  <si>
    <t>Compressor</t>
  </si>
  <si>
    <t>Eicher- Staff Bus</t>
  </si>
  <si>
    <t>Printer</t>
  </si>
  <si>
    <t>Elevator</t>
  </si>
  <si>
    <t>Furniture and Fixtures</t>
  </si>
  <si>
    <t>Generator &amp; UPS 18%</t>
  </si>
  <si>
    <t>Generator &amp; UPS 28%</t>
  </si>
  <si>
    <t>Lab Equipments-GST</t>
  </si>
  <si>
    <t>Weighing Scale GST 18%</t>
  </si>
  <si>
    <t xml:space="preserve"> -   </t>
  </si>
  <si>
    <t>Air Conditioner GST 18%</t>
  </si>
  <si>
    <t>Furniture &amp; Fixtures</t>
  </si>
  <si>
    <t>Generator, UPS &amp; Stabilizer</t>
  </si>
  <si>
    <t>Hot Water Generator</t>
  </si>
  <si>
    <t>Laptop</t>
  </si>
  <si>
    <t>SI.NO</t>
  </si>
  <si>
    <t>TOTAL VALUE</t>
  </si>
  <si>
    <t>1-Apr-2020 to 31-Mar-2021</t>
  </si>
  <si>
    <t>J. Murali &amp; Co</t>
  </si>
  <si>
    <t>SaI Safety Consortium Pvt Ltd</t>
  </si>
  <si>
    <t>Sethiya &amp;Co</t>
  </si>
  <si>
    <t>AK Agencies.</t>
  </si>
  <si>
    <t>Anish Tools &amp; Hardwares</t>
  </si>
  <si>
    <t>A.R.Battery Sales &amp; Services</t>
  </si>
  <si>
    <t>Best Choice Technologies</t>
  </si>
  <si>
    <t>Bhavani Enterprise</t>
  </si>
  <si>
    <t>Binod Kumar Newatia</t>
  </si>
  <si>
    <t>Bombay Traders</t>
  </si>
  <si>
    <t>Champion Refratech Pvt Ltd</t>
  </si>
  <si>
    <t>Eastern Trading Company</t>
  </si>
  <si>
    <t>Hallikeri Traders</t>
  </si>
  <si>
    <t>Hannan Traders</t>
  </si>
  <si>
    <t>Hycon</t>
  </si>
  <si>
    <t>India Chain &amp; Slings</t>
  </si>
  <si>
    <t>Indiana Gratings Pvt Ltd</t>
  </si>
  <si>
    <t>Jaypee (India) Ltd.</t>
  </si>
  <si>
    <t>JRVS Ispat Pvt Ltd- ITC Sup.</t>
  </si>
  <si>
    <t>Kalinga Testing Instruments Pvt Ltd</t>
  </si>
  <si>
    <t>Karam Industries</t>
  </si>
  <si>
    <t>K.R.Engineering-Satguru Site</t>
  </si>
  <si>
    <t>Krishna Traders</t>
  </si>
  <si>
    <t>Lecant Engineering</t>
  </si>
  <si>
    <t>Makbros Sales</t>
  </si>
  <si>
    <t>Maniyar Steel</t>
  </si>
  <si>
    <t>Mintake Electronics Pvt Ltd</t>
  </si>
  <si>
    <t>Nilkamal Paints &amp; Hardware</t>
  </si>
  <si>
    <t>Om Steel Corporation.</t>
  </si>
  <si>
    <t>Oriental Aquapure INC</t>
  </si>
  <si>
    <t>Pathak Brothers-KEC Supplier</t>
  </si>
  <si>
    <t>Preetam Pipes Syndicate</t>
  </si>
  <si>
    <t>Ragavendra Power Tools - MVM</t>
  </si>
  <si>
    <t>Rainbow Sales Corporation</t>
  </si>
  <si>
    <t>Rakesh Marbles (Satguru)</t>
  </si>
  <si>
    <t>Rengaraj Transport-Philips Carban Site</t>
  </si>
  <si>
    <t>Sai Electronics Equipment Co</t>
  </si>
  <si>
    <t>Sai Nishta Agro and Engineering</t>
  </si>
  <si>
    <t>Shanmugam &amp; Company</t>
  </si>
  <si>
    <t>Shree Umia Saw Mill</t>
  </si>
  <si>
    <t>Sri Lakshmi Traders</t>
  </si>
  <si>
    <t>Sri Maha Sai Traders</t>
  </si>
  <si>
    <t>Sri Rama Krishna Hardwares</t>
  </si>
  <si>
    <t>Sri Ramanjaneya Steel Traders</t>
  </si>
  <si>
    <t>Sri Sai Agencies - Itc Bhatrachalam</t>
  </si>
  <si>
    <t>Sri Sai Safety Equipments</t>
  </si>
  <si>
    <t>Sri Venkateswara Hw &amp; Plywood</t>
  </si>
  <si>
    <t>Sri Venkatramana General Store</t>
  </si>
  <si>
    <t>Steel World</t>
  </si>
  <si>
    <t>STP Limited</t>
  </si>
  <si>
    <t>Swan Machine Tools Pvt Ltd</t>
  </si>
  <si>
    <t>Udyogi Plastics Pvt Ltd</t>
  </si>
  <si>
    <t>Usha Metal Industries Pvt Ltd</t>
  </si>
  <si>
    <t>Villupuram Tools &amp; Hardwares</t>
  </si>
  <si>
    <t>Wellworth Wire Ropes Pvt Ltd</t>
  </si>
  <si>
    <t>Abdulkhadar Sannagudusab-Sub EID Parry Site</t>
  </si>
  <si>
    <t>Aishwarya Global Infra Tech</t>
  </si>
  <si>
    <t>Anandarajan - Painter</t>
  </si>
  <si>
    <t>GANESH SETTI - JACK ROD THREADING CCCL VIZAG</t>
  </si>
  <si>
    <t>Hanumappa (MRN) - Sub</t>
  </si>
  <si>
    <t>Indal Singh-Sub</t>
  </si>
  <si>
    <t>Manikandan - Sub</t>
  </si>
  <si>
    <t>MGM Earth Movers</t>
  </si>
  <si>
    <t>Mithun Paswan</t>
  </si>
  <si>
    <t>Mohan.K - Dalmia Site</t>
  </si>
  <si>
    <t>Paulraj (Ramco RR Nagar) - Sub</t>
  </si>
  <si>
    <t>Peter George A - Sub</t>
  </si>
  <si>
    <t>Precision Associates Pvt Ltd-Itc Site</t>
  </si>
  <si>
    <t>Rajesh Prajapiti - Sub</t>
  </si>
  <si>
    <t>Raju Kumar Patel - Mason</t>
  </si>
  <si>
    <t>Ramachandra Jena - Sub</t>
  </si>
  <si>
    <t>Ramaswami Shanmugam - Itc</t>
  </si>
  <si>
    <t>Sri Saai Shan Engineering - Sub</t>
  </si>
  <si>
    <t>Sukhlal Tudu-Sub (Chaliyama)</t>
  </si>
  <si>
    <t>Valimohammed Jusab &amp; Co</t>
  </si>
  <si>
    <t>Venkatesan.A. Satguru Site</t>
  </si>
  <si>
    <t>Balamurugan Blue Metal-Sup Dalmia Site</t>
  </si>
  <si>
    <t>Bharath Transports</t>
  </si>
  <si>
    <t>CRM Refratech  Private  Limited</t>
  </si>
  <si>
    <t>Dalmia Cement (Bharat ) Ltd -Sup</t>
  </si>
  <si>
    <t>Govind Scaffolding-Satguru Site</t>
  </si>
  <si>
    <t>Irbaz - (Good Luck Enterprises) -  Sup</t>
  </si>
  <si>
    <t>Omega Works-Nuvoco Sup</t>
  </si>
  <si>
    <t>P.L.Enterprises- Sup</t>
  </si>
  <si>
    <t>Srinivasa Rao.B (Itc) - SUP</t>
  </si>
  <si>
    <t>Subham Travels</t>
  </si>
  <si>
    <t>Sudhanshu Pradhan.Sup (Chaliyama)</t>
  </si>
  <si>
    <t>Vishal Constructions- EID Parry Site</t>
  </si>
  <si>
    <t>Vishwa Infra Con</t>
  </si>
  <si>
    <t>CCCL-Vizag S.Drs</t>
  </si>
  <si>
    <t>Coromandal Engg Co Ltd (RMC) S.DRS</t>
  </si>
  <si>
    <t>Dalmia Cement (Bharat) Ltd S.Drs</t>
  </si>
  <si>
    <t>EID Parry Karnataka S.Drs.</t>
  </si>
  <si>
    <t>Gujarat Ambuja Himatnagar S.Drs</t>
  </si>
  <si>
    <t>Gujarat Ambuja Kolkatta S.Drs</t>
  </si>
  <si>
    <t>Hotel Sadhabishegam Cottage Renovation Work S.Drs</t>
  </si>
  <si>
    <t>KEC International Ltd (JHARKHAND) S.Drs</t>
  </si>
  <si>
    <t>Nuvoco II S.Drs. Jojobera Cement Jharkhand</t>
  </si>
  <si>
    <t>Philips Carban S.Drs</t>
  </si>
  <si>
    <t>Resurgent (ISMT) S.Drs</t>
  </si>
  <si>
    <t>Rungta Mines (Chaliyama) Jharkhand S.Drs</t>
  </si>
  <si>
    <t>Rungta Mines Kamanda S.Drs</t>
  </si>
  <si>
    <t>Vilanagar S.Drs</t>
  </si>
  <si>
    <t>Mvm Cash</t>
  </si>
  <si>
    <t>SBI Kilpauk SEIPL A/c</t>
  </si>
  <si>
    <t>EID Parry Karnataka Site</t>
  </si>
  <si>
    <t>GOEL Ultratech Site</t>
  </si>
  <si>
    <t>Gujarat Ambuja  Himatnagar Gujarat Site</t>
  </si>
  <si>
    <t>Gujarat Ambuja Hubli Karnataka Site</t>
  </si>
  <si>
    <t>Gujarat Ambuja  Kolkatta Site</t>
  </si>
  <si>
    <t>Indian Oil Corporation Ltd Site</t>
  </si>
  <si>
    <t>KEC Site (CHIMNEY) Jharkhand</t>
  </si>
  <si>
    <t>KEC Ultratech Site (Silo) M.P</t>
  </si>
  <si>
    <t>Megamani (Thyssen) Site</t>
  </si>
  <si>
    <t>Rungta Mines (Kamanda - Odisha) Site</t>
  </si>
  <si>
    <t>Kesavan</t>
  </si>
  <si>
    <t>WELDER WAGES</t>
  </si>
  <si>
    <t>AMC Charges</t>
  </si>
  <si>
    <t>MISC - EXPENSES H.O</t>
  </si>
  <si>
    <t>Sriram Safety @Quality Management  Pvt Ltd</t>
  </si>
  <si>
    <t>Odisha CGST</t>
  </si>
  <si>
    <t>Odisha SGST</t>
  </si>
  <si>
    <t>INCOME TAX</t>
  </si>
  <si>
    <t>INCOME TAX P.L</t>
  </si>
  <si>
    <t>Advance Income Tax 17-18</t>
  </si>
  <si>
    <t>salary payable</t>
  </si>
  <si>
    <t>expense payable</t>
  </si>
  <si>
    <t>closing 2020</t>
  </si>
  <si>
    <t>other loans and advances</t>
  </si>
  <si>
    <t>(old tally back up correct 6179528)</t>
  </si>
  <si>
    <t>Deposits with bank</t>
  </si>
  <si>
    <t>Other advances</t>
  </si>
  <si>
    <t>construction material consumed</t>
  </si>
  <si>
    <t>14,22</t>
  </si>
  <si>
    <t>staff welfare</t>
  </si>
  <si>
    <t>Salary and wages</t>
  </si>
  <si>
    <t>Director Remuneration</t>
  </si>
  <si>
    <t>No bad debts</t>
  </si>
  <si>
    <t>Sathiyal trust no amount found</t>
  </si>
  <si>
    <t>professional tax</t>
  </si>
  <si>
    <t>rent</t>
  </si>
  <si>
    <t>Amc charges</t>
  </si>
  <si>
    <t>Repairs and maintanace</t>
  </si>
  <si>
    <t>Legal and professional charges</t>
  </si>
  <si>
    <t>Marketing expenses</t>
  </si>
  <si>
    <t>No effect</t>
  </si>
  <si>
    <t>13(A)</t>
  </si>
  <si>
    <t>actual value in tally given at the time of reconcillation 940700 was correct now wrong)</t>
  </si>
  <si>
    <t xml:space="preserve">                                    </t>
  </si>
  <si>
    <t>B.Thirugnanam Pillai &amp; Sons</t>
  </si>
  <si>
    <t>MK Timbers</t>
  </si>
  <si>
    <t>Raja Granites</t>
  </si>
  <si>
    <t>Selva Pipes and Steel Agencies</t>
  </si>
  <si>
    <t>Sri Gangai Associates</t>
  </si>
  <si>
    <t>Arul.B Sub Cont</t>
  </si>
  <si>
    <t>Dinesh Kumar.T</t>
  </si>
  <si>
    <t>Ilayaraja. R TIles Layer</t>
  </si>
  <si>
    <t>Rajamuguran.R</t>
  </si>
  <si>
    <t>Tamilselvan.M - Sub</t>
  </si>
  <si>
    <t>Vijay.R Stone Cutter</t>
  </si>
  <si>
    <t>Deivasigamani.R.Sup</t>
  </si>
  <si>
    <t>Gopi - Sup</t>
  </si>
  <si>
    <t>Kumar  - Bricks Supplier</t>
  </si>
  <si>
    <t>Natarajan.S - Sup</t>
  </si>
  <si>
    <t>Ravanan.C</t>
  </si>
  <si>
    <t>Ravi.K - Sup</t>
  </si>
  <si>
    <t>Sri Angala Parmaeswari Agencies</t>
  </si>
  <si>
    <t>Shanmugasundaram - Sup</t>
  </si>
  <si>
    <t>Velmurugan - Sup</t>
  </si>
  <si>
    <t>INTEREST RECEIVABLE</t>
  </si>
  <si>
    <t>Vehicle Maintenance</t>
  </si>
  <si>
    <t>ELECTRICITY CHARGES</t>
  </si>
  <si>
    <t>Telephone Deposit</t>
  </si>
  <si>
    <t>8(iii)</t>
  </si>
  <si>
    <t xml:space="preserve">schedule </t>
  </si>
  <si>
    <t>no</t>
  </si>
  <si>
    <t>head</t>
  </si>
  <si>
    <t>8(ii)</t>
  </si>
  <si>
    <t>8(i)</t>
  </si>
  <si>
    <t>relative</t>
  </si>
  <si>
    <t>16(a)</t>
  </si>
  <si>
    <t>16(b)</t>
  </si>
  <si>
    <t>16(di)</t>
  </si>
  <si>
    <t>16 d(ii)</t>
  </si>
  <si>
    <t>creditor for purchase</t>
  </si>
  <si>
    <t>14&amp;22</t>
  </si>
  <si>
    <t>Salary</t>
  </si>
  <si>
    <t>legal and professional</t>
  </si>
  <si>
    <t>Professional charges</t>
  </si>
  <si>
    <t>Advance to employee</t>
  </si>
  <si>
    <t>cr for expenses</t>
  </si>
  <si>
    <t>crs for purchase</t>
  </si>
  <si>
    <t>Retention money</t>
  </si>
  <si>
    <t>DEPRECIATION CHART FOR F. Y. 2020-21</t>
  </si>
  <si>
    <t>Dep for the Year 2020-21</t>
  </si>
  <si>
    <t>WDV as on 31st Mar 2021</t>
  </si>
  <si>
    <t>Balance Sheet</t>
  </si>
  <si>
    <t>Liabilities</t>
  </si>
  <si>
    <t>Loans (Liability)</t>
  </si>
  <si>
    <t>STAFF DEPOSIT</t>
  </si>
  <si>
    <t>Crs. for I.T</t>
  </si>
  <si>
    <t>Apex Topomappers Pvt Ltd</t>
  </si>
  <si>
    <t>Loyyal Battery Service</t>
  </si>
  <si>
    <t>Niranjan -  S.Holder</t>
  </si>
  <si>
    <t>RAJATHILAGAM.S    Dir.Loan</t>
  </si>
  <si>
    <t>Ramalingam.V Dr. S.H</t>
  </si>
  <si>
    <t>SATHIAPAL.S.  D. LOAN</t>
  </si>
  <si>
    <t>Sugunthakumari.R - S.Holder</t>
  </si>
  <si>
    <t>Closing Stock</t>
  </si>
  <si>
    <t>Deposits (Asset)</t>
  </si>
  <si>
    <t>Haryana CGST</t>
  </si>
  <si>
    <t>Haryana SGST</t>
  </si>
  <si>
    <t>ABG Site</t>
  </si>
  <si>
    <t>Abhijeet III Site</t>
  </si>
  <si>
    <t>Abhijeet IV SITE</t>
  </si>
  <si>
    <t>Abhijeet Site</t>
  </si>
  <si>
    <t>Ala Dandapani Cement Site</t>
  </si>
  <si>
    <t>Alagu Jothi Arch Work Site</t>
  </si>
  <si>
    <t>Alagu Jothi Existing Work Site</t>
  </si>
  <si>
    <t>Uttarkhand CGST</t>
  </si>
  <si>
    <t>Alagu Jothi  II Site</t>
  </si>
  <si>
    <t>Uttarkhand SGST</t>
  </si>
  <si>
    <t>Ambuja Cement Site</t>
  </si>
  <si>
    <t>West Bengal CGST</t>
  </si>
  <si>
    <t>West Bengal SGST</t>
  </si>
  <si>
    <t>Anrak Aluminium II Site</t>
  </si>
  <si>
    <t>Anrak Aluminium Site</t>
  </si>
  <si>
    <t>A.R.S.Metal Site</t>
  </si>
  <si>
    <t>SECURED LOAN</t>
  </si>
  <si>
    <t>ATC Tires Vizag (21-22) Site</t>
  </si>
  <si>
    <t>Opening Balance</t>
  </si>
  <si>
    <t>AVC Charities Site</t>
  </si>
  <si>
    <t>Current Period</t>
  </si>
  <si>
    <t>AVC Diamond Jubliee Site</t>
  </si>
  <si>
    <t>AVC Kalyana Mandapam Site</t>
  </si>
  <si>
    <t>Avc Ladies Toilet Site</t>
  </si>
  <si>
    <t>Avc NRI Student Room Site</t>
  </si>
  <si>
    <t>Avc Toilet Block Site</t>
  </si>
  <si>
    <t>AVC Womens Hostel Site</t>
  </si>
  <si>
    <t>Axon Constructions (Rkm) Site</t>
  </si>
  <si>
    <t>Ayyakannu House Site</t>
  </si>
  <si>
    <t>Bajaj Hindusthan Site</t>
  </si>
  <si>
    <t>Baliraja Site</t>
  </si>
  <si>
    <t>Birla Corporation Ltd Site</t>
  </si>
  <si>
    <t>Cccl Kallur Site</t>
  </si>
  <si>
    <t>CCCL-Karikali Chimney II Site</t>
  </si>
  <si>
    <t>CCCL - Karikali Site</t>
  </si>
  <si>
    <t>Chidambaram Apartment Site</t>
  </si>
  <si>
    <t>Coromandal Sugar Site</t>
  </si>
  <si>
    <t>Cvl - Abg Surat Site</t>
  </si>
  <si>
    <t>Cvl - Aryan Site</t>
  </si>
  <si>
    <t>CVL-Meghmani II Site</t>
  </si>
  <si>
    <t>EID Parry Site</t>
  </si>
  <si>
    <t>ELECTRO THERM II SITE</t>
  </si>
  <si>
    <t>Enmas (ITC ) Site</t>
  </si>
  <si>
    <t>Essar NLC Site</t>
  </si>
  <si>
    <t>Essar Site</t>
  </si>
  <si>
    <t>Finolex II Site</t>
  </si>
  <si>
    <t>Gammon India Site</t>
  </si>
  <si>
    <t>Girija II Site</t>
  </si>
  <si>
    <t>Girija Site</t>
  </si>
  <si>
    <t>Godavari Site</t>
  </si>
  <si>
    <t>Greenesol Power II Site</t>
  </si>
  <si>
    <t>Greenesol Power Site</t>
  </si>
  <si>
    <t>Gujarat Ambuja Uttarakhand Site</t>
  </si>
  <si>
    <t>Hiranyakeshi S.S.K.N Site</t>
  </si>
  <si>
    <t>Hi-Tech Carban Site</t>
  </si>
  <si>
    <t>Indian Sugar Site</t>
  </si>
  <si>
    <t>Indure Pvt Ltd Site</t>
  </si>
  <si>
    <t>J.K CC Flooring  / Road Work Site</t>
  </si>
  <si>
    <t>JK Cement III (C.F.Silo) Site</t>
  </si>
  <si>
    <t>JK Cement Site</t>
  </si>
  <si>
    <t>J.P.Cement Bara Site</t>
  </si>
  <si>
    <t>J.P.Cement Nigrie Site</t>
  </si>
  <si>
    <t>J P Cement Shahabad P.Coke Silo Site</t>
  </si>
  <si>
    <t>J.P Cement Shahabad Silo Site</t>
  </si>
  <si>
    <t>J.P.Cement Shahabad Site</t>
  </si>
  <si>
    <t>JSP Odisha 2021 Site</t>
  </si>
  <si>
    <t>Kadwa Goda(Tamhankar Patil) Site</t>
  </si>
  <si>
    <t>Kamachi Sponge &amp; Power Site</t>
  </si>
  <si>
    <t>KEC -  ACC CEMENT SITE</t>
  </si>
  <si>
    <t>Lokmangal Mauli Industries Site</t>
  </si>
  <si>
    <t>L &amp; T ANNARPADU SITE</t>
  </si>
  <si>
    <t>L &amp; T Bairavanbally Site</t>
  </si>
  <si>
    <t>L &amp; T BONAKAL SITE</t>
  </si>
  <si>
    <t>L &amp; T DEVAGUDA (ADILABAD) SITE</t>
  </si>
  <si>
    <t>L &amp; T HIMMAM NAGAR SITE</t>
  </si>
  <si>
    <t>L &amp; T JULARPADU SITE</t>
  </si>
  <si>
    <t>L &amp; T KATRLA (ADILABAD) SITE</t>
  </si>
  <si>
    <t>L &amp; T KHANKHANPET SITE</t>
  </si>
  <si>
    <t>L &amp; T (KORATLAGODEM) SITE</t>
  </si>
  <si>
    <t>L&amp;T (Koratla Kothur)</t>
  </si>
  <si>
    <t>L &amp; T LAMBADITHANDA (ADILABAD) SITE</t>
  </si>
  <si>
    <t>L &amp; T Madhapur Site</t>
  </si>
  <si>
    <t>L &amp; T (Madhavapuram) Site</t>
  </si>
  <si>
    <t>L &amp; T MADHIRA SITE</t>
  </si>
  <si>
    <t>L &amp; T Maralapadu Site</t>
  </si>
  <si>
    <t>L &amp; T NARASHIMPET SITE</t>
  </si>
  <si>
    <t>L &amp; T N.R Pet Site</t>
  </si>
  <si>
    <t>L &amp; T PALLAWADA SITE</t>
  </si>
  <si>
    <t>L &amp; T PATHRALABADU SITE</t>
  </si>
  <si>
    <t>L &amp; T PETHAKOPI SITE</t>
  </si>
  <si>
    <t>L &amp; T RAJALAGUDA SITE</t>
  </si>
  <si>
    <t>L&amp;T (Ramanapalayam) Site</t>
  </si>
  <si>
    <t>L &amp; T RANGANPAUNCHER SITE</t>
  </si>
  <si>
    <t>L &amp; T SAVARI SITE</t>
  </si>
  <si>
    <t>L &amp; T Seetharamapuram Site</t>
  </si>
  <si>
    <t>L&amp; T Sirpur Site</t>
  </si>
  <si>
    <t>L &amp; T Sriramapuramthanda Site</t>
  </si>
  <si>
    <t>L &amp; T TTL Petta Site</t>
  </si>
  <si>
    <t>L &amp; T V.M.Punture Site</t>
  </si>
  <si>
    <t>L &amp; T VR Thanda Site</t>
  </si>
  <si>
    <t>Madras Cement II Site</t>
  </si>
  <si>
    <t>Madras Cement R.R.Nagar Silo Site</t>
  </si>
  <si>
    <t>Marwar Cement Site</t>
  </si>
  <si>
    <t>Monnet Ispat &amp; Energy III Site</t>
  </si>
  <si>
    <t>Monnet Ispat IV Site</t>
  </si>
  <si>
    <t>MRK Co-Op Sugar Site</t>
  </si>
  <si>
    <t>My Home Site</t>
  </si>
  <si>
    <t>Natarajan House Site</t>
  </si>
  <si>
    <t>Natarajar Prakara Mandapam Site</t>
  </si>
  <si>
    <t>Navabharath Energy India Ltd Site</t>
  </si>
  <si>
    <t>Navabharat Ventures Ltd Site</t>
  </si>
  <si>
    <t>NCC BANDAWARAM SITE</t>
  </si>
  <si>
    <t>NCC GINGURUTHI SITE</t>
  </si>
  <si>
    <t>NCC KARIMPUR SITE</t>
  </si>
  <si>
    <t>NCC MARAPALLI SITE</t>
  </si>
  <si>
    <t>NCC MONMINPETTA SITE</t>
  </si>
  <si>
    <t>NCC Pakdiyal Site</t>
  </si>
  <si>
    <t>NCC Thandur Site</t>
  </si>
  <si>
    <t>NCC THORMAMODI SITE</t>
  </si>
  <si>
    <t>Nmp Readymades Site</t>
  </si>
  <si>
    <t>Opg Power Chimney III Site</t>
  </si>
  <si>
    <t>Parasalur Compound Wall Site</t>
  </si>
  <si>
    <t>Parasalur Kattalai Madam Site</t>
  </si>
  <si>
    <t>Ponni Sugars Site</t>
  </si>
  <si>
    <t>PRG Allampally Site</t>
  </si>
  <si>
    <t>PRG Buildcon Bollaram  Site</t>
  </si>
  <si>
    <t>PRG Buildcon Devakatra Site</t>
  </si>
  <si>
    <t>PRG Buildcon Rampur Gudda Site</t>
  </si>
  <si>
    <t>SBQ Steel Site</t>
  </si>
  <si>
    <t>Shankaran House Site</t>
  </si>
  <si>
    <t>Shri Sai Priya Sugar II Site</t>
  </si>
  <si>
    <t>Singarathottam Compound Wall (Daac)</t>
  </si>
  <si>
    <t>Spy Agro Industries Site</t>
  </si>
  <si>
    <t>Sri Ganesan Enterprises (NLC) Site</t>
  </si>
  <si>
    <t>Sri Vinayaka Paper Board Site</t>
  </si>
  <si>
    <t>Suryadev Alloys &amp; Power Silo Site</t>
  </si>
  <si>
    <t>Suryadev Alloys &amp; Power Site</t>
  </si>
  <si>
    <t>Thermax - Icl Site</t>
  </si>
  <si>
    <t>Thirukadaiyur Compound Wall Site</t>
  </si>
  <si>
    <t>Thyssen Krupp India Cement Site</t>
  </si>
  <si>
    <t>Thyssen Krupp Oriental Site</t>
  </si>
  <si>
    <t>Tulsyan Nec Site</t>
  </si>
  <si>
    <t>TVH Arignar Anna Site</t>
  </si>
  <si>
    <t>TVH.Subramania Siva Co-Op Sugar Site</t>
  </si>
  <si>
    <t>TWIN HOUSES SITE</t>
  </si>
  <si>
    <t>Vallalar Kovil V House Site</t>
  </si>
  <si>
    <t>Vitthal Site</t>
  </si>
  <si>
    <t>V.R Earth Movers.II Site</t>
  </si>
  <si>
    <t>Wall Chand Nagar Industries Site</t>
  </si>
  <si>
    <t>Avc Primary Health Center Site</t>
  </si>
  <si>
    <t>Dr.V.R.House Site</t>
  </si>
  <si>
    <t>GGSMM School II Site</t>
  </si>
  <si>
    <t>Misc. Expenses (ASSET)</t>
  </si>
  <si>
    <t>ANBURAJ - DRIVER</t>
  </si>
  <si>
    <t>Ashok Kumar Nayak</t>
  </si>
  <si>
    <t>Baban Kumar Rout</t>
  </si>
  <si>
    <t>Balamurugan.K.</t>
  </si>
  <si>
    <t>Chinnadurai.G</t>
  </si>
  <si>
    <t>Ganesan.G.</t>
  </si>
  <si>
    <t>Ganesan. L</t>
  </si>
  <si>
    <t>Gunasekaran.S.</t>
  </si>
  <si>
    <t>Jahangir.P</t>
  </si>
  <si>
    <t>JAYARAJ . N</t>
  </si>
  <si>
    <t>Juliet.M.</t>
  </si>
  <si>
    <t>Kaliyaperumal.M.</t>
  </si>
  <si>
    <t>Karthikeyan Mmd</t>
  </si>
  <si>
    <t>Manoj Kumar.P.</t>
  </si>
  <si>
    <t>Murugaperumal</t>
  </si>
  <si>
    <t>MUTHU KUMAR.P.</t>
  </si>
  <si>
    <t>NAGARATHINAM.D</t>
  </si>
  <si>
    <t>Packiaraj.K.</t>
  </si>
  <si>
    <t>Peter Francis</t>
  </si>
  <si>
    <t>Prasanth Kumar Rout</t>
  </si>
  <si>
    <t>Priya.N.</t>
  </si>
  <si>
    <t>Rajapandi</t>
  </si>
  <si>
    <t>Rajesh.B</t>
  </si>
  <si>
    <t>Rameshkumar</t>
  </si>
  <si>
    <t>Sankar.N.K.</t>
  </si>
  <si>
    <t>SANKAR.S.</t>
  </si>
  <si>
    <t>Santhosh.M.S.</t>
  </si>
  <si>
    <t>Sarangabani.G.</t>
  </si>
  <si>
    <t>Senthil Kumar.P.</t>
  </si>
  <si>
    <t>Singaravel.S.</t>
  </si>
  <si>
    <t>Sivaraj.V.</t>
  </si>
  <si>
    <t>SOUNDARAJAN.S</t>
  </si>
  <si>
    <t>Sujatha.M.</t>
  </si>
  <si>
    <t>Tamilmani .V.</t>
  </si>
  <si>
    <t>Thiyagarajan.S</t>
  </si>
  <si>
    <t>Vadugabalan.G</t>
  </si>
  <si>
    <t>Vinothini.S.</t>
  </si>
  <si>
    <t>Vinoth Kumar.V.</t>
  </si>
  <si>
    <t>Mohan Kumar - T/E (MVM) - Loan</t>
  </si>
  <si>
    <t>Sales Tax Deposite</t>
  </si>
  <si>
    <t>Sudhakar - T/E (Mvm) - Loan</t>
  </si>
  <si>
    <t>as at 31-Mar-2021</t>
  </si>
  <si>
    <t>CONTRACT RECEIPTS</t>
  </si>
  <si>
    <t>Gross Profit b/f</t>
  </si>
  <si>
    <t>Divdend</t>
  </si>
  <si>
    <t>R.R. Stone</t>
  </si>
  <si>
    <t>Store Materials</t>
  </si>
  <si>
    <t>Gross Profit c/o</t>
  </si>
  <si>
    <t>DEFERRED TAX LIABILITY P.L</t>
  </si>
  <si>
    <t>DEPRECIATION</t>
  </si>
  <si>
    <t>Dividend Paid</t>
  </si>
  <si>
    <t>Dividend Tax</t>
  </si>
  <si>
    <t>Fringe Benefit Tax</t>
  </si>
  <si>
    <t>Preliminary Expenses Written Off</t>
  </si>
  <si>
    <t>RESERVES &amp; SURPLUS P&amp;L</t>
  </si>
  <si>
    <t>Short Provision Made</t>
  </si>
  <si>
    <t>CSR Donation</t>
  </si>
  <si>
    <t>Group Gratuity Scheme</t>
  </si>
  <si>
    <t>Rates &amp; Taxs</t>
  </si>
  <si>
    <t>Registrtion &amp; Approval Exp</t>
  </si>
  <si>
    <t>Nett Profit</t>
  </si>
  <si>
    <t>Interim dividend</t>
  </si>
  <si>
    <t>crs for sub contract</t>
  </si>
  <si>
    <t>closing</t>
  </si>
  <si>
    <t>opening</t>
  </si>
  <si>
    <t>crs for supplier</t>
  </si>
  <si>
    <t>Trade advances</t>
  </si>
  <si>
    <t>13(a)</t>
  </si>
  <si>
    <t>Trade payable</t>
  </si>
  <si>
    <t>Trade receivable total</t>
  </si>
  <si>
    <t>Trade receivable</t>
  </si>
  <si>
    <t xml:space="preserve">            </t>
  </si>
  <si>
    <t>p&amp;L</t>
  </si>
  <si>
    <t>Prior period item</t>
  </si>
  <si>
    <t>DEFERRED TAX LIABILITY</t>
  </si>
  <si>
    <t xml:space="preserve">       Depreciation as per Income Tax Act</t>
  </si>
  <si>
    <t>DIN No.01926144</t>
  </si>
  <si>
    <t>DIN No.01926196</t>
  </si>
  <si>
    <r>
      <t>LESS:</t>
    </r>
    <r>
      <rPr>
        <sz val="10"/>
        <rFont val="Trebuchet MS"/>
        <family val="2"/>
      </rPr>
      <t xml:space="preserve"> INCOME CONSIDERED SEPARATELY</t>
    </r>
  </si>
  <si>
    <r>
      <t>ADD:</t>
    </r>
    <r>
      <rPr>
        <sz val="10"/>
        <rFont val="Trebuchet MS"/>
        <family val="2"/>
      </rPr>
      <t>INADMISSIBLE EXPENSES:</t>
    </r>
  </si>
  <si>
    <t>contract receipts</t>
  </si>
  <si>
    <t>bad debts</t>
  </si>
  <si>
    <t>&amp; Others</t>
  </si>
  <si>
    <t>gst payable</t>
  </si>
  <si>
    <t>contract advance- Reduce</t>
  </si>
  <si>
    <t>S.d</t>
  </si>
  <si>
    <t>add</t>
  </si>
  <si>
    <t>repairs and maintanance- BUILDING</t>
  </si>
  <si>
    <t>repairs and maintanance- VEHICLE</t>
  </si>
  <si>
    <t>repairs and maintanance-OFFICE</t>
  </si>
  <si>
    <t>repairs and maintanance-MACHINERY</t>
  </si>
  <si>
    <t>SATHIAPAL ENGINEERS (INDIA) PVT LIMITED</t>
  </si>
  <si>
    <t>24.11.2021</t>
  </si>
  <si>
    <t>S.DRS OUTSTANDING  LESS THAN 6 MONTHS</t>
  </si>
  <si>
    <t>S.DRS OUTSTANDING MORE THAN 6 MONTHS</t>
  </si>
  <si>
    <t>Rs.</t>
  </si>
  <si>
    <t>Rs</t>
  </si>
  <si>
    <t>S.DRS CREDIT BALANCE  (CUSTOMER ADVANCE) TRANSFERRED TO CONTRACT RECEIPTS A/C</t>
  </si>
  <si>
    <t>GUJARAT AMBUJA KOLKATTA SDRS</t>
  </si>
  <si>
    <t>CONTRACT RECEIPTS A/C</t>
  </si>
  <si>
    <t>INDURE PVT LTD S.DRS</t>
  </si>
  <si>
    <t>CGST</t>
  </si>
  <si>
    <t>SGST</t>
  </si>
  <si>
    <t>L&amp;T SDRS</t>
  </si>
  <si>
    <t>MELAGURUMUHURTHAM S.DRS</t>
  </si>
  <si>
    <t>SHRI BHIMA SHANKAR SDRS</t>
  </si>
  <si>
    <t>KARNATAKA CGSST</t>
  </si>
  <si>
    <t>KARNATAKA SGST</t>
  </si>
  <si>
    <t>STREAFA PROJECT PVT LTD S.DRS</t>
  </si>
  <si>
    <t>EPF CONTRIBUTION</t>
  </si>
  <si>
    <t>EMPLOYER CONTRI</t>
  </si>
  <si>
    <t>EMPLOYEE CONTRI</t>
  </si>
  <si>
    <t>MAY</t>
  </si>
  <si>
    <t>JUNE</t>
  </si>
  <si>
    <t>JULY</t>
  </si>
  <si>
    <t>AUGUST</t>
  </si>
  <si>
    <t>SEPTEMBER</t>
  </si>
  <si>
    <t>OCTOBER</t>
  </si>
  <si>
    <t>NOVEMBER</t>
  </si>
  <si>
    <t>DECEMBER</t>
  </si>
  <si>
    <t>JANUARY</t>
  </si>
  <si>
    <t>FEBRUARY</t>
  </si>
  <si>
    <t>MARCH</t>
  </si>
  <si>
    <t>PF CONTRIBUTION</t>
  </si>
  <si>
    <t>SALAREIS &amp; WAGES</t>
  </si>
  <si>
    <t>EMPLOYEE</t>
  </si>
  <si>
    <t>ADMIN CHARGES</t>
  </si>
  <si>
    <t>DIRECTORS EPF</t>
  </si>
  <si>
    <t>WHICH IS INCLUDED</t>
  </si>
  <si>
    <t xml:space="preserve">IN THEIR REMUNERATION </t>
  </si>
  <si>
    <t>FIGURE</t>
  </si>
  <si>
    <t>**********************************</t>
  </si>
  <si>
    <t>17-18</t>
  </si>
  <si>
    <t>18-19</t>
  </si>
  <si>
    <t>Average</t>
  </si>
  <si>
    <t>20-21</t>
  </si>
  <si>
    <t xml:space="preserve">CSR </t>
  </si>
  <si>
    <t xml:space="preserve">       Capital Expenditure</t>
  </si>
  <si>
    <t>Year</t>
  </si>
  <si>
    <t>Value</t>
  </si>
  <si>
    <t>CSR Activity</t>
  </si>
  <si>
    <t>(a) Cash in hand at H.O</t>
  </si>
  <si>
    <t>(b) Cash in hand at divisions</t>
  </si>
  <si>
    <t>Note: Investment has been Wrongly accounted at the time of demerger during the Financial yea 2003-04(Order Date 26-07-2004), hence the management has decided to written down the investment during the FY  2020-2021</t>
  </si>
  <si>
    <t>Scrap</t>
  </si>
  <si>
    <t>sale of scrap</t>
  </si>
  <si>
    <t>S.No</t>
  </si>
  <si>
    <t>Depreciation a/c dr</t>
  </si>
  <si>
    <t>To Plant and Machinery</t>
  </si>
  <si>
    <t>To computers</t>
  </si>
  <si>
    <t>To vehicles</t>
  </si>
  <si>
    <t>Tax</t>
  </si>
  <si>
    <t>Tax Expenses a/c dr</t>
  </si>
  <si>
    <t>To Provision for Income tax</t>
  </si>
  <si>
    <t>Deffered Tax Liability</t>
  </si>
  <si>
    <t>Deffered Tax Expenses a/c dr</t>
  </si>
  <si>
    <t>To Deffered tax liability a/c</t>
  </si>
  <si>
    <t>To Investment a/c</t>
  </si>
  <si>
    <t>To Advance Tax a/c</t>
  </si>
  <si>
    <t>(written off)</t>
  </si>
  <si>
    <t>Runguta mines</t>
  </si>
  <si>
    <t>S.D (security Deposits)</t>
  </si>
  <si>
    <t>contract advance</t>
  </si>
  <si>
    <t>To Runguta mines</t>
  </si>
  <si>
    <t>ITC badrachalam</t>
  </si>
  <si>
    <t>ITC badrachalam a/c dr</t>
  </si>
  <si>
    <t>To Purchase</t>
  </si>
  <si>
    <t>To Security deposits</t>
  </si>
  <si>
    <t>Addition to contract receipts &amp; GST payable</t>
  </si>
  <si>
    <t>ii</t>
  </si>
  <si>
    <t>To Contract Receipts</t>
  </si>
  <si>
    <t>To GST payable</t>
  </si>
  <si>
    <t>iii</t>
  </si>
  <si>
    <t>iv</t>
  </si>
  <si>
    <t>v</t>
  </si>
  <si>
    <t>vi</t>
  </si>
  <si>
    <t>Audit fees a/c dr</t>
  </si>
  <si>
    <t>To A John moris a/c</t>
  </si>
  <si>
    <t xml:space="preserve">Retention </t>
  </si>
  <si>
    <t>Lakhdata SD a/c</t>
  </si>
  <si>
    <t>SECURITY DEPOSIT a/c</t>
  </si>
  <si>
    <t>To wages paid</t>
  </si>
  <si>
    <t>WIP (closing)</t>
  </si>
  <si>
    <t>Increase</t>
  </si>
  <si>
    <t>CSR</t>
  </si>
  <si>
    <t>CSR a/c dr</t>
  </si>
  <si>
    <t>Cash a/c Dr</t>
  </si>
  <si>
    <t>To Provision for CSR Expense</t>
  </si>
  <si>
    <t>To GST Payable a/c</t>
  </si>
  <si>
    <t>To Scrap a/c</t>
  </si>
  <si>
    <t>Overall Variance analysis</t>
  </si>
  <si>
    <t>2019-20</t>
  </si>
  <si>
    <t>2020-21</t>
  </si>
  <si>
    <t>Variance</t>
  </si>
  <si>
    <t>Percentage change over previous year</t>
  </si>
  <si>
    <t>Actual</t>
  </si>
  <si>
    <t>Percentage on sales</t>
  </si>
  <si>
    <t>Revenue:</t>
  </si>
  <si>
    <t>Sales</t>
  </si>
  <si>
    <t>other Income</t>
  </si>
  <si>
    <t>Expenses</t>
  </si>
  <si>
    <t>Construction and operating</t>
  </si>
  <si>
    <t>Administrative and other expenses</t>
  </si>
  <si>
    <t xml:space="preserve">Change in inventory </t>
  </si>
  <si>
    <t>CSR Fund</t>
  </si>
  <si>
    <t>Profit 2019-20</t>
  </si>
  <si>
    <t>Profit 2020-21</t>
  </si>
  <si>
    <t>Decrease in Profit</t>
  </si>
  <si>
    <t>Efficiency variance</t>
  </si>
  <si>
    <t>Percentage on Sales on 2019-20</t>
  </si>
  <si>
    <t xml:space="preserve">Expected </t>
  </si>
  <si>
    <t>Variance from Expected</t>
  </si>
  <si>
    <t>Sales for the period 2020 to 2021</t>
  </si>
  <si>
    <t>CONSTRUCTION AND OPERATING</t>
  </si>
  <si>
    <t>Income Statement</t>
  </si>
  <si>
    <t>Earning before Tax</t>
  </si>
  <si>
    <t>Less: Tax Expenses</t>
  </si>
  <si>
    <t>Earning after Tax</t>
  </si>
  <si>
    <t>Add: Depreciation</t>
  </si>
  <si>
    <t>Profit before depreciation and Tax</t>
  </si>
  <si>
    <t>Tax Payable calculation</t>
  </si>
  <si>
    <t>Considering Depreciation</t>
  </si>
  <si>
    <t>Without considering depreciation</t>
  </si>
  <si>
    <t>Tax @ 22%</t>
  </si>
  <si>
    <t>Add: Surcharge @ 10%</t>
  </si>
  <si>
    <t>Add: Cess @ 4%</t>
  </si>
  <si>
    <t>Tax Payable</t>
  </si>
  <si>
    <t>Disclaimer: Computing Total income without considering depreciation is not possible under Income Tax Act. The computation made for personal analysing purpose only.</t>
  </si>
  <si>
    <t xml:space="preserve">Total Taxable Income </t>
  </si>
  <si>
    <t>Total Actual Income</t>
  </si>
  <si>
    <t>If the expenses were within the budget then the profit would have been(without considering CSR)</t>
  </si>
  <si>
    <t>Budgeted Expense</t>
  </si>
  <si>
    <t>Expected profit</t>
  </si>
  <si>
    <t>Actual profit</t>
  </si>
  <si>
    <t>Amount Invested upto 31.3.21</t>
  </si>
  <si>
    <t>Project</t>
  </si>
  <si>
    <t xml:space="preserve">                              </t>
  </si>
  <si>
    <t>Cost Breakup of Ledger</t>
  </si>
  <si>
    <t>Ledger: Contract Receipts A/c</t>
  </si>
  <si>
    <t>Primary Cost Category</t>
  </si>
  <si>
    <t>21 Sugar Project</t>
  </si>
  <si>
    <t>CCCL.Dhachepalli Project</t>
  </si>
  <si>
    <t>CCCL-Vizag Project</t>
  </si>
  <si>
    <t>Coromandal Engg Co Ltd (RMC)</t>
  </si>
  <si>
    <t>Coromandal (Ramco Ariyalur) Project</t>
  </si>
  <si>
    <t>Coromandal (Ramco) Project</t>
  </si>
  <si>
    <t>Dalmia Cement 2020 Project</t>
  </si>
  <si>
    <t>EID Parry Karnataka Project</t>
  </si>
  <si>
    <t>Gujarat Ambuja Himatnagar Project</t>
  </si>
  <si>
    <t>Hotel Sadhabishgam Project</t>
  </si>
  <si>
    <t>ITC Bhadrachalam Telangana 2019 Project</t>
  </si>
  <si>
    <t>KEC Project (Chimney) Jharkhand</t>
  </si>
  <si>
    <t>Mela Gurumuhurtham Project</t>
  </si>
  <si>
    <t>MRN Cane Power II Project - Karnataka</t>
  </si>
  <si>
    <t>Nirma Project</t>
  </si>
  <si>
    <t>Novoco Project</t>
  </si>
  <si>
    <t>Nuvoco Jojobera Cement Jharkhand Project</t>
  </si>
  <si>
    <t>Philips Carban Project</t>
  </si>
  <si>
    <t>Ramco Cement R R Nagar Project</t>
  </si>
  <si>
    <t>RSK Kaliyaraj Project</t>
  </si>
  <si>
    <t>Rungta Mines (Chaliyama-Jharkhand) Project</t>
  </si>
  <si>
    <t>Rungta Mines (Kamanda-Odisha) Project</t>
  </si>
  <si>
    <t>Sanghi Industries CPP Chimney Project</t>
  </si>
  <si>
    <t>Sanghi Industries II Project</t>
  </si>
  <si>
    <t>Satguru Cement Pvt Ltd</t>
  </si>
  <si>
    <t>Sayaji Industries Ltd Project</t>
  </si>
  <si>
    <t>SRR Projects Pvt Ltd Project</t>
  </si>
  <si>
    <t>Tarun Construction (Wonder Cement) Project</t>
  </si>
  <si>
    <t>TNPL Unit II Project</t>
  </si>
  <si>
    <t>TPL Staff Quarters</t>
  </si>
  <si>
    <t>Z Resurgent (Ismt) Project</t>
  </si>
  <si>
    <t>Z Vilanagar Project</t>
  </si>
  <si>
    <t>Closing in Tally</t>
  </si>
  <si>
    <t>contracts</t>
  </si>
  <si>
    <t>purchase</t>
  </si>
  <si>
    <t>direct expense</t>
  </si>
  <si>
    <t>indirect expense</t>
  </si>
  <si>
    <t>fd</t>
  </si>
  <si>
    <t>Intrest SBI</t>
  </si>
  <si>
    <t>Intrest receivable</t>
  </si>
  <si>
    <t>To Intrest on F.D</t>
  </si>
  <si>
    <t>Profit and loss a/c</t>
  </si>
  <si>
    <t>Difference</t>
  </si>
  <si>
    <t>(mismatch with books and bank statement, Hence added)</t>
  </si>
  <si>
    <t>1-Apr-2020 to 31-Mar-2022</t>
  </si>
  <si>
    <t>Contribution to PF and other funds</t>
  </si>
  <si>
    <t>Long term loans and advances</t>
  </si>
  <si>
    <t>27.10.2021</t>
  </si>
  <si>
    <t>Prior period Adjustment</t>
  </si>
  <si>
    <t xml:space="preserve">    </t>
  </si>
  <si>
    <t>Place: Chennai</t>
  </si>
  <si>
    <r>
      <t xml:space="preserve">The significant accounting policies would need to be customised for each Company based on its applicability and relevance. 
For example, in case of a Small and Medium Sized Company, it should state in its financial statements that "The Company is a Small and Medium Sized Company as defined in the General Instructions in respect of Accounting Standards notified under the Companies (Accounting Standards) Rules, 2006 (as amended). Accordingly, the Company has complied with the Accounting Standards as applicable to a Small and Medium Sized Company." and should also modify the accounting policies suitably. 
Similarly, companies that have not opted for the transition provisions in para 46 / 46A of AS 11 </t>
    </r>
    <r>
      <rPr>
        <i/>
        <sz val="12"/>
        <rFont val="Trebuchet MS"/>
        <family val="2"/>
      </rPr>
      <t xml:space="preserve">The Effects of Changes in Foreign Exchange Rates </t>
    </r>
    <r>
      <rPr>
        <sz val="12"/>
        <rFont val="Trebuchet MS"/>
        <family val="2"/>
      </rPr>
      <t xml:space="preserve">and companies that have not opted for Hedge Accounting should modify the accounting policies on Foreign Currency Transactions and Translations and Hedge Accounting, respectively. </t>
    </r>
  </si>
  <si>
    <t>Sundry creditors unclaimed written off</t>
  </si>
  <si>
    <t>Exp</t>
  </si>
  <si>
    <t>Sundry Creditors a/c dr</t>
  </si>
  <si>
    <t>To P&amp;L a/c</t>
  </si>
  <si>
    <t xml:space="preserve">The registered office of the company is located at New No.14, Old No.25, Temple Street, Alagappa Nagar, Kilpauk, Chennai - 600 010. </t>
  </si>
  <si>
    <r>
      <t>M/s. Sathiapal Engineers (India) Private Limited formerly known as M/s. Sathiapal Engineers (India) Limitedis registered with the Chennai Registrar of Companies as a  Public  Limited Company on 07th March 2002 vide Registration no. U74210TN2002PLCO48568</t>
    </r>
    <r>
      <rPr>
        <sz val="12"/>
        <color indexed="10"/>
        <rFont val="Trebuchet MS"/>
        <family val="2"/>
      </rPr>
      <t xml:space="preserve"> </t>
    </r>
  </si>
  <si>
    <t>Net profit or loss for the period, Prior Period items and changes in accounting policies</t>
  </si>
  <si>
    <t>Net profit or loss for the period, Prior Period items and changes in accounting policies have been accounted as per the Accounting Standard 5.</t>
  </si>
  <si>
    <t>Construction Contract</t>
  </si>
  <si>
    <t>Property plant and equipment are stated at cost net of depreciation. The cost of an asset comprises its purchase price and any cost directly attributable for bringing the asset to its working condition and location for its intended use.</t>
  </si>
  <si>
    <t>Depreciable amount for assets is the cost of an asset, or other amount substituted for cost, less its estimated residual value. Depreciation on Property, Plant and Equipment has been provided on Straight Line value method as per the useful life prescribed in Schedule II to the Companies Act, 2013.</t>
  </si>
  <si>
    <t xml:space="preserve">Current tax is the amount of tax payable on the taxable income for the year as determined in accordance with the provisions of the Income Tax Act, 1961.
</t>
  </si>
  <si>
    <t>The company is having a dispute with Department of Income tax.The details of Such dispute is given below:</t>
  </si>
  <si>
    <t>Nature of Dispute</t>
  </si>
  <si>
    <t>Amount Dispute</t>
  </si>
  <si>
    <t>Amount Deposited</t>
  </si>
  <si>
    <t>PF Disallowance</t>
  </si>
  <si>
    <t xml:space="preserve">     Prior period Adjustment</t>
  </si>
  <si>
    <t xml:space="preserve">DEPRECIATION </t>
  </si>
  <si>
    <t xml:space="preserve">DPT3 </t>
  </si>
  <si>
    <t>a. Loans from Directors</t>
  </si>
  <si>
    <t>b.Director Remuneration</t>
  </si>
  <si>
    <t xml:space="preserve">Mr.Kumaran.s </t>
  </si>
  <si>
    <t>Mrs. Visalakshi kumaran</t>
  </si>
  <si>
    <t>Cash</t>
  </si>
  <si>
    <t>To Dir loan</t>
  </si>
  <si>
    <t>diff</t>
  </si>
  <si>
    <t>To prior period item</t>
  </si>
  <si>
    <t>To provision for tax</t>
  </si>
  <si>
    <t>Deffered tax liability</t>
  </si>
  <si>
    <t>Correct values as per IT and 3cd</t>
  </si>
  <si>
    <t>1.4.2022</t>
  </si>
  <si>
    <t>New No. 57, Old No. 3, Canal Road, Kilpauk Garden Colony, Kilpauk, Chennai 600 010.</t>
  </si>
  <si>
    <t>As at 31.03.2022</t>
  </si>
  <si>
    <t>Year ended 31st March, 2022</t>
  </si>
  <si>
    <t>As at 31st March, 2022</t>
  </si>
  <si>
    <t>As at 31st March 2022</t>
  </si>
  <si>
    <t>Preliminary Expenses (Income) A/c Dr</t>
  </si>
  <si>
    <t>Need to Change Opening Balances of Deferred Tax Asset</t>
  </si>
  <si>
    <t>Need to Change Opening Balances of Provision for Income Tax</t>
  </si>
  <si>
    <t>Due to wrong entry in dep it act in the last year following needs to be done</t>
  </si>
  <si>
    <t>To Creditors Balances written off</t>
  </si>
  <si>
    <t>Need to Change Opening Balances in Depreciation as per IT Act based on Computax</t>
  </si>
  <si>
    <t>1-Apr-21 to 31-Mar-22</t>
  </si>
  <si>
    <t>BBC Tech Associates - KEC ACC</t>
  </si>
  <si>
    <t>Divakar Constructions</t>
  </si>
  <si>
    <t>Excellent Services</t>
  </si>
  <si>
    <t>Featherlite Collections</t>
  </si>
  <si>
    <t>Ganesh Diesel Service</t>
  </si>
  <si>
    <t>JM Corporate Services LLP</t>
  </si>
  <si>
    <t>Kitsoft Technology  Pvt Ltd</t>
  </si>
  <si>
    <t>MACSI Information</t>
  </si>
  <si>
    <t>Nat Business Solutions</t>
  </si>
  <si>
    <t>Netlink Enterprises</t>
  </si>
  <si>
    <t>Paanchali Amman Consultancy</t>
  </si>
  <si>
    <t>SCPL Rent Payable</t>
  </si>
  <si>
    <t>SE Test Lab Instrument (I) Pvt Ltd</t>
  </si>
  <si>
    <t>Shree Krishna Road Lines</t>
  </si>
  <si>
    <t>Shree Shyam Roadlines</t>
  </si>
  <si>
    <t>S.Raganathan Valuer TNPL II Site</t>
  </si>
  <si>
    <t>Sri Krishna Hydralics</t>
  </si>
  <si>
    <t>SSB Metal &amp; Fabrication</t>
  </si>
  <si>
    <t>Sunrise Machinery</t>
  </si>
  <si>
    <t>Visible Safety Solutions</t>
  </si>
  <si>
    <t>Agarwal Hardware (Kec Ultratech)</t>
  </si>
  <si>
    <t>Altos Electronics</t>
  </si>
  <si>
    <t>ARJUN HARDWARE STORE</t>
  </si>
  <si>
    <t>Arun Hardwares</t>
  </si>
  <si>
    <t>Atul Casting &amp; Metal Works</t>
  </si>
  <si>
    <t>Atuulyam Abhiyantrikee</t>
  </si>
  <si>
    <t>Bhagwanti Machinery Store</t>
  </si>
  <si>
    <t>Bharat Trading Co.</t>
  </si>
  <si>
    <t>Calcutta Asbestos &amp; Belting Co</t>
  </si>
  <si>
    <t>Container Industriel</t>
  </si>
  <si>
    <t>COROMANDAL ENGG CO LTD RMC SUPPLIER</t>
  </si>
  <si>
    <t>Deepak Paints</t>
  </si>
  <si>
    <t>Elegant Steel Tubes &amp; Fittings</t>
  </si>
  <si>
    <t>Field Marshal Sales (KEC ACC)</t>
  </si>
  <si>
    <t>Goel Traders IOCL</t>
  </si>
  <si>
    <t>Green Industrial Safety Hub</t>
  </si>
  <si>
    <t>HB Bhaiya Engineering &amp; Machinery</t>
  </si>
  <si>
    <t>Jai Maa Enterprises</t>
  </si>
  <si>
    <t>Jay Ess Gases</t>
  </si>
  <si>
    <t>JD Controls</t>
  </si>
  <si>
    <t>Johri Saw Mills &amp; Furnitures</t>
  </si>
  <si>
    <t>JRCL   Steel Pvt Ltd - IOCL</t>
  </si>
  <si>
    <t>Jyoti Enterprises</t>
  </si>
  <si>
    <t>Kailaso Instruments Inc</t>
  </si>
  <si>
    <t>Kheechi Gases</t>
  </si>
  <si>
    <t>Khushi Enterprises</t>
  </si>
  <si>
    <t>Kumbhakaran Sahu</t>
  </si>
  <si>
    <t>Lumen Engineering Associates</t>
  </si>
  <si>
    <t>Maestro Insulations</t>
  </si>
  <si>
    <t>Manohar Lal Deora - Sup</t>
  </si>
  <si>
    <t>MEHADIA STEEL TRADERS</t>
  </si>
  <si>
    <t>Nandan Gases Equipment</t>
  </si>
  <si>
    <t>National Electrical Works (Kec Acc)</t>
  </si>
  <si>
    <t>National Harwares (Kec ACC)</t>
  </si>
  <si>
    <t>Nayak &amp; Associates</t>
  </si>
  <si>
    <t>NEW M.K TIMBER MART</t>
  </si>
  <si>
    <t>Nilakantha Steels</t>
  </si>
  <si>
    <t>Nishanth Electricals</t>
  </si>
  <si>
    <t>Nish Infra</t>
  </si>
  <si>
    <t>Noble Enterprises</t>
  </si>
  <si>
    <t>Om Sakthi Gas Service</t>
  </si>
  <si>
    <t>Onyx International</t>
  </si>
  <si>
    <t>Orissa Hardware Store</t>
  </si>
  <si>
    <t>PEST CONTROL SOLUTIONS</t>
  </si>
  <si>
    <t>P I Containters</t>
  </si>
  <si>
    <t>Poonam Engineering</t>
  </si>
  <si>
    <t>POONAM ENTERPRISES</t>
  </si>
  <si>
    <t>Powertech Engineering - ITC</t>
  </si>
  <si>
    <t>Rajasthan Steel - Marwar</t>
  </si>
  <si>
    <t>Ramluck Traders</t>
  </si>
  <si>
    <t>Ratanlal Neeraj Kumar Jain</t>
  </si>
  <si>
    <t>Republic Hardware Store</t>
  </si>
  <si>
    <t>Sairaj Traders Private Limited</t>
  </si>
  <si>
    <t>Sangam Hardware &amp; Electricals Store</t>
  </si>
  <si>
    <t>Sanghvi &amp; Assoicates P Ltd</t>
  </si>
  <si>
    <t>Shivam Industrial Products Pvt Ltd</t>
  </si>
  <si>
    <t>Shri Rama Krishna Pipe Andmill Store  IOCL</t>
  </si>
  <si>
    <t>SHRI VISHNU REFRACTORIES LTD.</t>
  </si>
  <si>
    <t>Shubham Enterprises (Iocl)</t>
  </si>
  <si>
    <t>Shyam Sales</t>
  </si>
  <si>
    <t>Sigma Sales</t>
  </si>
  <si>
    <t>Sirohi Petroleum (Marwar Site)</t>
  </si>
  <si>
    <t>Siva Prasanna Agencies</t>
  </si>
  <si>
    <t>S.K.Vasan Engineering Workss</t>
  </si>
  <si>
    <t>Sourabh Eletricals</t>
  </si>
  <si>
    <t>Sri Balaji Waste Paper Traders</t>
  </si>
  <si>
    <t>Sri Ram Plywood &amp; Glasses</t>
  </si>
  <si>
    <t>Sri Sai Balaji Paints &amp; Hardware</t>
  </si>
  <si>
    <t>Sri Sai Industrial Gases Pvt Ltd</t>
  </si>
  <si>
    <t>SS Enterprises</t>
  </si>
  <si>
    <t>Standard Fasteners Co</t>
  </si>
  <si>
    <t>Surinder S/o Kewal Krishan</t>
  </si>
  <si>
    <t>Techno Chem</t>
  </si>
  <si>
    <t>Vaigai Sanitation Pvt Ltd,</t>
  </si>
  <si>
    <t>Vardhaman Ply Palace</t>
  </si>
  <si>
    <t>Vinayak Welding &amp; Tools Equipment</t>
  </si>
  <si>
    <t>Vishnu Enterprises Marwar</t>
  </si>
  <si>
    <t>Wasim Ahemad</t>
  </si>
  <si>
    <t>Adaikalaraj Painter Tkyr Site</t>
  </si>
  <si>
    <t>Aneesh Carpenter</t>
  </si>
  <si>
    <t>Babullu Jardia</t>
  </si>
  <si>
    <t>B.Arul Tiles Layer</t>
  </si>
  <si>
    <t>Bidhan Sarkar- KEC ACC SITE</t>
  </si>
  <si>
    <t>Chhatu Das - Sub</t>
  </si>
  <si>
    <t>Jai Biswas - Uttarkhand</t>
  </si>
  <si>
    <t>Jitendra Kumar  Carpenter - CCCL Vizag</t>
  </si>
  <si>
    <t>Jodhana Construction Company</t>
  </si>
  <si>
    <t>K.Veerapandian - Mason</t>
  </si>
  <si>
    <t>Lakshman Rao - Sub</t>
  </si>
  <si>
    <t>Mahadev Crane Services - Marwar</t>
  </si>
  <si>
    <t>Majharul Haque - KEC Dhar</t>
  </si>
  <si>
    <t>Mohammad Naim - Sub</t>
  </si>
  <si>
    <t>Mohammad Shahensha - Sub</t>
  </si>
  <si>
    <t>Nageshwar Rao - Sub</t>
  </si>
  <si>
    <t>Narendhar Saw - Sub</t>
  </si>
  <si>
    <t>Netra Infra Tech Pvt Ltd (IOCL)</t>
  </si>
  <si>
    <t>Oceans 110 Dalmia</t>
  </si>
  <si>
    <t>Phani Sarkar - Sub</t>
  </si>
  <si>
    <t>Prasanth Tiles Layer</t>
  </si>
  <si>
    <t>Rajendran Services</t>
  </si>
  <si>
    <t>RAJ NARAYAN MECHANIC - KEC ACC SITE</t>
  </si>
  <si>
    <t>RAKESH KUMAR MECH - KEC ACC SITE</t>
  </si>
  <si>
    <t>R.J.Enterprises (Philips Carbon II)</t>
  </si>
  <si>
    <t>Sadanandakar - Sub</t>
  </si>
  <si>
    <t>Satyanarayan Mandi</t>
  </si>
  <si>
    <t>Sharvan Kumar Carpenter</t>
  </si>
  <si>
    <t>Shree Data Saheb Lime Products</t>
  </si>
  <si>
    <t>Sri Lakshmi Narasimha Swamy Transport</t>
  </si>
  <si>
    <t>Sukhbhathan Singh - IOCL</t>
  </si>
  <si>
    <t>Sunil Dawar - Sub</t>
  </si>
  <si>
    <t>Suryadev Pal KEC MP</t>
  </si>
  <si>
    <t>Vasan Engineering Works</t>
  </si>
  <si>
    <t>Yogendra Baitha</t>
  </si>
  <si>
    <t>AJAY SINGH - SUP MARWAR</t>
  </si>
  <si>
    <t>Aseem Agwan - Kec Dhar</t>
  </si>
  <si>
    <t>Bundu Khan - Sup</t>
  </si>
  <si>
    <t>Chowdhary Trasnport Co of India</t>
  </si>
  <si>
    <t>Delhi Test House IOCL</t>
  </si>
  <si>
    <t>Durga Building Material - Iocl Sup</t>
  </si>
  <si>
    <t>Galaxy Fabricator and Liners</t>
  </si>
  <si>
    <t>Gopal Hardware</t>
  </si>
  <si>
    <t>Jai Shree Radhey Shyam Enterprises</t>
  </si>
  <si>
    <t>Jai Sudarshan Trading Co.</t>
  </si>
  <si>
    <t>Kaling Hardwares &amp; Construction</t>
  </si>
  <si>
    <t>Laxmi Traders</t>
  </si>
  <si>
    <t>National Gas Agencies</t>
  </si>
  <si>
    <t>Navkar Construction Company - Marwar</t>
  </si>
  <si>
    <t>NKM Transport</t>
  </si>
  <si>
    <t>Panipat Tools &amp; Fastners</t>
  </si>
  <si>
    <t>Radha Krishna Industries</t>
  </si>
  <si>
    <t>Sai Rajeswari Construction</t>
  </si>
  <si>
    <t>Sandhu &amp; Co</t>
  </si>
  <si>
    <t>SARATHI PLASMA &amp; TIG WORK</t>
  </si>
  <si>
    <t>Shankar Lohar</t>
  </si>
  <si>
    <t>Shree Cement Limited - Supply</t>
  </si>
  <si>
    <t>Sornammal Lorry Service - Dalmia Sattur</t>
  </si>
  <si>
    <t>SP Agencies (Kec Prism)</t>
  </si>
  <si>
    <t>Sri Karupagambigai Pre Casting (Dalmia Sattur)</t>
  </si>
  <si>
    <t>Sri Laxmi Industrial Corporation</t>
  </si>
  <si>
    <t>Sri Niraipandi Agencies</t>
  </si>
  <si>
    <t>Sri Surya Jagannadha Enterprises</t>
  </si>
  <si>
    <t>S.Sriram Sup  Mvm</t>
  </si>
  <si>
    <t>Sukanta Kumar Pradhan - Sup JSPL Odisha Site</t>
  </si>
  <si>
    <t>The Young Entrepreneurs</t>
  </si>
  <si>
    <t>True Power Limited (Dalmia Sattur)</t>
  </si>
  <si>
    <t>Utkal Hardwares Pvt Ltd</t>
  </si>
  <si>
    <t>Vagmi Cement Sale</t>
  </si>
  <si>
    <t>ATC Tires Vizag (21-22) S.Drs</t>
  </si>
  <si>
    <t>Boudh Distillery Pvt Ltd.(Odisha) S.Drs</t>
  </si>
  <si>
    <t>Goel Ultratech Site S.Drs (HIRMI) (Chattishgarh)</t>
  </si>
  <si>
    <t>Gujarat Ambuja Hubli Karnataka S.Drs</t>
  </si>
  <si>
    <t>Gujarat Ambuja Uttarakhand S.Drs</t>
  </si>
  <si>
    <t>Indian Oil Corporation Ltd S.Drs (Haryana)</t>
  </si>
  <si>
    <t>Jindal Steel Odisha 2021 S.Drs</t>
  </si>
  <si>
    <t>KEC Ambuja Cement (Rajasthan) S.Drs</t>
  </si>
  <si>
    <t>Kec International ACC S.Drs (UP)</t>
  </si>
  <si>
    <t>KEC Internation Ltd (Ultratech - M.P) S.Drs</t>
  </si>
  <si>
    <t>KEC Prism (MP) S.Drs</t>
  </si>
  <si>
    <t>Marwar Cement S.Drs (Rajasthan)</t>
  </si>
  <si>
    <t>Nirma Limited S.Drs (Gujarat)</t>
  </si>
  <si>
    <t>Philips Carban S.Drs (Gujarat)</t>
  </si>
  <si>
    <t>Rungta Mines Kamanda II S.Drs (Odihsa)</t>
  </si>
  <si>
    <t>Rungta Mines Kamanda S.Drs (Odisha)</t>
  </si>
  <si>
    <t>Sanghi Industries CPP Chimney S.Drs (Guja)</t>
  </si>
  <si>
    <t>Sanghi Industries II S.Drs (Gujarat)</t>
  </si>
  <si>
    <t>Sanghi Industries Ltd S.Drs (Guja)</t>
  </si>
  <si>
    <t>Sanghi Industries RMPH Chimney S.Drs (Guja)</t>
  </si>
  <si>
    <t>Suryadev Alloys II (Silo-TN) S.Drs</t>
  </si>
  <si>
    <t>Suryadev Alloys Ltd II (Chy-TN) S.Drs</t>
  </si>
  <si>
    <t>Thirukadaiyur Hotel Sadha Renovation.S.Drs</t>
  </si>
  <si>
    <t>Thyssen Gujarat 21-22 (MEGAMANI) S.DRS</t>
  </si>
  <si>
    <t>SBI - MAYILADUTHURAI</t>
  </si>
  <si>
    <t>AGA Infra Project Site 2022</t>
  </si>
  <si>
    <t>Boudh Distillery (Odisha) Site</t>
  </si>
  <si>
    <t>Dalmia - Sattur Site (TN)</t>
  </si>
  <si>
    <t>Jindal Steel (Odisha 2021) Site</t>
  </si>
  <si>
    <t>KEC Ambuja (Rajasthan) Site</t>
  </si>
  <si>
    <t>KEC Prism (MP) Site</t>
  </si>
  <si>
    <t>KEC SITE (CHIMNEY.II) JHARKHAND</t>
  </si>
  <si>
    <t>Philips Carbon II Site</t>
  </si>
  <si>
    <t>Prism Johnson Ltd (MP) Site</t>
  </si>
  <si>
    <t>Rungta Mines (Chaliyama - Jharkhand) II Site</t>
  </si>
  <si>
    <t>Rungta Mines (Kamanda Odisha) - II Site</t>
  </si>
  <si>
    <t>Suryadev Alloys II (Chy-TN) Site</t>
  </si>
  <si>
    <t>Suryadev Alloys Ii (Silo-TN) Site</t>
  </si>
  <si>
    <t>Thirukadaiyur Htl Sadhabi Reno Site</t>
  </si>
  <si>
    <t>Vengadesh Kumar R</t>
  </si>
  <si>
    <t>DOORS ACCESSORIES</t>
  </si>
  <si>
    <t>PCC CONCRETING WAGES</t>
  </si>
  <si>
    <t>Security Wages (Exp)</t>
  </si>
  <si>
    <t>Spiral Ladder Fab Wages</t>
  </si>
  <si>
    <t>GST Audit Fees</t>
  </si>
  <si>
    <t>GST FEE</t>
  </si>
  <si>
    <t>SCPL Rent</t>
  </si>
  <si>
    <t>Preliminary Expenses (Income)</t>
  </si>
  <si>
    <t>Preliminary Expenses  (Income)</t>
  </si>
  <si>
    <t>Preliminary Expenses Written Off (Expenses)</t>
  </si>
  <si>
    <t>Preliminary Expenses Written Off Exp</t>
  </si>
  <si>
    <t>Schedule No</t>
  </si>
  <si>
    <t>To Salaries And Wages</t>
  </si>
  <si>
    <t>Contribution to Provident and other funds A/c Dr</t>
  </si>
  <si>
    <t>For Disallowances</t>
  </si>
  <si>
    <t>Refer Query Sheet and Site wise Query Sheet</t>
  </si>
  <si>
    <t>Need to disallow IT Interest</t>
  </si>
  <si>
    <t>To Audit Fees Payable A/c</t>
  </si>
  <si>
    <t>Audit Fees A/c Dr</t>
  </si>
  <si>
    <t>Rent for building</t>
  </si>
  <si>
    <t>Rent for machinery</t>
  </si>
  <si>
    <t>Need to disallow rent for machinery for non deduction of TDS</t>
  </si>
  <si>
    <t>Professional Tax &amp; Labour License</t>
  </si>
  <si>
    <t>Late Fees &amp; Interest</t>
  </si>
  <si>
    <t>To Depreciation A/c</t>
  </si>
  <si>
    <t>Deferred Tax Liability C.L A/c Dr</t>
  </si>
  <si>
    <t>To Preliminary Expenses (Income) A/c</t>
  </si>
  <si>
    <t>To Provision for Income Tax II A/c</t>
  </si>
  <si>
    <t>(Being entry entered on 01-04-2021 for correcting mistakes in the F.Y 2020-21, already entered in Tally, But given here to change in the financials)</t>
  </si>
  <si>
    <t xml:space="preserve">       Relatives of Directors</t>
  </si>
  <si>
    <t>Need to bifurcate the following</t>
  </si>
  <si>
    <t>Need to move creditors for sub contractors to Expenses Payable, but it is not possible because we have to change the corresponding figures in the previous year, since ratios have been introduced in the current financial year.</t>
  </si>
  <si>
    <t>GST Payable</t>
  </si>
  <si>
    <t>For TDS Payable Refer TDS Working Sheet</t>
  </si>
  <si>
    <t>Trade Payable into - MSME &amp; Non - MSME Payables</t>
  </si>
  <si>
    <t>Trade Receivables - &lt;6 months and more than 6 months</t>
  </si>
  <si>
    <t>Head for grouping</t>
  </si>
  <si>
    <t>Property, Plant and Equipments</t>
  </si>
  <si>
    <t>Income Tax Refund Receivable</t>
  </si>
  <si>
    <t>IT Refund Receivable</t>
  </si>
  <si>
    <t>To Provision for Income Tax II A/c Dr</t>
  </si>
  <si>
    <t>Class of Asset</t>
  </si>
  <si>
    <t>Asset Name</t>
  </si>
  <si>
    <t>Date of Addition</t>
  </si>
  <si>
    <t>Office Equipments</t>
  </si>
  <si>
    <t>Amount as per Tally</t>
  </si>
  <si>
    <t>No of Days used in the F.Y</t>
  </si>
  <si>
    <t>Depreciation amount</t>
  </si>
  <si>
    <t>Scrap Value</t>
  </si>
  <si>
    <t>Depreciable Amonunt</t>
  </si>
  <si>
    <t>Rate of Depreciation</t>
  </si>
  <si>
    <t>To Computer A/c</t>
  </si>
  <si>
    <t>(being Domain charges wrongly booked as assets)</t>
  </si>
  <si>
    <t>Computer 3</t>
  </si>
  <si>
    <t>Computer 4</t>
  </si>
  <si>
    <t>Computer 5</t>
  </si>
  <si>
    <t>Computer 6</t>
  </si>
  <si>
    <t>Computer 7</t>
  </si>
  <si>
    <t>Computer 8</t>
  </si>
  <si>
    <t>Furniture &amp; Fittings</t>
  </si>
  <si>
    <t>Furniture 1</t>
  </si>
  <si>
    <t>Furniture 2</t>
  </si>
  <si>
    <t>Furniture 3</t>
  </si>
  <si>
    <t>Furniture 4</t>
  </si>
  <si>
    <t>Furniture 5</t>
  </si>
  <si>
    <t>Changes to be made in financials</t>
  </si>
  <si>
    <t>Check in additions of fixed assets whether GST amount has to be reveresed. I thinkso need not reverse because entire ITC Claimed as been written off from expenses. Check if the implication is the same or do we need to change</t>
  </si>
  <si>
    <t>Construction Material Consumed A/c Dr</t>
  </si>
  <si>
    <t>(Being ITC Claimed on Assets reversed from Assets value)</t>
  </si>
  <si>
    <t>Plant &amp; Machinery 1</t>
  </si>
  <si>
    <t>Plant &amp; Machinery 2</t>
  </si>
  <si>
    <t>Plant &amp; Machinery 3</t>
  </si>
  <si>
    <t>Plant &amp; Machinery 4</t>
  </si>
  <si>
    <t>Plant &amp; Machinery 5</t>
  </si>
  <si>
    <t>Plant &amp; Machinery 6</t>
  </si>
  <si>
    <t>Plant &amp; Machinery 7</t>
  </si>
  <si>
    <t>Plant &amp; Machinery 8</t>
  </si>
  <si>
    <t>Plant &amp; Machinery 9</t>
  </si>
  <si>
    <t>Plant &amp; Machinery 10</t>
  </si>
  <si>
    <t>Plant &amp; Machinery 11</t>
  </si>
  <si>
    <t>Plant &amp; Machinery 12</t>
  </si>
  <si>
    <t>Plant &amp; Machinery 13</t>
  </si>
  <si>
    <t>Plant &amp; Machinery 14</t>
  </si>
  <si>
    <t>Plant &amp; Machinery 15</t>
  </si>
  <si>
    <t>Plant &amp; Machinery 16</t>
  </si>
  <si>
    <t>Plant &amp; Machinery 17</t>
  </si>
  <si>
    <t>Plant &amp; Machinery 18</t>
  </si>
  <si>
    <t>Plant &amp; Machinery 19</t>
  </si>
  <si>
    <t>Plant &amp; Machinery 20</t>
  </si>
  <si>
    <t>Plant &amp; Machinery 21</t>
  </si>
  <si>
    <t>Plant &amp; Machinery 22</t>
  </si>
  <si>
    <t>Plant &amp; Machinery 23</t>
  </si>
  <si>
    <t>Plant &amp; Machinery 24</t>
  </si>
  <si>
    <t>Plant &amp; Machinery 25</t>
  </si>
  <si>
    <t>Plant &amp; Machinery 26</t>
  </si>
  <si>
    <t>Plant &amp; Machinery 27</t>
  </si>
  <si>
    <t>Plant &amp; Machinery 28</t>
  </si>
  <si>
    <t>Plant &amp; Machinery 29</t>
  </si>
  <si>
    <t>Plant &amp; Machinery 30</t>
  </si>
  <si>
    <t>Plant &amp; Machinery 31</t>
  </si>
  <si>
    <t>Plant &amp; Machinery 32</t>
  </si>
  <si>
    <t>Plant &amp; Machinery 33</t>
  </si>
  <si>
    <t>Plant &amp; Machinery 34</t>
  </si>
  <si>
    <t>Plant &amp; Machinery 35</t>
  </si>
  <si>
    <t>Plant &amp; Machinery 36</t>
  </si>
  <si>
    <t>Plant &amp; Machinery 37</t>
  </si>
  <si>
    <t>Vehicles</t>
  </si>
  <si>
    <t>Vehicle 1</t>
  </si>
  <si>
    <t>Vehicle 2</t>
  </si>
  <si>
    <t>For Original Assets</t>
  </si>
  <si>
    <t>OG Assets</t>
  </si>
  <si>
    <t>Accumulated Depreciation</t>
  </si>
  <si>
    <t>Additions in F.Y 2020-21</t>
  </si>
  <si>
    <t>WDV As on 01-04-2021</t>
  </si>
  <si>
    <t>Whether 1st Half or Second Half</t>
  </si>
  <si>
    <t>AMC Charges A/c Dr</t>
  </si>
  <si>
    <t>Bal sheet diff added here</t>
  </si>
  <si>
    <t>Sundry Debtors A/c Dr</t>
  </si>
  <si>
    <t>To TDS Payable</t>
  </si>
  <si>
    <t>(TDS U/s 194Q, for breakup refer mail)</t>
  </si>
  <si>
    <t>Entries for which effect to be given</t>
  </si>
  <si>
    <t>GST Corrections and TDS Differences entries to be given effect refer the respective worksheet</t>
  </si>
  <si>
    <t>Depreciation schedule need to change</t>
  </si>
  <si>
    <t>Purchases</t>
  </si>
  <si>
    <t>To GST Liability</t>
  </si>
  <si>
    <t>Need to ask NandhaKumar Sir</t>
  </si>
  <si>
    <t>F.Y 2019-20</t>
  </si>
  <si>
    <t>As per Financials</t>
  </si>
  <si>
    <t>Financial Year</t>
  </si>
  <si>
    <t>Dep as per Financials</t>
  </si>
  <si>
    <t>Dep as Per Workings</t>
  </si>
  <si>
    <t>Difference now claimed</t>
  </si>
  <si>
    <t>Net block</t>
  </si>
  <si>
    <t>F.Y 19-20</t>
  </si>
  <si>
    <t>Addition</t>
  </si>
  <si>
    <t>Acc. Dep</t>
  </si>
  <si>
    <t>Dep for the C.Y</t>
  </si>
  <si>
    <t>Clo Dep</t>
  </si>
  <si>
    <t>As on 31.03.2020</t>
  </si>
  <si>
    <t>As on 31.03.2019</t>
  </si>
  <si>
    <t>F.Y 20-21</t>
  </si>
  <si>
    <t>F.Y 21-22</t>
  </si>
  <si>
    <t>As per Calculations</t>
  </si>
  <si>
    <t>F.Y 2020-21</t>
  </si>
  <si>
    <t>As on 31.03.2021</t>
  </si>
  <si>
    <t>F.Y 2021-22</t>
  </si>
  <si>
    <t>As on 31.03.2022</t>
  </si>
  <si>
    <t>FY 18-19</t>
  </si>
  <si>
    <t>WDV as per Companies Act</t>
  </si>
  <si>
    <t>WDV as per IT Act</t>
  </si>
  <si>
    <t>F.Y 18-19</t>
  </si>
  <si>
    <t>DTA Opening</t>
  </si>
  <si>
    <t>Dep as per Comp Act</t>
  </si>
  <si>
    <t>Dep as per IT Act</t>
  </si>
  <si>
    <t>Deferred tax expense</t>
  </si>
  <si>
    <t>DTA Closing</t>
  </si>
  <si>
    <t>F.Y 19 - 20</t>
  </si>
  <si>
    <t>F.Y 20 - 21</t>
  </si>
  <si>
    <t xml:space="preserve">       Disallowance U/s 36(1)(va)</t>
  </si>
  <si>
    <t>Cos Act</t>
  </si>
  <si>
    <t>IT Act</t>
  </si>
  <si>
    <t>DTA Calculation</t>
  </si>
  <si>
    <t>TO Deferred Tax</t>
  </si>
  <si>
    <t>Provision for Income Tax II A/c</t>
  </si>
  <si>
    <t>Preliminary Expenses (Income) A/c</t>
  </si>
  <si>
    <t>(Reversal entry Need to enter in Tally)</t>
  </si>
  <si>
    <t>General Reserve A/c Dr</t>
  </si>
  <si>
    <t>Less: Short Provision of Income Tax for the A.Y 2021-22</t>
  </si>
  <si>
    <t>Sundry Creditors A/c Dr</t>
  </si>
  <si>
    <t>Sundry Creditors Written off</t>
  </si>
  <si>
    <t>(Being Employers PF Contribution seperated from Salaries and Wages)</t>
  </si>
  <si>
    <t>To TDS Receivable</t>
  </si>
  <si>
    <t>(ii) Deposits with Banks</t>
  </si>
  <si>
    <t>Net Proceeds from Term Deposits</t>
  </si>
  <si>
    <t>No entry Required in Tally</t>
  </si>
  <si>
    <t>Sundry Debtors &lt;6 Months</t>
  </si>
  <si>
    <t>To Sundry Debtors &gt; 6Months</t>
  </si>
  <si>
    <t>For Financials Purposes</t>
  </si>
  <si>
    <t>To Be Discarded</t>
  </si>
  <si>
    <t>Wages paid A/c Dr</t>
  </si>
  <si>
    <t>To GST A/c</t>
  </si>
  <si>
    <t>To Wages Paid A/c</t>
  </si>
  <si>
    <t>To GST  A/c</t>
  </si>
  <si>
    <t>Plant &amp; Machinery A/c Dr</t>
  </si>
  <si>
    <t>Computer A/c Dr</t>
  </si>
  <si>
    <t>Vehicle A/c Dr</t>
  </si>
  <si>
    <t>To Plant &amp; Machinery A/c</t>
  </si>
  <si>
    <t>(Being Depreciation already provided in tally reversed) (Only in Tally no effect in financials)</t>
  </si>
  <si>
    <t>To Computers A/c</t>
  </si>
  <si>
    <t>Vehicles Depreciation claimed to be reversed</t>
  </si>
  <si>
    <t>To Furnitures &amp; Fittings</t>
  </si>
  <si>
    <t>GST Opening balance difference A/c Dr (Asset)</t>
  </si>
  <si>
    <t>(b) Other Current Assets</t>
  </si>
  <si>
    <t xml:space="preserve">New No. 57, Old No. 3, Canal Road, </t>
  </si>
  <si>
    <t>Kilpauk Garden Colony, Kilpauk, Chennai 600 010.</t>
  </si>
  <si>
    <t>No effect given in financials because Opening balance value also included in the closing balance and changing it will require to change the sundry debtors schedule</t>
  </si>
  <si>
    <t>Property,Plant &amp; Equipment and Intangible Assets</t>
  </si>
  <si>
    <t>Round Off Adjustments</t>
  </si>
  <si>
    <t>Donations and contributions</t>
  </si>
  <si>
    <t>2022-23</t>
  </si>
  <si>
    <t>PAN</t>
  </si>
  <si>
    <t>M/s. Sathiapal Engineers (India) Private Limited
(Formerly known as M/S Sathiapal Engineers (India) Limited)</t>
  </si>
  <si>
    <t>Less: Tax paid u/s 140A</t>
  </si>
  <si>
    <t>Balance Tax Due/ Refund receivable</t>
  </si>
  <si>
    <r>
      <t xml:space="preserve">Earnings per share (of </t>
    </r>
    <r>
      <rPr>
        <b/>
        <sz val="12"/>
        <color theme="1"/>
        <rFont val="Rupee Foradian"/>
        <family val="2"/>
      </rPr>
      <t>`</t>
    </r>
    <r>
      <rPr>
        <b/>
        <sz val="12"/>
        <color theme="1"/>
        <rFont val="Trebuchet MS"/>
        <family val="2"/>
      </rPr>
      <t xml:space="preserve"> 10/- each):</t>
    </r>
  </si>
  <si>
    <t>Entities where KMP has substantial interest</t>
  </si>
  <si>
    <t>Visalakshi .K - Loan Repayment</t>
  </si>
  <si>
    <t>Visalakshi .K - Loan</t>
  </si>
  <si>
    <t>Kumaran.S - Loan Repayment</t>
  </si>
  <si>
    <t>Kumaran.S - Loan</t>
  </si>
  <si>
    <t>c. Expenses</t>
  </si>
  <si>
    <t>Sathiapal Constructions Private Limited - Rent</t>
  </si>
  <si>
    <t>M/s. Sathiapal Engineers (India)Private Limited                                                                                                                                                                                                      Formerly known as M/S Sathiapal Engineers (India) Limited</t>
  </si>
  <si>
    <t>The registered office of the company is located at New No. 57, Old No. 3, Canal Road, Kilpauk Garden Colony, Kilpauk, Chennai 600 010.</t>
  </si>
  <si>
    <t>In exercise of the powers conferred by sub-section (1) of section 467 of the Companies Act, 2013 (18 of 2013), the Central Government hereby has made the following further amendments in Schedule III to the said Act with effect from 1st day of April, 2021</t>
  </si>
  <si>
    <t>1. Promoter’s Shareholding.</t>
  </si>
  <si>
    <t xml:space="preserve"> As per amendment, the company shall disclose the shareholding pattern of promoters at the end of the year as follows:</t>
  </si>
  <si>
    <t>Promoter Name</t>
  </si>
  <si>
    <t>Number of Shares held (in no's)</t>
  </si>
  <si>
    <t>Percentage of Total Shares</t>
  </si>
  <si>
    <t>Percentage change during the year</t>
  </si>
  <si>
    <t>Total holding by promoter</t>
  </si>
  <si>
    <t>2. Trade Receivables</t>
  </si>
  <si>
    <t xml:space="preserve">The amendment brought in schedule 3 requires extensive additional categorization of trade receivables and also requires the ageing of trade receivable in 5 different categories. </t>
  </si>
  <si>
    <t>As per the amendment, following additional categorization needs to be done apart from the sub-classification done currently. As at the end of 31-03-2022 no trade receivable exist.</t>
  </si>
  <si>
    <t>Outstanding for following periods from due date of payment</t>
  </si>
  <si>
    <t>Less than 6 months</t>
  </si>
  <si>
    <t>6 months-1year</t>
  </si>
  <si>
    <t>1-2 years</t>
  </si>
  <si>
    <t>2-3 years</t>
  </si>
  <si>
    <t>More than 3 years</t>
  </si>
  <si>
    <t>(i) Undisputed Trade Receivables – considered good</t>
  </si>
  <si>
    <t>(ii) Undisputed Trade Receivables – considered doubtful</t>
  </si>
  <si>
    <t>(iii) Disputed Trade Receivables considered good</t>
  </si>
  <si>
    <t>(iv) Disputed Trade Receivables considered doubtful</t>
  </si>
  <si>
    <t>3. Other Financial Assets:</t>
  </si>
  <si>
    <t xml:space="preserve">The amendment requires that other financial assets shall include: (i) Security deposits. (ii) Bank deposits with more than 12 months maturity. (iii) Others </t>
  </si>
  <si>
    <t>(i)</t>
  </si>
  <si>
    <t xml:space="preserve">Bank Deposit </t>
  </si>
  <si>
    <t xml:space="preserve">Deposit with banks </t>
  </si>
  <si>
    <t>(ii)</t>
  </si>
  <si>
    <t xml:space="preserve">Security Deposit </t>
  </si>
  <si>
    <t xml:space="preserve">Security deposit with various pesons </t>
  </si>
  <si>
    <t>(iii)</t>
  </si>
  <si>
    <t>Others</t>
  </si>
  <si>
    <t>Mutual Fund, Cash and cash equivalent</t>
  </si>
  <si>
    <t>4. Trade payables  :</t>
  </si>
  <si>
    <t>Trade payables were required to be segregated into dues of micro enterprises and small enterprises (MSME) and other than micro enterprises and small enterprises. Schedule III also required disclosure of specific details which are mandated as per the MSMED Act, 2006.As per Amendment, additional classification of the above are to be given and also the ageing of the same into 4 categories.</t>
  </si>
  <si>
    <t>Less than 1 year</t>
  </si>
  <si>
    <t>(i)MSME</t>
  </si>
  <si>
    <t>(ii)Others</t>
  </si>
  <si>
    <t>(iii) Disputed dues – MSME</t>
  </si>
  <si>
    <t>(iv) Disputed dues – Others</t>
  </si>
  <si>
    <t>5. Title Deed of Immovable Property not held in the name of company :</t>
  </si>
  <si>
    <t>All the Immovable property is held in the name of the company during the financial year.</t>
  </si>
  <si>
    <t>6. Disclosure of Revaluation of Assets :</t>
  </si>
  <si>
    <t>The company has not revalued any of it's Property Plant and Equipment during the Financial year.</t>
  </si>
  <si>
    <t>7. Disclosure on Loans /Advance to Directors /KMP / Related Parties  :</t>
  </si>
  <si>
    <t>The company has not granted any Loans and Advances to promoters, directors, KMP's and other related parties</t>
  </si>
  <si>
    <t>8. Capital Work -in progress (CWIP) :</t>
  </si>
  <si>
    <t>CWIP</t>
  </si>
  <si>
    <t xml:space="preserve">To be completed in </t>
  </si>
  <si>
    <t xml:space="preserve">Less than 1 year </t>
  </si>
  <si>
    <t xml:space="preserve">1-2 Years </t>
  </si>
  <si>
    <t xml:space="preserve">2-3 Years </t>
  </si>
  <si>
    <t xml:space="preserve">More than 3 Years </t>
  </si>
  <si>
    <t xml:space="preserve">NIL </t>
  </si>
  <si>
    <t>NIL</t>
  </si>
  <si>
    <t>9. Intangible Asset under development :</t>
  </si>
  <si>
    <t>10. Details of Benami Property held :</t>
  </si>
  <si>
    <t>The company has hot held any Benami Property and no proceedings have been initiated or pending against the company for holding any benami property under the Benami Transactions (Prohibition) Act, 1988 (45 of 1988) and rules made thereunder.</t>
  </si>
  <si>
    <t>11. Wilful Defaulter and End use of Funds :</t>
  </si>
  <si>
    <t>The company has not been declared as a wilful defaulter by any bank or financial institution or any other lender for the current financial year.</t>
  </si>
  <si>
    <t>12. Details in respect of Borrowing funds and share premium from any person(s) or entity(s) :</t>
  </si>
  <si>
    <t xml:space="preserve">Lendor of Loan </t>
  </si>
  <si>
    <t xml:space="preserve">Nature of Loan </t>
  </si>
  <si>
    <t xml:space="preserve">Schedule of Interest payment </t>
  </si>
  <si>
    <t>13. Relationship with struck off companies :</t>
  </si>
  <si>
    <t>The company has no transactions with companies struck off under section 248 of the Companies Act, 2013 or section 560 of the Companies Act, 1956.</t>
  </si>
  <si>
    <t>14. Compliance with number of Layers :</t>
  </si>
  <si>
    <t>The company has complied with the number of layers persribed under clause (87) of section 2 of the Act read with Companies (Restriction on number of Layers) Rules, 2017.</t>
  </si>
  <si>
    <t>15. Corporate Social Responsibility :</t>
  </si>
  <si>
    <t>Corporate social responsibilty Provisions are not applicable for this currengt Financial Year.</t>
  </si>
  <si>
    <t>16. Crypto Currency or Virtual Currency :</t>
  </si>
  <si>
    <t>The Company has not traded or invested or involved  in Crypto Currency or Virtual Currency transactions during the financial year.</t>
  </si>
  <si>
    <t>In exercise of the powers conferred by sub-section (1) of section 467 of the Companies Act, 2013 (18 of 2013), the Central Government hereby has made the following further amendments in Schedule III to the said Act with effect from 1st day of April, 2021.</t>
  </si>
  <si>
    <t>Key Ratios Analysis</t>
  </si>
  <si>
    <t>Ratio</t>
  </si>
  <si>
    <t>Numerator</t>
  </si>
  <si>
    <t>Denominator</t>
  </si>
  <si>
    <t>Year ended
March 31, 2022</t>
  </si>
  <si>
    <t>Variance %</t>
  </si>
  <si>
    <t>Remarks</t>
  </si>
  <si>
    <t>LIQUIDITY RATIOS</t>
  </si>
  <si>
    <t>Current Ratio</t>
  </si>
  <si>
    <t>Total current assets</t>
  </si>
  <si>
    <t>Total current liabilities</t>
  </si>
  <si>
    <t>SOLVENCY RATIOS</t>
  </si>
  <si>
    <t>Debt-Equity Ratio</t>
  </si>
  <si>
    <t>Total Debt</t>
  </si>
  <si>
    <t>Total Equity</t>
  </si>
  <si>
    <t>Debt Service Coverage Ratio</t>
  </si>
  <si>
    <t>Earnings available for Debt services</t>
  </si>
  <si>
    <t>Interest + Installment</t>
  </si>
  <si>
    <t>TURNOVER RATIOS (in times)</t>
  </si>
  <si>
    <t>Inventory turnover ratio</t>
  </si>
  <si>
    <t>Cost of Goods sold</t>
  </si>
  <si>
    <t>Average value of  inventory</t>
  </si>
  <si>
    <t>Trade Receivables turnover ratio</t>
  </si>
  <si>
    <t>Trade payables turnover ratio</t>
  </si>
  <si>
    <t>Net capital turnover ratio</t>
  </si>
  <si>
    <t>OPERATING RATIOS (in %)</t>
  </si>
  <si>
    <t>Net profit ratio</t>
  </si>
  <si>
    <t>Profit After Tax</t>
  </si>
  <si>
    <t>Return on Equity Ratio</t>
  </si>
  <si>
    <t>Return on Capital employed</t>
  </si>
  <si>
    <t>Profit Before Tax</t>
  </si>
  <si>
    <t>Return on investment</t>
  </si>
  <si>
    <t>In Accordance with our Report attached</t>
  </si>
  <si>
    <t>For  A JOHN MORIS &amp; Co.,</t>
  </si>
  <si>
    <t>FRN No. 007220S</t>
  </si>
  <si>
    <t>Mrs.K.Visalakshi</t>
  </si>
  <si>
    <t>Mr.V.Ramalingam</t>
  </si>
  <si>
    <t>Mr.R.Suganthakumari</t>
  </si>
  <si>
    <t>Ms.K.Suhasini</t>
  </si>
  <si>
    <t>Ms.K.Harshini</t>
  </si>
  <si>
    <t>Sl.No</t>
  </si>
  <si>
    <t>Intangible Assets</t>
  </si>
  <si>
    <t>Current Asset</t>
  </si>
  <si>
    <t>Current Liability</t>
  </si>
  <si>
    <t>Trade receivables</t>
  </si>
  <si>
    <t>Revenue from operations</t>
  </si>
  <si>
    <t>Profit Before tax</t>
  </si>
  <si>
    <t>Profit afret tax</t>
  </si>
  <si>
    <t>Share capital</t>
  </si>
  <si>
    <t>Principal+Interest</t>
  </si>
  <si>
    <t>Car loan repayment- Principle</t>
  </si>
  <si>
    <t>Car loan repayment- Interest</t>
  </si>
  <si>
    <t>Housing loan</t>
  </si>
  <si>
    <t>Principal</t>
  </si>
  <si>
    <t>Director loan- Principle</t>
  </si>
  <si>
    <t>Total Principle + Interest</t>
  </si>
  <si>
    <t>Net Operating Income</t>
  </si>
  <si>
    <t>Average trade receivables</t>
  </si>
  <si>
    <t>Average Trade payables</t>
  </si>
  <si>
    <t>2021-22</t>
  </si>
  <si>
    <t>COGS</t>
  </si>
  <si>
    <t>Avg Value of Inventory</t>
  </si>
  <si>
    <t>Value of Inventory</t>
  </si>
  <si>
    <t>Turnover</t>
  </si>
  <si>
    <t>Average Trade receivables</t>
  </si>
  <si>
    <t>I.EQUITY AND LIABILITIES</t>
  </si>
  <si>
    <t>(1)SHAREHOLDER'S FUND</t>
  </si>
  <si>
    <t>(a)Share Capital</t>
  </si>
  <si>
    <t>(b)Reserves and Surplus</t>
  </si>
  <si>
    <t xml:space="preserve">(c)) Money received against share
warrants
</t>
  </si>
  <si>
    <t>(2)SHARE APPLICATION MONEY PENDING ALLOTMENT</t>
  </si>
  <si>
    <t>(3)NON-CURRENT LIABILITIES</t>
  </si>
  <si>
    <t>(a)Long Term Borrowings</t>
  </si>
  <si>
    <t>(b)Other long-term liabilities</t>
  </si>
  <si>
    <t>(c)Deferred Tax Liabilities</t>
  </si>
  <si>
    <t>(4)CURRENT LIABILITIES</t>
  </si>
  <si>
    <t>(a)Short Term Borrowings</t>
  </si>
  <si>
    <t>(b)Trade Payables</t>
  </si>
  <si>
    <t>(c)Other Current Liabilities</t>
  </si>
  <si>
    <t>(d)Short Term Provisions</t>
  </si>
  <si>
    <t>II.ASSETS</t>
  </si>
  <si>
    <t>(ii)Intangible Assets</t>
  </si>
  <si>
    <t>(b)Non-current Investments</t>
  </si>
  <si>
    <t>(iii)Capital Work in Progress</t>
  </si>
  <si>
    <t>(iv)Intangible Assets under development</t>
  </si>
  <si>
    <t>(c)Deferred Tax Assets</t>
  </si>
  <si>
    <t>(e)Other Non Current Assets</t>
  </si>
  <si>
    <t>(a)Current Investments</t>
  </si>
  <si>
    <t xml:space="preserve">(b)Inventories </t>
  </si>
  <si>
    <t>(c)Trade Receivables</t>
  </si>
  <si>
    <t xml:space="preserve">(e)Short Term Loans and Advances </t>
  </si>
  <si>
    <t>(f)Other Current Assets</t>
  </si>
  <si>
    <t>I.Revenue from Operations</t>
  </si>
  <si>
    <t>II.Other Income</t>
  </si>
  <si>
    <t>III.Total Revenue</t>
  </si>
  <si>
    <t>IV.EXPENSES</t>
  </si>
  <si>
    <t>Cost of Material Consumed</t>
  </si>
  <si>
    <t>Purchases of stock in trade</t>
  </si>
  <si>
    <t>Construction and Operating Expenses</t>
  </si>
  <si>
    <t>Depreciation and Amortization</t>
  </si>
  <si>
    <t>(V)Profit / (Loss) Before Prior Period Items</t>
  </si>
  <si>
    <t>(VI)Prior period item:</t>
  </si>
  <si>
    <t>(VII)Profit / (Loss) Before Extraordinary Items ,Exceptional Items and Tax</t>
  </si>
  <si>
    <t>(VIII)Extraordinary Items</t>
  </si>
  <si>
    <t>(VII)Profit / (Loss) Before Exceptional Items and Tax</t>
  </si>
  <si>
    <t>(VIII)Exceptional Items</t>
  </si>
  <si>
    <t>(IX)Profit before Tax</t>
  </si>
  <si>
    <t>(X)Less: Tax Expense</t>
  </si>
  <si>
    <t>(XI)Profit / (Loss) for the year</t>
  </si>
  <si>
    <t>SATHIAPAL ENGINEERS (INDIA) PRIVATE LIMITED</t>
  </si>
  <si>
    <t>57, 1ST Floor, Canal Road, Kilpauk Garden Colony</t>
  </si>
  <si>
    <t>1-Apr-22 to 31-Mar-23</t>
  </si>
  <si>
    <t>GST Opening Balance Diff A/c</t>
  </si>
  <si>
    <t>ICICI KILPAUK - SEIPL A/C</t>
  </si>
  <si>
    <t>CCCL Kallur Site - 2023</t>
  </si>
  <si>
    <t>Dalmia Ariyalur Site - 2023</t>
  </si>
  <si>
    <t>HRRL SITE</t>
  </si>
  <si>
    <t>Kamal Ultratech Tadipatri A.P Site</t>
  </si>
  <si>
    <t>KEC(Balco) Chattishgarh Site</t>
  </si>
  <si>
    <t>New Way Home Site</t>
  </si>
  <si>
    <t>Rungta Mines Chaliyama Jharkhand III Site</t>
  </si>
  <si>
    <t>Runta Mines Chaliyama IV Site</t>
  </si>
  <si>
    <t>Shree Cement Ltd Site 2022 (Andhra)</t>
  </si>
  <si>
    <t>Srenic Construction (TN) Site</t>
  </si>
  <si>
    <t>Thermax Limited Site 2022 (Jharkhand)</t>
  </si>
  <si>
    <t>Thermax Ltd Priyagraj Site 2022 (U.P)</t>
  </si>
  <si>
    <t>Vishakha (Ultratech) Karnatka Site</t>
  </si>
  <si>
    <t>Anbarasan A</t>
  </si>
  <si>
    <t>BOLT AND NUTS</t>
  </si>
  <si>
    <t>Chain Pully</t>
  </si>
  <si>
    <t>Double Ball</t>
  </si>
  <si>
    <t>FIBER ROLLER</t>
  </si>
  <si>
    <t>Grease</t>
  </si>
  <si>
    <t>Grese</t>
  </si>
  <si>
    <t>Hyd Oil</t>
  </si>
  <si>
    <t>M-Sand</t>
  </si>
  <si>
    <t>M S BOND</t>
  </si>
  <si>
    <t>Nipple</t>
  </si>
  <si>
    <t>Notobond</t>
  </si>
  <si>
    <t>SPADE AND NAILS</t>
  </si>
  <si>
    <t>Sprocket</t>
  </si>
  <si>
    <t>J.ROD THRDING FAB &amp; ERE WAGES</t>
  </si>
  <si>
    <t>LD</t>
  </si>
  <si>
    <t>TOOLS HIRE CHARGES</t>
  </si>
  <si>
    <t>Cell Phone Recharge</t>
  </si>
  <si>
    <t>CGST Interest</t>
  </si>
  <si>
    <t>CGST Late Fee</t>
  </si>
  <si>
    <t>Gst Penalty</t>
  </si>
  <si>
    <t>IGST Interest</t>
  </si>
  <si>
    <t>SGST Interest</t>
  </si>
  <si>
    <t>SGST Late Fee</t>
  </si>
  <si>
    <t>Staff LTA</t>
  </si>
  <si>
    <t>Tamil Nadu IGST</t>
  </si>
  <si>
    <t>Income Tax Refund A/c</t>
  </si>
  <si>
    <t>Amar Preet Scaffoldings - AGA</t>
  </si>
  <si>
    <t>Ashton Instrucments</t>
  </si>
  <si>
    <t>Edusol Technologies  LLP Udangudi</t>
  </si>
  <si>
    <t>ESI Payable</t>
  </si>
  <si>
    <t>Global Solutions - Vishaka Project</t>
  </si>
  <si>
    <t>GOMATHI TALKIES</t>
  </si>
  <si>
    <t>Hindustan Techinical Services</t>
  </si>
  <si>
    <t>Kamla Engineering Works</t>
  </si>
  <si>
    <t>Murugan Body Builders</t>
  </si>
  <si>
    <t>National Enterprises</t>
  </si>
  <si>
    <t>National Safety Solutions - HRRL SITE</t>
  </si>
  <si>
    <t>Potout Solutions</t>
  </si>
  <si>
    <t>Princy  Land Surveyors - Sattur</t>
  </si>
  <si>
    <t>Sam Crane Service Dalmia Sattur</t>
  </si>
  <si>
    <t>Siddartha Engineering College</t>
  </si>
  <si>
    <t>Smart Exteriors</t>
  </si>
  <si>
    <t>SPT Powertronics</t>
  </si>
  <si>
    <t>Sun Collaterals</t>
  </si>
  <si>
    <t>SVR Design Consultancy</t>
  </si>
  <si>
    <t>TDS Payable (Purchase)</t>
  </si>
  <si>
    <t>Venkatraman J</t>
  </si>
  <si>
    <t>Aarush Enterprises</t>
  </si>
  <si>
    <t>Abdulla Shoe Mart - Dalmia Sattur</t>
  </si>
  <si>
    <t>Adithya Enterprises - Philips Carbon Ii</t>
  </si>
  <si>
    <t>AG Electrical Sales and Services</t>
  </si>
  <si>
    <t>Akash Cable Corporation</t>
  </si>
  <si>
    <t>Akona Engineering Pvt Ltd</t>
  </si>
  <si>
    <t>AP Refractories</t>
  </si>
  <si>
    <t>Arasan &amp; Company</t>
  </si>
  <si>
    <t>Asian Engineering</t>
  </si>
  <si>
    <t>Avon Hardware &amp; Marine Co</t>
  </si>
  <si>
    <t>BBR (India) Pvt Ltd</t>
  </si>
  <si>
    <t>Bhairav Trading Co HRRL Site</t>
  </si>
  <si>
    <t>B M Agarwal Trading Pvt Ltd</t>
  </si>
  <si>
    <t>B M Enterprises</t>
  </si>
  <si>
    <t>Buddha Enterprises</t>
  </si>
  <si>
    <t>Chakraborty Lifitng Equp - Chaliyama II</t>
  </si>
  <si>
    <t>Chowatia Metal and Alloys</t>
  </si>
  <si>
    <t>Classic Trading Corpn - Philips Carbon II</t>
  </si>
  <si>
    <t>Crayon Roofings and Structures</t>
  </si>
  <si>
    <t>Dewasi Sales Corpn. HRRL Site</t>
  </si>
  <si>
    <t>D.R.Pandey Construction Company</t>
  </si>
  <si>
    <t>E.S. INDUSTRIES</t>
  </si>
  <si>
    <t>Geeta Electric Mart</t>
  </si>
  <si>
    <t>Goyal Ispat Pvt Ltd</t>
  </si>
  <si>
    <t>Iman Saida - Sup (Shree Cement)</t>
  </si>
  <si>
    <t>Imperial Gases Ltd</t>
  </si>
  <si>
    <t>Indian Traders - Dalmia Sattur Site</t>
  </si>
  <si>
    <t>Industrial Bearing Company</t>
  </si>
  <si>
    <t>Jainson Cables India Pvt Ltd</t>
  </si>
  <si>
    <t>Janardhan Oxy-Weld Services - AGA INFRA</t>
  </si>
  <si>
    <t>Jaz Industrial Products Pvt Ltd</t>
  </si>
  <si>
    <t>Jharkhand Machineries</t>
  </si>
  <si>
    <t>JSW Steel Ltd</t>
  </si>
  <si>
    <t>Kanaka Durga Electricals</t>
  </si>
  <si>
    <t>KCN Enterprises</t>
  </si>
  <si>
    <t>Manasa Safety Engineers</t>
  </si>
  <si>
    <t>Maruthi Enterprises - AGA INFRA</t>
  </si>
  <si>
    <t>Megala Industries -</t>
  </si>
  <si>
    <t>M.Light Enterprises</t>
  </si>
  <si>
    <t>MSM Enterprises</t>
  </si>
  <si>
    <t>Nagarjuna Agencies</t>
  </si>
  <si>
    <t>Nahar Electric Company</t>
  </si>
  <si>
    <t>National Pipes Pvt Ltd</t>
  </si>
  <si>
    <t>Neelum Hardware Mart</t>
  </si>
  <si>
    <t>Nektor Engineers &amp; Project Consultants - AGA Infra</t>
  </si>
  <si>
    <t>Om Sai Iron General Store</t>
  </si>
  <si>
    <t>Orione Hydralics Pvt Ltd</t>
  </si>
  <si>
    <t>Perfect Sales Corporation</t>
  </si>
  <si>
    <t>Power Mech Engineering</t>
  </si>
  <si>
    <t>Ramakrishna Koppula</t>
  </si>
  <si>
    <t>Rayban Industries</t>
  </si>
  <si>
    <t>RB Engineering - AGA INFRA</t>
  </si>
  <si>
    <t>R.B. Enterprises</t>
  </si>
  <si>
    <t>Ruby International India</t>
  </si>
  <si>
    <t>Safi Steel Traders - Dalmia Sattur</t>
  </si>
  <si>
    <t>Sakthivel Steel - Dalmia Sattur</t>
  </si>
  <si>
    <t>Saravanabava Agency - Dalmia Sattur</t>
  </si>
  <si>
    <t>SDN Engineering</t>
  </si>
  <si>
    <t>Shanti Enterprises</t>
  </si>
  <si>
    <t>Shree Ganesh Steel Corporation</t>
  </si>
  <si>
    <t>Shree Malhar Engineering Co</t>
  </si>
  <si>
    <t>Shree Nm Electricals Ltd</t>
  </si>
  <si>
    <t>Sona Ispat India Pvt Ltd</t>
  </si>
  <si>
    <t>Sreeram Industries</t>
  </si>
  <si>
    <t>Sri Ganapathy Traders</t>
  </si>
  <si>
    <t>Sri Indu Electricals - Dalmia Sattur</t>
  </si>
  <si>
    <t>Sri Indumathi - Dalmia Sattur</t>
  </si>
  <si>
    <t>Sri Kalabhyraveshwara Glass Plywoods &amp; Hardware</t>
  </si>
  <si>
    <t>Sri Manikanta Electricals &amp; Automobiles - AGA INFRA</t>
  </si>
  <si>
    <t>Sri Murali Krishna Iron Store - AGA</t>
  </si>
  <si>
    <t>Sri Sai Trading</t>
  </si>
  <si>
    <t>Sri Tirumala Enterprises</t>
  </si>
  <si>
    <t>Sri Velavan Traders - Dalmia Sattur</t>
  </si>
  <si>
    <t>Steel Link</t>
  </si>
  <si>
    <t>Sudhakar Agencies</t>
  </si>
  <si>
    <t>Suraksha Oxygen Company</t>
  </si>
  <si>
    <t>Synergy Construct &amp; Building Solutins</t>
  </si>
  <si>
    <t>The Ramco Cements Ltd</t>
  </si>
  <si>
    <t>T.RAJ &amp; CO</t>
  </si>
  <si>
    <t>T.R.Fastners</t>
  </si>
  <si>
    <t>Triveni Industrial Gases</t>
  </si>
  <si>
    <t>UV Ecoteck Solutions</t>
  </si>
  <si>
    <t>Veerakumar Machine Tools</t>
  </si>
  <si>
    <t>V.P.Agency</t>
  </si>
  <si>
    <t>Western India Waterproofing - Shree Cement</t>
  </si>
  <si>
    <t>Arul Thomas Engineering Private Limited</t>
  </si>
  <si>
    <t>Arumugam - Sub Cccl</t>
  </si>
  <si>
    <t>ARUMUGAM - SUB SRINIC SITE</t>
  </si>
  <si>
    <t>Blue Apple Construction Pvt Ltd</t>
  </si>
  <si>
    <t>Borana Engineers &amp; Contractors - Marwar</t>
  </si>
  <si>
    <t>Elite Engineers</t>
  </si>
  <si>
    <t>Gulam Nabi &amp; Sons</t>
  </si>
  <si>
    <t>Jadav Topya Naik - Cccl Kallur</t>
  </si>
  <si>
    <t>Jyoti Airtech Emgineers</t>
  </si>
  <si>
    <t>Moniruzzam Mandal - Pipe Line Work</t>
  </si>
  <si>
    <t>P.S. Earth Movers - Dalmia</t>
  </si>
  <si>
    <t>Rajivmehta - Jindal</t>
  </si>
  <si>
    <t>Ram Sagar Singh - Mason</t>
  </si>
  <si>
    <t>Sandeep Kumar Sub IOCL SITE</t>
  </si>
  <si>
    <t>Sanjay Singh - Sub (Dalmia)</t>
  </si>
  <si>
    <t>Shaik Habeeb - Sub (My Home)</t>
  </si>
  <si>
    <t>Shree Engineering Lab</t>
  </si>
  <si>
    <t>S.K.STEEL - Marwar Site</t>
  </si>
  <si>
    <t>Tuntun  Paswan - Sub</t>
  </si>
  <si>
    <t>Aarov Readymix Private Limited</t>
  </si>
  <si>
    <t>Amma Enterprises - Dalmiya  Sattur Site</t>
  </si>
  <si>
    <t>Ashini Dutta (Chaliyama II)</t>
  </si>
  <si>
    <t>Atlos Electronics</t>
  </si>
  <si>
    <t>Bharath Oxygen Licensee</t>
  </si>
  <si>
    <t>Ganasai Traders Sup Shre Cement</t>
  </si>
  <si>
    <t>GK Enterprises - Philipd Carbon II</t>
  </si>
  <si>
    <t>Global Engg &amp; Infra HRRL Site</t>
  </si>
  <si>
    <t>Kamalaselvi Eng Works -Dalmia Sattur</t>
  </si>
  <si>
    <t>Mahajan Electric Works - Sup</t>
  </si>
  <si>
    <t>M. Muvedha Lorry Service</t>
  </si>
  <si>
    <t>M/s LAXMI ENGINEERING</t>
  </si>
  <si>
    <t>Raj.K Sup (Dalmia Sattur)</t>
  </si>
  <si>
    <t>SLV Concrete</t>
  </si>
  <si>
    <t>Sri Andal Transport</t>
  </si>
  <si>
    <t>Sri Ayyanar Earth Movers</t>
  </si>
  <si>
    <t>Sri Venkata Padmaja Ceramics</t>
  </si>
  <si>
    <t>SUKANTHA KUMAR SHAOO</t>
  </si>
  <si>
    <t>Sumit Singh Deo - Chaliyama II Site</t>
  </si>
  <si>
    <t>Trustline Mining &amp; Minerls</t>
  </si>
  <si>
    <t xml:space="preserve">     (ii) Deposits with banks </t>
  </si>
  <si>
    <t>Previous year value to be changed</t>
  </si>
  <si>
    <t>Previous year everything in msme</t>
  </si>
  <si>
    <t xml:space="preserve">            ESI Payable</t>
  </si>
  <si>
    <t>Adhoc payment of Rs.8,00,000 - gst applicable</t>
  </si>
  <si>
    <t>Dr</t>
  </si>
  <si>
    <t>Cr</t>
  </si>
  <si>
    <t>(Audit fees for the FY 22-23)</t>
  </si>
  <si>
    <t>Interest on PF</t>
  </si>
  <si>
    <t>To PF (Site)</t>
  </si>
  <si>
    <t>(Interest on PF for delayed payment)</t>
  </si>
  <si>
    <t>TDS Payable</t>
  </si>
  <si>
    <t>Princy land surveyors</t>
  </si>
  <si>
    <t>Sri Amman Lath works</t>
  </si>
  <si>
    <t>BBR (India) pvt ltd</t>
  </si>
  <si>
    <t>Shri Vishnu Refractories</t>
  </si>
  <si>
    <t>Steel world</t>
  </si>
  <si>
    <t>Ajay Singh</t>
  </si>
  <si>
    <t>Borana Engineers &amp; Contractors</t>
  </si>
  <si>
    <t>Jai Biswas</t>
  </si>
  <si>
    <t>Jitendra Kumar Carpentor</t>
  </si>
  <si>
    <t>Mohammad Shahensha</t>
  </si>
  <si>
    <t>Narendhar Saw</t>
  </si>
  <si>
    <t>Ram Sagar Singh</t>
  </si>
  <si>
    <t xml:space="preserve">R.J. Enterprises </t>
  </si>
  <si>
    <t>Sadanandakar</t>
  </si>
  <si>
    <t>S.K. Steel</t>
  </si>
  <si>
    <t>Sushmaa Demolition work</t>
  </si>
  <si>
    <t xml:space="preserve">Aarov Readymix </t>
  </si>
  <si>
    <t>Navkar Construction Company</t>
  </si>
  <si>
    <t>A john moris &amp; Co</t>
  </si>
  <si>
    <t>Computer 9</t>
  </si>
  <si>
    <t>Computer 10</t>
  </si>
  <si>
    <t>Computer 11</t>
  </si>
  <si>
    <t>Computer 12</t>
  </si>
  <si>
    <t>Computer 13</t>
  </si>
  <si>
    <t>Computer 14</t>
  </si>
  <si>
    <t>Computer 15</t>
  </si>
  <si>
    <t>Computer 16</t>
  </si>
  <si>
    <t>Plant &amp; Machinery 38</t>
  </si>
  <si>
    <t>Plant &amp; Machinery 39</t>
  </si>
  <si>
    <t>Plant &amp; Machinery 40</t>
  </si>
  <si>
    <t>Plant &amp; Machinery 41</t>
  </si>
  <si>
    <t>Plant &amp; Machinery 42</t>
  </si>
  <si>
    <t>Plant &amp; Machinery 43</t>
  </si>
  <si>
    <t>Plant &amp; Machinery 44</t>
  </si>
  <si>
    <t>Plant &amp; Machinery 45</t>
  </si>
  <si>
    <t>Plant &amp; Machinery 46</t>
  </si>
  <si>
    <t>Plant &amp; Machinery 47</t>
  </si>
  <si>
    <t>Plant &amp; Machinery 48</t>
  </si>
  <si>
    <t>Plant &amp; Machinery 49</t>
  </si>
  <si>
    <t>Plant &amp; Machinery 50</t>
  </si>
  <si>
    <t>Plant &amp; Machinery 51</t>
  </si>
  <si>
    <t>Plant &amp; Machinery 52</t>
  </si>
  <si>
    <t>Plant &amp; Machinery 53</t>
  </si>
  <si>
    <t>Plant &amp; Machinery 54</t>
  </si>
  <si>
    <t>Plant &amp; Machinery 55</t>
  </si>
  <si>
    <t>Plant &amp; Machinery 56</t>
  </si>
  <si>
    <t>Plant &amp; Machinery 57</t>
  </si>
  <si>
    <t>Plant &amp; Machinery 58</t>
  </si>
  <si>
    <t>Plant &amp; Machinery 59</t>
  </si>
  <si>
    <t>Plant &amp; Machinery 60</t>
  </si>
  <si>
    <t>Plant &amp; Machinery 61</t>
  </si>
  <si>
    <t>Plant &amp; Machinery 62</t>
  </si>
  <si>
    <t>Plant &amp; Machinery 63</t>
  </si>
  <si>
    <t>Plant &amp; Machinery 64</t>
  </si>
  <si>
    <t>Plant &amp; Machinery 65</t>
  </si>
  <si>
    <t>Plant &amp; Machinery 66</t>
  </si>
  <si>
    <t>Plant &amp; Machinery 67</t>
  </si>
  <si>
    <t>Plant &amp; Machinery 68</t>
  </si>
  <si>
    <t>Plant &amp; Machinery 69</t>
  </si>
  <si>
    <t>Plant &amp; Machinery 70</t>
  </si>
  <si>
    <t>Plant &amp; Machinery 71</t>
  </si>
  <si>
    <t>Plant &amp; Machinery 72</t>
  </si>
  <si>
    <t>Plant &amp; Machinery 73</t>
  </si>
  <si>
    <t>Plant &amp; Machinery 74</t>
  </si>
  <si>
    <t>Plant &amp; Machinery 75</t>
  </si>
  <si>
    <t>Plant &amp; Machinery 76</t>
  </si>
  <si>
    <t>Plant &amp; Machinery 77</t>
  </si>
  <si>
    <t>Plant &amp; Machinery 78</t>
  </si>
  <si>
    <t>Plant &amp; Machinery 79</t>
  </si>
  <si>
    <t>Plant &amp; Machinery 80</t>
  </si>
  <si>
    <t>Plant &amp; Machinery 81</t>
  </si>
  <si>
    <t>Plant &amp; Machinery 82</t>
  </si>
  <si>
    <t>Plant &amp; Machinery 83</t>
  </si>
  <si>
    <t>Plant &amp; Machinery 84</t>
  </si>
  <si>
    <t>Plant &amp; Machinery 85</t>
  </si>
  <si>
    <t>Plant &amp; Machinery 86</t>
  </si>
  <si>
    <t>Plant &amp; Machinery 87</t>
  </si>
  <si>
    <t>Plant &amp; Machinery 88</t>
  </si>
  <si>
    <t>Plant &amp; Machinery 89</t>
  </si>
  <si>
    <t>Plant &amp; Machinery 90</t>
  </si>
  <si>
    <t>Plant &amp; Machinery 91</t>
  </si>
  <si>
    <t>Plant &amp; Machinery 92</t>
  </si>
  <si>
    <t>Plant &amp; Machinery 93</t>
  </si>
  <si>
    <t>Plant &amp; Machinery 94</t>
  </si>
  <si>
    <t>Plant &amp; Machinery 95</t>
  </si>
  <si>
    <t>Plant &amp; Machinery 96</t>
  </si>
  <si>
    <t>Plant &amp; Machinery 97</t>
  </si>
  <si>
    <t>Plant &amp; Machinery 98</t>
  </si>
  <si>
    <t>Plant &amp; Machinery 99</t>
  </si>
  <si>
    <t>Plant &amp; Machinery 100</t>
  </si>
  <si>
    <t>Plant &amp; Machinery 101</t>
  </si>
  <si>
    <t>Plant &amp; Machinery 102</t>
  </si>
  <si>
    <t>Plant &amp; Machinery 103</t>
  </si>
  <si>
    <t>Plant &amp; Machinery 104</t>
  </si>
  <si>
    <t>Plant &amp; Machinery 105</t>
  </si>
  <si>
    <t>Plant &amp; Machinery 106</t>
  </si>
  <si>
    <t>Plant &amp; Machinery 107</t>
  </si>
  <si>
    <t>Plant &amp; Machinery 108</t>
  </si>
  <si>
    <t>Plant &amp; Machinery 109</t>
  </si>
  <si>
    <t>Plant &amp; Machinery 110</t>
  </si>
  <si>
    <t>Plant &amp; Machinery 111</t>
  </si>
  <si>
    <t>Plant &amp; Machinery 112</t>
  </si>
  <si>
    <t>Plant &amp; Machinery 113</t>
  </si>
  <si>
    <t>Plant &amp; Machinery 114</t>
  </si>
  <si>
    <t>Plant &amp; Machinery 115</t>
  </si>
  <si>
    <t>Plant &amp; Machinery 116</t>
  </si>
  <si>
    <t>Plant &amp; Machinery 117</t>
  </si>
  <si>
    <t>Plant &amp; Machinery 118</t>
  </si>
  <si>
    <t>Plant &amp; Machinery 119</t>
  </si>
  <si>
    <t>Plant &amp; Machinery 120</t>
  </si>
  <si>
    <t>Plant &amp; Machinery 121</t>
  </si>
  <si>
    <t>Plant &amp; Machinery 122</t>
  </si>
  <si>
    <t>Plant &amp; Machinery 123</t>
  </si>
  <si>
    <t>Plant &amp; Machinery 124</t>
  </si>
  <si>
    <t>Plant &amp; Machinery 125</t>
  </si>
  <si>
    <t>Plant &amp; Machinery 126</t>
  </si>
  <si>
    <t>Plant &amp; Machinery 127</t>
  </si>
  <si>
    <t>Plant &amp; Machinery 128</t>
  </si>
  <si>
    <t>Plant &amp; Machinery 129</t>
  </si>
  <si>
    <t>Plant &amp; Machinery 130</t>
  </si>
  <si>
    <t>Plant &amp; Machinery 131</t>
  </si>
  <si>
    <t>Plant &amp; Machinery 132</t>
  </si>
  <si>
    <t>Plant &amp; Machinery 133</t>
  </si>
  <si>
    <t>Plant &amp; Machinery 134</t>
  </si>
  <si>
    <t>Plant &amp; Machinery 135</t>
  </si>
  <si>
    <t>Plant &amp; Machinery 136</t>
  </si>
  <si>
    <t>Plant &amp; Machinery 137</t>
  </si>
  <si>
    <t>Plant &amp; Machinery 138</t>
  </si>
  <si>
    <t>Plant &amp; Machinery 139</t>
  </si>
  <si>
    <t>Plant &amp; Machinery 140</t>
  </si>
  <si>
    <t>Plant &amp; Machinery 141</t>
  </si>
  <si>
    <t>Vehicle 3</t>
  </si>
  <si>
    <t>Vehicle 4</t>
  </si>
  <si>
    <t>Vehicle 5</t>
  </si>
  <si>
    <t>Total Depreciation</t>
  </si>
  <si>
    <t>FY 22-23</t>
  </si>
  <si>
    <t xml:space="preserve">Gratuity </t>
  </si>
  <si>
    <t>GST Penalty</t>
  </si>
  <si>
    <t>(this is for tds late - interest)</t>
  </si>
  <si>
    <t>Interest and Late fee</t>
  </si>
  <si>
    <t>Adjusted in Cash in hand</t>
  </si>
  <si>
    <t>WDV as on            01.04.2022</t>
  </si>
  <si>
    <t>Value as on                  31.03.2023</t>
  </si>
  <si>
    <t>WDV as on                  31.03.2023</t>
  </si>
  <si>
    <t>WDV as on            31.03.2022</t>
  </si>
  <si>
    <t>WDV As on 01-04-2022</t>
  </si>
  <si>
    <t>Previous year dep</t>
  </si>
  <si>
    <t>ADDITIONS IN FY 21-22</t>
  </si>
  <si>
    <t>OG</t>
  </si>
  <si>
    <t>As on                  01.04.2022</t>
  </si>
  <si>
    <t>As on                  31.03.2023</t>
  </si>
  <si>
    <t>TCS Receivable</t>
  </si>
  <si>
    <t>To Steel</t>
  </si>
  <si>
    <t>To RMC</t>
  </si>
  <si>
    <t>TDS Receivable</t>
  </si>
  <si>
    <t>Building write off expenses</t>
  </si>
  <si>
    <t>To Building</t>
  </si>
  <si>
    <t>FD</t>
  </si>
  <si>
    <t>To Interest Receivable</t>
  </si>
  <si>
    <t>Interest received on FD</t>
  </si>
  <si>
    <t>Prepaid Expenses</t>
  </si>
  <si>
    <t>To Insurance</t>
  </si>
  <si>
    <t>To Group Gratuity</t>
  </si>
  <si>
    <t>To P&amp;L</t>
  </si>
  <si>
    <t>DTA</t>
  </si>
  <si>
    <t>DTL</t>
  </si>
  <si>
    <t>TO P/L CREDIT</t>
  </si>
  <si>
    <t>Deferred Tax Income</t>
  </si>
  <si>
    <t>Deferred Tax  Liability</t>
  </si>
  <si>
    <t>Sale as on 18-11-2022</t>
  </si>
  <si>
    <t>To Profit on sale of Asset</t>
  </si>
  <si>
    <t>To planks runners &amp; plywood</t>
  </si>
  <si>
    <t>To vehicle</t>
  </si>
  <si>
    <t>Accumulated depreciation</t>
  </si>
  <si>
    <t>To profit on sale of asset</t>
  </si>
  <si>
    <t>Nexagon</t>
  </si>
  <si>
    <t>Profit on sale of Asset</t>
  </si>
  <si>
    <t>(CA A.JOHN MORIS)</t>
  </si>
  <si>
    <t>Managing Partner</t>
  </si>
  <si>
    <t>31.03.2023</t>
  </si>
  <si>
    <t>2023-24</t>
  </si>
  <si>
    <t>As at 31.03.2023</t>
  </si>
  <si>
    <t>CASH FLOW STATEMENT FOR THE YEAR ENDED 31ST MARCH, 2023</t>
  </si>
  <si>
    <t>Year ended 31st March, 2023</t>
  </si>
  <si>
    <t>As at 31st March, 2023</t>
  </si>
  <si>
    <t>As at 31st March 2023</t>
  </si>
  <si>
    <t>Sathiapal Constructions Private Limited</t>
  </si>
  <si>
    <t>Details of related party transactions during the year ended 31 March, 2023 and balances outstanding as at 31 March, 2023:</t>
  </si>
  <si>
    <t>Transactions during the year ended 31st March, 2023</t>
  </si>
  <si>
    <t>Balance outstanding as on 31st March, 2023</t>
  </si>
  <si>
    <t>Year ended
March 31, 2023</t>
  </si>
  <si>
    <t>Ledger Account</t>
  </si>
  <si>
    <t>Vch Type</t>
  </si>
  <si>
    <t>Vch No.</t>
  </si>
  <si>
    <t>AMOUNT 
CAPITALISED</t>
  </si>
  <si>
    <t>IGST</t>
  </si>
  <si>
    <t>CESS</t>
  </si>
  <si>
    <t>AMOUNT TO BE CAPITALISED</t>
  </si>
  <si>
    <t>Ledger Name</t>
  </si>
  <si>
    <t>Educational</t>
  </si>
  <si>
    <t>Plate</t>
  </si>
  <si>
    <t>Computer repair. Why it is capitalised?</t>
  </si>
  <si>
    <t>Payment</t>
  </si>
  <si>
    <t xml:space="preserve">No bill </t>
  </si>
  <si>
    <t>Voucher yet to be verified</t>
  </si>
  <si>
    <t>By</t>
  </si>
  <si>
    <t>Journal</t>
  </si>
  <si>
    <t>Voucher yet to be verified. No GST for this sale</t>
  </si>
  <si>
    <t>Voucher yet to be verified. Amount mismatches of Rs.10,206</t>
  </si>
  <si>
    <t>For this GST Reversed. Now have to revert back again</t>
  </si>
  <si>
    <t>Total Excess amount capitalised</t>
  </si>
  <si>
    <t>Prior period item of Rs.10,206</t>
  </si>
  <si>
    <t xml:space="preserve">       Disallowance U/s 40A(3)</t>
  </si>
  <si>
    <t>Si.no</t>
  </si>
  <si>
    <t>Benz car service</t>
  </si>
  <si>
    <t>Marriage Gift to Mr. velappan</t>
  </si>
  <si>
    <t>Sillvan Gift</t>
  </si>
  <si>
    <t>Angusamy gst notice purpose</t>
  </si>
  <si>
    <t>Wagnor Car service</t>
  </si>
  <si>
    <t>Skoda car serivce</t>
  </si>
  <si>
    <t>Godown rent</t>
  </si>
  <si>
    <t xml:space="preserve">       Disallowance U/s 37(i)</t>
  </si>
  <si>
    <t>Penalty</t>
  </si>
  <si>
    <t>Contract advance</t>
  </si>
  <si>
    <t>Vishaka Structurrls (Ultratech Karnataka)S.Drs</t>
  </si>
  <si>
    <t>To Misc Expense</t>
  </si>
  <si>
    <t>(Profit) / loss on sale of assets</t>
  </si>
  <si>
    <t>Write off of assets</t>
  </si>
  <si>
    <t>Average cash, cash equivalents &amp; Other Marketable securities</t>
  </si>
  <si>
    <t>Average cash and cash equivalent</t>
  </si>
  <si>
    <t>M.No. 029424</t>
  </si>
  <si>
    <t>More than 180 Days</t>
  </si>
  <si>
    <t>less than 180 Days</t>
  </si>
  <si>
    <t>Thermax LTD</t>
  </si>
  <si>
    <t>Kec International ACC S.Drs(UP)</t>
  </si>
  <si>
    <t>To Contract advance</t>
  </si>
  <si>
    <t>GST - AMOUNT PAID TO COMMISSIONER</t>
  </si>
  <si>
    <t>Loans &amp; Advances</t>
  </si>
  <si>
    <t>gst</t>
  </si>
  <si>
    <t>To Party</t>
  </si>
  <si>
    <t>To TDS</t>
  </si>
  <si>
    <t xml:space="preserve">To ESI </t>
  </si>
  <si>
    <t>To Staff welfare payable</t>
  </si>
  <si>
    <t>Interest Income Written back</t>
  </si>
  <si>
    <t>Construction work expenses</t>
  </si>
  <si>
    <t>To Staff welfare expenses</t>
  </si>
  <si>
    <t>27.09.23</t>
  </si>
  <si>
    <t>05.03.23</t>
  </si>
  <si>
    <t>Rajasthan steel marwar</t>
  </si>
  <si>
    <t>03.03.23</t>
  </si>
  <si>
    <t>chennai steel company</t>
  </si>
  <si>
    <t>22.02.23</t>
  </si>
  <si>
    <t>rayban industries</t>
  </si>
  <si>
    <t>24.01.23</t>
  </si>
  <si>
    <t>sri sai trading</t>
  </si>
  <si>
    <t>13.01.23</t>
  </si>
  <si>
    <t>17.12.22</t>
  </si>
  <si>
    <t>prasad combaines</t>
  </si>
  <si>
    <t>21.10.22</t>
  </si>
  <si>
    <t>20.10.22</t>
  </si>
  <si>
    <t>national tubes &amp; alloys</t>
  </si>
  <si>
    <t>07.09.23</t>
  </si>
  <si>
    <t>steel link</t>
  </si>
  <si>
    <t>09.07.22</t>
  </si>
  <si>
    <t>25.07.22</t>
  </si>
  <si>
    <t>01.04.22</t>
  </si>
  <si>
    <t>jai sudharshan trading co</t>
  </si>
  <si>
    <t>repairs &amp; maintanance</t>
  </si>
  <si>
    <t>15.04.22</t>
  </si>
  <si>
    <t>14.05.22</t>
  </si>
  <si>
    <t>national tubes &amp; alloyus</t>
  </si>
  <si>
    <t>23.05.22</t>
  </si>
  <si>
    <t>21.08.22</t>
  </si>
  <si>
    <t>26.09.22</t>
  </si>
  <si>
    <t>shree ganesh steel corpn</t>
  </si>
  <si>
    <t>31.12.22</t>
  </si>
  <si>
    <t>05.01.23</t>
  </si>
  <si>
    <t>19.01.23</t>
  </si>
  <si>
    <t>20.01.23</t>
  </si>
  <si>
    <t>17.02.23</t>
  </si>
  <si>
    <t>sri lakshmi steels</t>
  </si>
  <si>
    <t>25.02.23</t>
  </si>
  <si>
    <t>28.03.23</t>
  </si>
  <si>
    <t>steel world</t>
  </si>
  <si>
    <t>23.08.22</t>
  </si>
  <si>
    <t>schwing stetter</t>
  </si>
  <si>
    <t>14.09.22</t>
  </si>
  <si>
    <t>ruby international india</t>
  </si>
  <si>
    <t>06.03.23</t>
  </si>
  <si>
    <t>sakthi engineers</t>
  </si>
  <si>
    <t>total</t>
  </si>
  <si>
    <t>To Repairs and Maintenance</t>
  </si>
  <si>
    <t>To Construction material consumed</t>
  </si>
  <si>
    <t>STATEMENT OF TOTAL INCOME                                                                                                                                             ( in '000s)</t>
  </si>
  <si>
    <t>Date:  07-09-2023</t>
  </si>
  <si>
    <t>(1)(a)Property,Plant and Equipments</t>
  </si>
  <si>
    <t>(d)Cash and Cash Equivalents</t>
  </si>
  <si>
    <t>For the year 2022-23</t>
  </si>
  <si>
    <t>For the year 2021-22</t>
  </si>
  <si>
    <t>Cash and cash equivalents as per Balance Sheet (Refer Note 15)</t>
  </si>
  <si>
    <t>(Rs. in '000)</t>
  </si>
  <si>
    <t xml:space="preserve">The reconciliation of the number of shares outstanding and the amount of share capital as at 31st March, 2022 and 31st March, 2023 is set out below.                                                                                                                                   </t>
  </si>
  <si>
    <t xml:space="preserve">The major components of deferred tax Assets/(Liabilities) arising on account of timing differences as at 31st March, 2023 are as follows:                                                                                                                                                                  </t>
  </si>
  <si>
    <t xml:space="preserve">Net deferred tax Assets / (Liabilities) </t>
  </si>
  <si>
    <t>CASH AND CASH EQUIVALENTS</t>
  </si>
  <si>
    <t xml:space="preserve"> Interest accrued on deposits</t>
  </si>
  <si>
    <t xml:space="preserve"> Other Current Assets</t>
  </si>
  <si>
    <t>Write off of Assets</t>
  </si>
  <si>
    <t>Refer Annexure Note no. 10</t>
  </si>
  <si>
    <t xml:space="preserve">M/S Sathiapal Engineers (India) Private Limited                                                                                                                                                                                                                                                </t>
  </si>
  <si>
    <t>Formerly Known as M/S Sathiapal Engineers (India) Limited</t>
  </si>
  <si>
    <t xml:space="preserve">      Disallowance U/s 40(a)(i)</t>
  </si>
  <si>
    <t>(b)Long Term Loans and Advances</t>
  </si>
  <si>
    <t>Add: Prior period item</t>
  </si>
  <si>
    <t>(Rs.in 000's)</t>
  </si>
  <si>
    <t>Inventories has been valued as per AS 7 Construction contracts on completion of the physical proportion of contract work.
Expenses incurred in respect of uncompleted projects have been valued as inventories in accordance with AS 7.</t>
  </si>
  <si>
    <t>c</t>
  </si>
  <si>
    <t>p</t>
  </si>
  <si>
    <t>A</t>
  </si>
  <si>
    <t>Row Labels</t>
  </si>
  <si>
    <t>(2) Deferred Tax Asset</t>
  </si>
  <si>
    <t>Sum of Amount as per Tally</t>
  </si>
  <si>
    <t xml:space="preserve"> Balance Sheet as at 31st March 2023 as per schedule III of Companies Act 2013</t>
  </si>
  <si>
    <t>Micro,Small and Medium Enterprises and Others</t>
  </si>
  <si>
    <t>(ii)Rent Payable</t>
  </si>
  <si>
    <t>(iii)Salary Payable</t>
  </si>
  <si>
    <t>(iv)Staff welfare payable</t>
  </si>
  <si>
    <t>(v) Audit Fees Payable</t>
  </si>
  <si>
    <t>(vi) Expenses Payable</t>
  </si>
  <si>
    <t>STATEMENT OF PROFIT AND LOSS FOR THE YEAR  ENDED 31st MARCH 2023</t>
  </si>
  <si>
    <t>Balance as on 31st March,2023</t>
  </si>
  <si>
    <t>(c) Balances at banks</t>
  </si>
  <si>
    <t xml:space="preserve">Property plant and equipement </t>
  </si>
  <si>
    <t>ANNEXURE :FIXED ASSETS : (AS PER INCOME TAX ACT)</t>
  </si>
  <si>
    <t>1 to 27</t>
  </si>
  <si>
    <t>(3)CURRENT ASSETS</t>
  </si>
  <si>
    <t>(c)Long term Provisions</t>
  </si>
  <si>
    <t>Income Tax</t>
  </si>
  <si>
    <t>Company</t>
  </si>
  <si>
    <t>Liability</t>
  </si>
  <si>
    <t>To Liability</t>
  </si>
  <si>
    <t>Deferred Tax  Expenses</t>
  </si>
  <si>
    <t>current tax exp</t>
  </si>
  <si>
    <t>p l ac</t>
  </si>
  <si>
    <t xml:space="preserve">current tax exp </t>
  </si>
  <si>
    <t>to proviison of income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</si>
</sst>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 &quot;₹&quot;\ * #,##0.00_ ;_ &quot;₹&quot;\ * \-#,##0.00_ ;_ &quot;₹&quot;\ * &quot;-&quot;??_ ;_ @_ "/>
    <numFmt numFmtId="43" formatCode="_ * #,##0.00_ ;_ * \-#,##0.00_ ;_ * &quot;-&quot;??_ ;_ @_ "/>
    <numFmt numFmtId="164" formatCode="&quot;$&quot;#,##0.00_);[Red]\(&quot;$&quot;#,##0.00\)"/>
    <numFmt numFmtId="165" formatCode="_(* #,##0_);_(* \(#,##0\);_(* &quot;-&quot;_);_(@_)"/>
    <numFmt numFmtId="166" formatCode="_(&quot;$&quot;* #,##0.00_);_(&quot;$&quot;* \(#,##0.00\);_(&quot;$&quot;* &quot;-&quot;??_);_(@_)"/>
    <numFmt numFmtId="167" formatCode="_(* #,##0.00_);_(* \(#,##0.00\);_(* &quot;-&quot;??_);_(@_)"/>
    <numFmt numFmtId="168" formatCode="_-* #,##0.00_-;\-* #,##0.00_-;_-* &quot;-&quot;??_-;_-@_-"/>
    <numFmt numFmtId="169" formatCode="_(* #,##0_);_(* \(#,##0\);_(* &quot;-&quot;??_);_(@_)"/>
    <numFmt numFmtId="170" formatCode="&quot;&quot;0.00"/>
    <numFmt numFmtId="171" formatCode="&quot;&quot;0"/>
    <numFmt numFmtId="172" formatCode="[$-409]mmmm/yy;@"/>
    <numFmt numFmtId="173" formatCode="0.00_);[Red]\(0.00\)"/>
    <numFmt numFmtId="174" formatCode="\:"/>
    <numFmt numFmtId="175" formatCode="_-* #,##0_-;\-* #,##0_-;_-* &quot;-&quot;??_-;_-@_-"/>
    <numFmt numFmtId="176" formatCode="0.0"/>
    <numFmt numFmtId="177" formatCode="0.00_);\(0.00\)"/>
    <numFmt numFmtId="178" formatCode="_ * #,##0.00_)\ _$_ ;_ * \(#,##0.00\)\ _$_ ;_ * &quot;-&quot;??_)\ _$_ ;_ @_ "/>
    <numFmt numFmtId="179" formatCode="0.0000%"/>
    <numFmt numFmtId="180" formatCode="dd\/mm\/yyyy"/>
    <numFmt numFmtId="181" formatCode="0.0000000000"/>
    <numFmt numFmtId="182" formatCode="0.00000000000000"/>
    <numFmt numFmtId="183" formatCode="[$-409]d\-mmm\-yy;@"/>
    <numFmt numFmtId="184" formatCode="_ * #,##0.000_ ;_ * \-#,##0.000_ ;_ * &quot;-&quot;??_ ;_ @_ "/>
    <numFmt numFmtId="185" formatCode="&quot;&quot;0.00&quot; Dr&quot;"/>
    <numFmt numFmtId="186" formatCode="&quot;&quot;0.00&quot; Cr&quot;"/>
    <numFmt numFmtId="187" formatCode="_ * #,##0_ ;_ * \-#,##0_ ;_ * &quot;-&quot;??_ ;_ @_ "/>
    <numFmt numFmtId="188" formatCode="_(* #,##0.00_);_(* \(\ #,##0.00\ \);_(* &quot;-&quot;??_);_(\ @_ \)"/>
    <numFmt numFmtId="189" formatCode="0.0%"/>
    <numFmt numFmtId="190" formatCode="_ * #,##0.0_ ;_ * \-#,##0.0_ ;_ * &quot;-&quot;?_ ;_ @_ "/>
    <numFmt numFmtId="191" formatCode="0.00000000"/>
    <numFmt numFmtId="192" formatCode="0.0000000"/>
    <numFmt numFmtId="193" formatCode="0.000%"/>
    <numFmt numFmtId="194" formatCode="dd/mmm/yyyy"/>
    <numFmt numFmtId="195" formatCode="_ * #,##0.0_ ;_ * \-#,##0.0_ ;_ * &quot;-&quot;??_ ;_ @_ "/>
  </numFmts>
  <fonts count="165">
    <font>
      <sz val="11"/>
      <color theme="1"/>
      <name val="Calibri"/>
      <family val="2"/>
      <scheme val="minor"/>
    </font>
    <font>
      <sz val="11"/>
      <color theme="1"/>
      <name val="Palatino Linotype"/>
      <family val="2"/>
    </font>
    <font>
      <sz val="11"/>
      <color theme="1"/>
      <name val="Palatino Linotype"/>
      <family val="2"/>
    </font>
    <font>
      <sz val="11"/>
      <color theme="1"/>
      <name val="Palatino Linotype"/>
      <family val="2"/>
    </font>
    <font>
      <sz val="11"/>
      <color theme="1"/>
      <name val="Palatino Linotype"/>
      <family val="2"/>
    </font>
    <font>
      <sz val="11"/>
      <color theme="1"/>
      <name val="Palatino Linotype"/>
      <family val="2"/>
    </font>
    <font>
      <sz val="10"/>
      <name val="Trebuchet MS"/>
      <family val="2"/>
    </font>
    <font>
      <sz val="10"/>
      <name val="Arial"/>
      <family val="2"/>
    </font>
    <font>
      <sz val="11"/>
      <color indexed="8"/>
      <name val="Calibri"/>
      <family val="2"/>
    </font>
    <font>
      <sz val="11"/>
      <color indexed="9"/>
      <name val="Calibri"/>
      <family val="2"/>
    </font>
    <font>
      <sz val="8"/>
      <name val="Tahoma"/>
      <family val="2"/>
    </font>
    <font>
      <sz val="11"/>
      <color indexed="20"/>
      <name val="Calibri"/>
      <family val="2"/>
    </font>
    <font>
      <sz val="8"/>
      <name val="Verdana"/>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8"/>
      <color indexed="9"/>
      <name val="Tahoma"/>
      <family val="2"/>
    </font>
    <font>
      <b/>
      <sz val="8"/>
      <color indexed="8"/>
      <name val="Tahoma"/>
      <family val="2"/>
    </font>
    <font>
      <b/>
      <u/>
      <sz val="8"/>
      <color indexed="8"/>
      <name val="Tahoma"/>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8"/>
      <color indexed="23"/>
      <name val="Verdana"/>
      <family val="2"/>
    </font>
    <font>
      <b/>
      <sz val="11"/>
      <color indexed="63"/>
      <name val="Calibri"/>
      <family val="2"/>
    </font>
    <font>
      <sz val="16"/>
      <color indexed="9"/>
      <name val="Tahoma"/>
      <family val="2"/>
    </font>
    <font>
      <b/>
      <sz val="8"/>
      <color indexed="63"/>
      <name val="Verdana"/>
      <family val="2"/>
    </font>
    <font>
      <b/>
      <sz val="18"/>
      <color indexed="56"/>
      <name val="Cambria"/>
      <family val="2"/>
    </font>
    <font>
      <b/>
      <sz val="11"/>
      <color indexed="8"/>
      <name val="Calibri"/>
      <family val="2"/>
    </font>
    <font>
      <sz val="11"/>
      <color indexed="10"/>
      <name val="Calibri"/>
      <family val="2"/>
    </font>
    <font>
      <sz val="10"/>
      <name val="Arial"/>
      <family val="2"/>
    </font>
    <font>
      <u/>
      <sz val="10"/>
      <color indexed="12"/>
      <name val="Arial"/>
      <family val="2"/>
    </font>
    <font>
      <b/>
      <sz val="10"/>
      <name val="Rupee Foradian"/>
      <family val="2"/>
    </font>
    <font>
      <b/>
      <sz val="10"/>
      <name val="Trebuchet MS"/>
      <family val="2"/>
    </font>
    <font>
      <sz val="10"/>
      <color indexed="8"/>
      <name val="Trebuchet MS"/>
      <family val="2"/>
    </font>
    <font>
      <b/>
      <sz val="10"/>
      <color indexed="8"/>
      <name val="Trebuchet MS"/>
      <family val="2"/>
    </font>
    <font>
      <b/>
      <u/>
      <sz val="10"/>
      <name val="Trebuchet MS"/>
      <family val="2"/>
    </font>
    <font>
      <u/>
      <sz val="10"/>
      <name val="Trebuchet MS"/>
      <family val="2"/>
    </font>
    <font>
      <u/>
      <sz val="10"/>
      <color indexed="8"/>
      <name val="Trebuchet MS"/>
      <family val="2"/>
    </font>
    <font>
      <sz val="12"/>
      <name val="Trebuchet MS"/>
      <family val="2"/>
    </font>
    <font>
      <b/>
      <sz val="12"/>
      <name val="Trebuchet MS"/>
      <family val="2"/>
    </font>
    <font>
      <b/>
      <sz val="12"/>
      <color indexed="8"/>
      <name val="Trebuchet MS"/>
      <family val="2"/>
    </font>
    <font>
      <b/>
      <sz val="10"/>
      <name val="Calibri"/>
      <family val="2"/>
    </font>
    <font>
      <sz val="15"/>
      <name val="Trebuchet MS"/>
      <family val="2"/>
    </font>
    <font>
      <b/>
      <sz val="15"/>
      <name val="Trebuchet MS"/>
      <family val="2"/>
    </font>
    <font>
      <sz val="10"/>
      <name val="Tahoma"/>
      <family val="2"/>
    </font>
    <font>
      <i/>
      <sz val="9"/>
      <name val="Arial"/>
      <family val="2"/>
    </font>
    <font>
      <sz val="9"/>
      <name val="Arial"/>
      <family val="2"/>
    </font>
    <font>
      <sz val="11"/>
      <color theme="1"/>
      <name val="Calibri"/>
      <family val="2"/>
      <scheme val="minor"/>
    </font>
    <font>
      <sz val="11"/>
      <color theme="1"/>
      <name val="Times New Roman"/>
      <family val="2"/>
    </font>
    <font>
      <sz val="10"/>
      <color theme="1"/>
      <name val="Courier New"/>
      <family val="2"/>
    </font>
    <font>
      <u/>
      <sz val="11"/>
      <color theme="10"/>
      <name val="Calibri"/>
      <family val="2"/>
    </font>
    <font>
      <b/>
      <sz val="11"/>
      <color theme="1"/>
      <name val="Calibri"/>
      <family val="2"/>
      <scheme val="minor"/>
    </font>
    <font>
      <sz val="11"/>
      <color rgb="FFFF0000"/>
      <name val="Calibri"/>
      <family val="2"/>
      <scheme val="minor"/>
    </font>
    <font>
      <b/>
      <sz val="9"/>
      <color theme="1"/>
      <name val="Arial"/>
      <family val="2"/>
    </font>
    <font>
      <sz val="9"/>
      <color theme="1"/>
      <name val="Arial"/>
      <family val="2"/>
    </font>
    <font>
      <sz val="10"/>
      <color theme="1"/>
      <name val="Trebuchet MS"/>
      <family val="2"/>
    </font>
    <font>
      <i/>
      <sz val="9"/>
      <color theme="1"/>
      <name val="Arial"/>
      <family val="2"/>
    </font>
    <font>
      <b/>
      <sz val="10"/>
      <color theme="1"/>
      <name val="Trebuchet MS"/>
      <family val="2"/>
    </font>
    <font>
      <b/>
      <sz val="10"/>
      <color theme="1"/>
      <name val="Arial"/>
      <family val="2"/>
    </font>
    <font>
      <sz val="10"/>
      <color theme="1"/>
      <name val="Arial"/>
      <family val="2"/>
    </font>
    <font>
      <b/>
      <i/>
      <sz val="9"/>
      <color theme="1"/>
      <name val="Arial"/>
      <family val="2"/>
    </font>
    <font>
      <sz val="9"/>
      <color rgb="FFFF0000"/>
      <name val="Arial"/>
      <family val="2"/>
    </font>
    <font>
      <i/>
      <sz val="9"/>
      <color rgb="FFFF0000"/>
      <name val="Arial"/>
      <family val="2"/>
    </font>
    <font>
      <b/>
      <u/>
      <sz val="10"/>
      <color theme="1"/>
      <name val="Trebuchet MS"/>
      <family val="2"/>
    </font>
    <font>
      <b/>
      <u/>
      <sz val="11"/>
      <color theme="1"/>
      <name val="Calibri"/>
      <family val="2"/>
      <scheme val="minor"/>
    </font>
    <font>
      <u/>
      <sz val="11"/>
      <color theme="1"/>
      <name val="Calibri"/>
      <family val="2"/>
      <scheme val="minor"/>
    </font>
    <font>
      <b/>
      <sz val="9"/>
      <color rgb="FFFF0000"/>
      <name val="Arial"/>
      <family val="2"/>
    </font>
    <font>
      <sz val="11"/>
      <name val="Calibri"/>
      <family val="2"/>
      <scheme val="minor"/>
    </font>
    <font>
      <b/>
      <sz val="12"/>
      <color theme="1"/>
      <name val="Arial"/>
      <family val="2"/>
    </font>
    <font>
      <b/>
      <sz val="11"/>
      <name val="Calibri"/>
      <family val="2"/>
      <scheme val="minor"/>
    </font>
    <font>
      <sz val="12"/>
      <color theme="1"/>
      <name val="Trebuchet MS"/>
      <family val="2"/>
    </font>
    <font>
      <sz val="9"/>
      <name val="Bookman Old Style"/>
      <family val="1"/>
    </font>
    <font>
      <sz val="9"/>
      <color theme="1"/>
      <name val="Bookman Old Style"/>
      <family val="1"/>
    </font>
    <font>
      <b/>
      <sz val="9"/>
      <name val="Bookman Old Style"/>
      <family val="1"/>
    </font>
    <font>
      <b/>
      <sz val="9"/>
      <color theme="1"/>
      <name val="Bookman Old Style"/>
      <family val="1"/>
    </font>
    <font>
      <b/>
      <u/>
      <sz val="9"/>
      <color theme="1"/>
      <name val="Bookman Old Style"/>
      <family val="1"/>
    </font>
    <font>
      <b/>
      <sz val="14"/>
      <name val="Trebuchet MS"/>
      <family val="2"/>
    </font>
    <font>
      <sz val="11"/>
      <color rgb="FFFF0000"/>
      <name val="Trebuchet MS"/>
      <family val="2"/>
    </font>
    <font>
      <b/>
      <sz val="11"/>
      <color rgb="FFFF0000"/>
      <name val="Trebuchet MS"/>
      <family val="2"/>
    </font>
    <font>
      <b/>
      <sz val="10"/>
      <color rgb="FFFF0000"/>
      <name val="Trebuchet MS"/>
      <family val="2"/>
    </font>
    <font>
      <u/>
      <sz val="11"/>
      <color rgb="FFFF0000"/>
      <name val="Trebuchet MS"/>
      <family val="2"/>
    </font>
    <font>
      <sz val="10"/>
      <color rgb="FFFF0000"/>
      <name val="Trebuchet MS"/>
      <family val="2"/>
    </font>
    <font>
      <b/>
      <u val="singleAccounting"/>
      <sz val="11"/>
      <color rgb="FFFF0000"/>
      <name val="Trebuchet MS"/>
      <family val="2"/>
    </font>
    <font>
      <sz val="10"/>
      <color rgb="FFFF0000"/>
      <name val="Arial"/>
      <family val="2"/>
    </font>
    <font>
      <b/>
      <u val="singleAccounting"/>
      <sz val="10"/>
      <color rgb="FFFF0000"/>
      <name val="Trebuchet MS"/>
      <family val="2"/>
    </font>
    <font>
      <b/>
      <u/>
      <sz val="10"/>
      <color rgb="FFFF0000"/>
      <name val="Trebuchet MS"/>
      <family val="2"/>
    </font>
    <font>
      <sz val="10"/>
      <color rgb="FFFF0000"/>
      <name val="Calibri"/>
      <family val="2"/>
      <scheme val="minor"/>
    </font>
    <font>
      <sz val="12"/>
      <color rgb="FFFF0000"/>
      <name val="Trebuchet MS"/>
      <family val="2"/>
    </font>
    <font>
      <b/>
      <sz val="12"/>
      <color rgb="FFFF0000"/>
      <name val="Trebuchet MS"/>
      <family val="2"/>
    </font>
    <font>
      <b/>
      <sz val="11"/>
      <color rgb="FFFF0000"/>
      <name val="Calibri"/>
      <family val="2"/>
      <scheme val="minor"/>
    </font>
    <font>
      <sz val="16"/>
      <color rgb="FFFF0000"/>
      <name val="Trebuchet MS"/>
      <family val="2"/>
    </font>
    <font>
      <b/>
      <sz val="16"/>
      <color rgb="FFFF0000"/>
      <name val="Trebuchet MS"/>
      <family val="2"/>
    </font>
    <font>
      <sz val="15"/>
      <color rgb="FFFF0000"/>
      <name val="Trebuchet MS"/>
      <family val="2"/>
    </font>
    <font>
      <b/>
      <sz val="15"/>
      <color rgb="FFFF0000"/>
      <name val="Trebuchet MS"/>
      <family val="2"/>
    </font>
    <font>
      <i/>
      <sz val="15"/>
      <color rgb="FFFF0000"/>
      <name val="Arial"/>
      <family val="2"/>
    </font>
    <font>
      <b/>
      <sz val="12"/>
      <color rgb="FFFF0000"/>
      <name val="Arial"/>
      <family val="2"/>
    </font>
    <font>
      <b/>
      <i/>
      <sz val="9"/>
      <color rgb="FFFF0000"/>
      <name val="Arial"/>
      <family val="2"/>
    </font>
    <font>
      <b/>
      <sz val="9"/>
      <name val="Arial"/>
      <family val="2"/>
    </font>
    <font>
      <sz val="11"/>
      <color rgb="FF7030A0"/>
      <name val="Calibri"/>
      <family val="2"/>
      <scheme val="minor"/>
    </font>
    <font>
      <b/>
      <sz val="12"/>
      <name val="Arial"/>
      <family val="2"/>
    </font>
    <font>
      <u/>
      <sz val="9"/>
      <color theme="1"/>
      <name val="Bookman Old Style"/>
      <family val="1"/>
    </font>
    <font>
      <b/>
      <sz val="15"/>
      <color theme="1"/>
      <name val="Trebuchet MS"/>
      <family val="2"/>
    </font>
    <font>
      <sz val="15"/>
      <color theme="1"/>
      <name val="Trebuchet MS"/>
      <family val="2"/>
    </font>
    <font>
      <b/>
      <i/>
      <sz val="15"/>
      <color theme="1"/>
      <name val="Trebuchet MS"/>
      <family val="2"/>
    </font>
    <font>
      <b/>
      <i/>
      <u/>
      <sz val="15"/>
      <color theme="1"/>
      <name val="Trebuchet MS"/>
      <family val="2"/>
    </font>
    <font>
      <b/>
      <sz val="16"/>
      <color theme="1"/>
      <name val="Trebuchet MS"/>
      <family val="2"/>
    </font>
    <font>
      <sz val="16"/>
      <color theme="1"/>
      <name val="Trebuchet MS"/>
      <family val="2"/>
    </font>
    <font>
      <b/>
      <i/>
      <u/>
      <sz val="16"/>
      <color theme="1"/>
      <name val="Trebuchet MS"/>
      <family val="2"/>
    </font>
    <font>
      <i/>
      <sz val="10"/>
      <color theme="1"/>
      <name val="Arial"/>
      <family val="2"/>
    </font>
    <font>
      <u/>
      <sz val="12"/>
      <name val="Trebuchet MS"/>
      <family val="2"/>
    </font>
    <font>
      <b/>
      <sz val="11"/>
      <name val="Trebuchet MS"/>
      <family val="2"/>
    </font>
    <font>
      <b/>
      <sz val="10"/>
      <name val="Arial"/>
      <family val="2"/>
    </font>
    <font>
      <sz val="11"/>
      <name val="Trebuchet MS"/>
      <family val="2"/>
    </font>
    <font>
      <b/>
      <sz val="16"/>
      <name val="Calibri"/>
      <family val="2"/>
      <scheme val="minor"/>
    </font>
    <font>
      <b/>
      <sz val="14"/>
      <name val="Calibri"/>
      <family val="2"/>
      <scheme val="minor"/>
    </font>
    <font>
      <sz val="14"/>
      <name val="Microsoft Sans Serif"/>
      <family val="2"/>
    </font>
    <font>
      <i/>
      <sz val="12"/>
      <name val="Trebuchet MS"/>
      <family val="2"/>
    </font>
    <font>
      <sz val="12"/>
      <name val="Calibri"/>
      <family val="2"/>
      <scheme val="minor"/>
    </font>
    <font>
      <b/>
      <sz val="16"/>
      <name val="Trebuchet MS"/>
      <family val="2"/>
    </font>
    <font>
      <b/>
      <u/>
      <sz val="12"/>
      <name val="Trebuchet MS"/>
      <family val="2"/>
    </font>
    <font>
      <b/>
      <sz val="12"/>
      <name val="Rupee Foradian"/>
      <family val="2"/>
    </font>
    <font>
      <sz val="10"/>
      <name val="Calibri"/>
      <family val="2"/>
      <scheme val="minor"/>
    </font>
    <font>
      <b/>
      <sz val="12"/>
      <color theme="1"/>
      <name val="Verdana"/>
      <family val="2"/>
    </font>
    <font>
      <sz val="12"/>
      <color theme="1"/>
      <name val="Verdana"/>
      <family val="2"/>
    </font>
    <font>
      <sz val="11"/>
      <color rgb="FF000000"/>
      <name val="Arial"/>
      <family val="2"/>
    </font>
    <font>
      <sz val="20"/>
      <color rgb="FFC00000"/>
      <name val="Trebuchet MS"/>
      <family val="2"/>
    </font>
    <font>
      <sz val="11"/>
      <color rgb="FF9C5700"/>
      <name val="Calibri"/>
      <family val="2"/>
      <scheme val="minor"/>
    </font>
    <font>
      <b/>
      <sz val="11"/>
      <color theme="1"/>
      <name val="Arial"/>
      <family val="2"/>
    </font>
    <font>
      <b/>
      <sz val="16"/>
      <color theme="1"/>
      <name val="Times New Roman"/>
      <family val="1"/>
    </font>
    <font>
      <sz val="12"/>
      <color theme="1"/>
      <name val="Times New Roman"/>
      <family val="1"/>
    </font>
    <font>
      <b/>
      <sz val="12"/>
      <color theme="0"/>
      <name val="Times New Roman"/>
      <family val="1"/>
    </font>
    <font>
      <b/>
      <sz val="12"/>
      <color theme="1"/>
      <name val="Times New Roman"/>
      <family val="1"/>
    </font>
    <font>
      <sz val="12"/>
      <name val="Times New Roman"/>
      <family val="1"/>
    </font>
    <font>
      <b/>
      <sz val="12"/>
      <name val="Times New Roman"/>
      <family val="1"/>
    </font>
    <font>
      <b/>
      <sz val="18"/>
      <color theme="1"/>
      <name val="Times New Roman"/>
      <family val="1"/>
    </font>
    <font>
      <sz val="12"/>
      <color theme="0"/>
      <name val="Times New Roman"/>
      <family val="1"/>
    </font>
    <font>
      <b/>
      <sz val="11"/>
      <color theme="1"/>
      <name val="Times New Roman"/>
      <family val="1"/>
    </font>
    <font>
      <b/>
      <sz val="11"/>
      <name val="Times New Roman"/>
      <family val="1"/>
    </font>
    <font>
      <b/>
      <sz val="14"/>
      <color theme="1"/>
      <name val="Times New Roman"/>
      <family val="1"/>
    </font>
    <font>
      <b/>
      <sz val="14"/>
      <color rgb="FF9C5700"/>
      <name val="Calibri"/>
      <family val="2"/>
      <scheme val="minor"/>
    </font>
    <font>
      <b/>
      <sz val="9"/>
      <name val="Trebuchet MS"/>
      <family val="2"/>
    </font>
    <font>
      <b/>
      <sz val="14"/>
      <color theme="1"/>
      <name val="Calibri"/>
      <family val="2"/>
      <scheme val="minor"/>
    </font>
    <font>
      <sz val="12"/>
      <color indexed="10"/>
      <name val="Trebuchet MS"/>
      <family val="2"/>
    </font>
    <font>
      <sz val="8"/>
      <name val="Calibri"/>
      <family val="2"/>
      <scheme val="minor"/>
    </font>
    <font>
      <b/>
      <sz val="12"/>
      <color theme="1"/>
      <name val="Trebuchet MS"/>
      <family val="2"/>
    </font>
    <font>
      <b/>
      <sz val="12"/>
      <color theme="1"/>
      <name val="Rupee Foradian"/>
      <family val="2"/>
    </font>
    <font>
      <sz val="12"/>
      <color theme="1"/>
      <name val="Arial"/>
      <family val="2"/>
    </font>
    <font>
      <sz val="12"/>
      <name val="Arial"/>
      <family val="2"/>
    </font>
    <font>
      <b/>
      <sz val="14"/>
      <name val="Times New Roman"/>
      <family val="1"/>
    </font>
    <font>
      <b/>
      <sz val="14"/>
      <color theme="1"/>
      <name val="Cambria"/>
      <family val="1"/>
    </font>
    <font>
      <sz val="14"/>
      <color theme="1"/>
      <name val="Cambria"/>
      <family val="1"/>
    </font>
    <font>
      <b/>
      <sz val="12"/>
      <color rgb="FFFF0000"/>
      <name val="Times New Roman"/>
      <family val="1"/>
    </font>
    <font>
      <sz val="10"/>
      <color theme="1"/>
      <name val="Cambria"/>
      <family val="1"/>
    </font>
    <font>
      <u/>
      <sz val="10"/>
      <color theme="1"/>
      <name val="Cambria"/>
      <family val="1"/>
    </font>
    <font>
      <sz val="11"/>
      <color theme="1"/>
      <name val="Trebuchet MS"/>
      <family val="2"/>
    </font>
    <font>
      <b/>
      <sz val="11"/>
      <color theme="1"/>
      <name val="Trebuchet MS"/>
      <family val="2"/>
    </font>
    <font>
      <sz val="11"/>
      <color theme="1"/>
      <name val="Palatino Linotype"/>
      <family val="1"/>
    </font>
    <font>
      <sz val="12"/>
      <color theme="1"/>
      <name val="Palatino Linotype"/>
      <family val="1"/>
    </font>
    <font>
      <b/>
      <sz val="12"/>
      <color theme="1"/>
      <name val="Palatino Linotype"/>
      <family val="1"/>
    </font>
    <font>
      <b/>
      <sz val="11"/>
      <color theme="1"/>
      <name val="Palatino Linotype"/>
      <family val="1"/>
    </font>
    <font>
      <sz val="10"/>
      <color rgb="FF0070C0"/>
      <name val="Trebuchet MS"/>
      <family val="2"/>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55"/>
        <bgColor indexed="64"/>
      </patternFill>
    </fill>
    <fill>
      <patternFill patternType="solid">
        <fgColor indexed="22"/>
      </patternFill>
    </fill>
    <fill>
      <patternFill patternType="solid">
        <fgColor indexed="55"/>
      </patternFill>
    </fill>
    <fill>
      <patternFill patternType="solid">
        <fgColor indexed="8"/>
        <bgColor indexed="64"/>
      </patternFill>
    </fill>
    <fill>
      <patternFill patternType="solid">
        <fgColor indexed="9"/>
        <bgColor indexed="9"/>
      </patternFill>
    </fill>
    <fill>
      <patternFill patternType="solid">
        <fgColor indexed="43"/>
      </patternFill>
    </fill>
    <fill>
      <patternFill patternType="solid">
        <fgColor indexed="22"/>
        <bgColor indexed="64"/>
      </patternFill>
    </fill>
    <fill>
      <patternFill patternType="solid">
        <fgColor indexed="26"/>
      </patternFill>
    </fill>
    <fill>
      <patternFill patternType="solid">
        <fgColor indexed="13"/>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7"/>
        <bgColor indexed="64"/>
      </patternFill>
    </fill>
    <fill>
      <patternFill patternType="solid">
        <fgColor rgb="FFFAF3C6"/>
        <bgColor indexed="64"/>
      </patternFill>
    </fill>
    <fill>
      <patternFill patternType="solid">
        <fgColor rgb="FF0070C0"/>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9" tint="0.3999145481734672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rgb="FF00B0F0"/>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theme="6" tint="-0.249977111117893"/>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rgb="FFFFFFFF"/>
        <bgColor indexed="64"/>
      </patternFill>
    </fill>
    <fill>
      <patternFill patternType="solid">
        <fgColor theme="7" tint="0.39997558519241921"/>
        <bgColor indexed="64"/>
      </patternFill>
    </fill>
    <fill>
      <patternFill patternType="solid">
        <fgColor rgb="FFFFEB9C"/>
      </patternFill>
    </fill>
    <fill>
      <patternFill patternType="solid">
        <fgColor theme="2"/>
        <bgColor indexed="64"/>
      </patternFill>
    </fill>
    <fill>
      <patternFill patternType="solid">
        <fgColor theme="2" tint="-0.89999084444715716"/>
        <bgColor indexed="64"/>
      </patternFill>
    </fill>
    <fill>
      <patternFill patternType="solid">
        <fgColor theme="9" tint="-0.499984740745262"/>
        <bgColor indexed="64"/>
      </patternFill>
    </fill>
    <fill>
      <patternFill patternType="solid">
        <fgColor theme="0" tint="-0.249977111117893"/>
        <bgColor indexed="64"/>
      </patternFill>
    </fill>
  </fills>
  <borders count="139">
    <border>
      <left/>
      <right/>
      <top/>
      <bottom/>
      <diagonal/>
    </border>
    <border>
      <left style="thin">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55"/>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double">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double">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bottom style="double">
        <color indexed="64"/>
      </bottom>
      <diagonal/>
    </border>
    <border>
      <left style="thin">
        <color indexed="64"/>
      </left>
      <right style="medium">
        <color indexed="64"/>
      </right>
      <top/>
      <bottom/>
      <diagonal/>
    </border>
    <border>
      <left style="thin">
        <color indexed="64"/>
      </left>
      <right style="thin">
        <color indexed="64"/>
      </right>
      <top style="double">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double">
        <color indexed="64"/>
      </bottom>
      <diagonal/>
    </border>
    <border>
      <left/>
      <right/>
      <top/>
      <bottom style="thin">
        <color indexed="64"/>
      </bottom>
      <diagonal/>
    </border>
    <border>
      <left style="medium">
        <color indexed="64"/>
      </left>
      <right/>
      <top/>
      <bottom/>
      <diagonal/>
    </border>
    <border>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double">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hair">
        <color indexed="64"/>
      </top>
      <bottom style="hair">
        <color indexed="64"/>
      </bottom>
      <diagonal/>
    </border>
    <border>
      <left style="thin">
        <color indexed="64"/>
      </left>
      <right/>
      <top/>
      <bottom style="hair">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style="double">
        <color indexed="64"/>
      </left>
      <right style="medium">
        <color indexed="64"/>
      </right>
      <top style="medium">
        <color indexed="64"/>
      </top>
      <bottom/>
      <diagonal/>
    </border>
    <border>
      <left/>
      <right/>
      <top style="double">
        <color indexed="64"/>
      </top>
      <bottom style="double">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auto="1"/>
      </left>
      <right style="thin">
        <color auto="1"/>
      </right>
      <top/>
      <bottom/>
      <diagonal/>
    </border>
    <border>
      <left/>
      <right style="medium">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medium">
        <color indexed="64"/>
      </left>
      <right style="double">
        <color indexed="64"/>
      </right>
      <top style="medium">
        <color indexed="64"/>
      </top>
      <bottom/>
      <diagonal/>
    </border>
    <border>
      <left style="double">
        <color indexed="64"/>
      </left>
      <right style="double">
        <color indexed="64"/>
      </right>
      <top style="medium">
        <color indexed="64"/>
      </top>
      <bottom/>
      <diagonal/>
    </border>
    <border>
      <left style="medium">
        <color indexed="64"/>
      </left>
      <right style="double">
        <color indexed="64"/>
      </right>
      <top/>
      <bottom/>
      <diagonal/>
    </border>
    <border>
      <left style="medium">
        <color indexed="64"/>
      </left>
      <right/>
      <top style="thin">
        <color indexed="64"/>
      </top>
      <bottom style="double">
        <color indexed="64"/>
      </bottom>
      <diagonal/>
    </border>
    <border>
      <left style="thin">
        <color indexed="64"/>
      </left>
      <right style="medium">
        <color indexed="64"/>
      </right>
      <top style="double">
        <color indexed="64"/>
      </top>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bottom style="double">
        <color indexed="64"/>
      </bottom>
      <diagonal/>
    </border>
    <border>
      <left style="medium">
        <color indexed="64"/>
      </left>
      <right/>
      <top style="double">
        <color indexed="64"/>
      </top>
      <bottom style="double">
        <color indexed="64"/>
      </bottom>
      <diagonal/>
    </border>
    <border>
      <left/>
      <right style="medium">
        <color indexed="64"/>
      </right>
      <top style="double">
        <color indexed="64"/>
      </top>
      <bottom style="double">
        <color indexed="64"/>
      </bottom>
      <diagonal/>
    </border>
    <border>
      <left/>
      <right style="medium">
        <color indexed="64"/>
      </right>
      <top style="double">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medium">
        <color indexed="64"/>
      </top>
      <bottom style="double">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top style="medium">
        <color indexed="64"/>
      </top>
      <bottom style="medium">
        <color indexed="64"/>
      </bottom>
      <diagonal/>
    </border>
    <border>
      <left/>
      <right/>
      <top/>
      <bottom style="hair">
        <color indexed="64"/>
      </bottom>
      <diagonal/>
    </border>
    <border>
      <left style="medium">
        <color indexed="64"/>
      </left>
      <right/>
      <top style="thin">
        <color indexed="64"/>
      </top>
      <bottom style="medium">
        <color indexed="64"/>
      </bottom>
      <diagonal/>
    </border>
    <border>
      <left style="medium">
        <color indexed="64"/>
      </left>
      <right/>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auto="1"/>
      </right>
      <top style="thin">
        <color auto="1"/>
      </top>
      <bottom style="medium">
        <color indexed="64"/>
      </bottom>
      <diagonal/>
    </border>
    <border>
      <left/>
      <right/>
      <top/>
      <bottom style="medium">
        <color auto="1"/>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style="thin">
        <color indexed="64"/>
      </right>
      <top style="medium">
        <color indexed="64"/>
      </top>
      <bottom/>
      <diagonal/>
    </border>
    <border>
      <left/>
      <right style="thick">
        <color indexed="64"/>
      </right>
      <top style="medium">
        <color indexed="64"/>
      </top>
      <bottom/>
      <diagonal/>
    </border>
    <border>
      <left style="thick">
        <color indexed="64"/>
      </left>
      <right style="thin">
        <color indexed="64"/>
      </right>
      <top/>
      <bottom style="medium">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diagonal/>
    </border>
    <border>
      <left style="thin">
        <color indexed="64"/>
      </left>
      <right style="thick">
        <color indexed="64"/>
      </right>
      <top/>
      <bottom/>
      <diagonal/>
    </border>
    <border>
      <left style="thin">
        <color indexed="64"/>
      </left>
      <right style="thick">
        <color indexed="64"/>
      </right>
      <top style="thin">
        <color indexed="64"/>
      </top>
      <bottom style="thick">
        <color indexed="64"/>
      </bottom>
      <diagonal/>
    </border>
    <border>
      <left style="thick">
        <color indexed="64"/>
      </left>
      <right/>
      <top/>
      <bottom style="medium">
        <color indexed="64"/>
      </bottom>
      <diagonal/>
    </border>
    <border>
      <left style="thick">
        <color indexed="64"/>
      </left>
      <right style="thin">
        <color indexed="64"/>
      </right>
      <top/>
      <bottom/>
      <diagonal/>
    </border>
    <border>
      <left style="thin">
        <color indexed="64"/>
      </left>
      <right style="thick">
        <color indexed="64"/>
      </right>
      <top/>
      <bottom style="thin">
        <color indexed="64"/>
      </bottom>
      <diagonal/>
    </border>
    <border>
      <left style="thick">
        <color indexed="64"/>
      </left>
      <right/>
      <top/>
      <bottom style="thick">
        <color indexed="64"/>
      </bottom>
      <diagonal/>
    </border>
  </borders>
  <cellStyleXfs count="359">
    <xf numFmtId="0" fontId="0" fillId="0" borderId="0"/>
    <xf numFmtId="172" fontId="8" fillId="2" borderId="0" applyNumberFormat="0" applyBorder="0" applyAlignment="0" applyProtection="0"/>
    <xf numFmtId="172" fontId="8" fillId="2" borderId="0" applyNumberFormat="0" applyBorder="0" applyAlignment="0" applyProtection="0"/>
    <xf numFmtId="172" fontId="8" fillId="2" borderId="0" applyNumberFormat="0" applyBorder="0" applyAlignment="0" applyProtection="0"/>
    <xf numFmtId="172" fontId="8" fillId="2" borderId="0" applyNumberFormat="0" applyBorder="0" applyAlignment="0" applyProtection="0"/>
    <xf numFmtId="172" fontId="8" fillId="2" borderId="0" applyNumberFormat="0" applyBorder="0" applyAlignment="0" applyProtection="0"/>
    <xf numFmtId="172" fontId="8" fillId="3" borderId="0" applyNumberFormat="0" applyBorder="0" applyAlignment="0" applyProtection="0"/>
    <xf numFmtId="172" fontId="8" fillId="3" borderId="0" applyNumberFormat="0" applyBorder="0" applyAlignment="0" applyProtection="0"/>
    <xf numFmtId="172" fontId="8" fillId="3" borderId="0" applyNumberFormat="0" applyBorder="0" applyAlignment="0" applyProtection="0"/>
    <xf numFmtId="172" fontId="8" fillId="3" borderId="0" applyNumberFormat="0" applyBorder="0" applyAlignment="0" applyProtection="0"/>
    <xf numFmtId="172" fontId="8" fillId="3" borderId="0" applyNumberFormat="0" applyBorder="0" applyAlignment="0" applyProtection="0"/>
    <xf numFmtId="172" fontId="8" fillId="4" borderId="0" applyNumberFormat="0" applyBorder="0" applyAlignment="0" applyProtection="0"/>
    <xf numFmtId="172" fontId="8" fillId="4" borderId="0" applyNumberFormat="0" applyBorder="0" applyAlignment="0" applyProtection="0"/>
    <xf numFmtId="172" fontId="8" fillId="4" borderId="0" applyNumberFormat="0" applyBorder="0" applyAlignment="0" applyProtection="0"/>
    <xf numFmtId="172" fontId="8" fillId="4" borderId="0" applyNumberFormat="0" applyBorder="0" applyAlignment="0" applyProtection="0"/>
    <xf numFmtId="172" fontId="8" fillId="4"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6" borderId="0" applyNumberFormat="0" applyBorder="0" applyAlignment="0" applyProtection="0"/>
    <xf numFmtId="172" fontId="8" fillId="6" borderId="0" applyNumberFormat="0" applyBorder="0" applyAlignment="0" applyProtection="0"/>
    <xf numFmtId="172" fontId="8" fillId="6" borderId="0" applyNumberFormat="0" applyBorder="0" applyAlignment="0" applyProtection="0"/>
    <xf numFmtId="172" fontId="8" fillId="6" borderId="0" applyNumberFormat="0" applyBorder="0" applyAlignment="0" applyProtection="0"/>
    <xf numFmtId="172" fontId="8" fillId="6" borderId="0" applyNumberFormat="0" applyBorder="0" applyAlignment="0" applyProtection="0"/>
    <xf numFmtId="172" fontId="8" fillId="7" borderId="0" applyNumberFormat="0" applyBorder="0" applyAlignment="0" applyProtection="0"/>
    <xf numFmtId="172" fontId="8" fillId="7" borderId="0" applyNumberFormat="0" applyBorder="0" applyAlignment="0" applyProtection="0"/>
    <xf numFmtId="172" fontId="8" fillId="7" borderId="0" applyNumberFormat="0" applyBorder="0" applyAlignment="0" applyProtection="0"/>
    <xf numFmtId="172" fontId="8" fillId="7" borderId="0" applyNumberFormat="0" applyBorder="0" applyAlignment="0" applyProtection="0"/>
    <xf numFmtId="172" fontId="8" fillId="7"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9" borderId="0" applyNumberFormat="0" applyBorder="0" applyAlignment="0" applyProtection="0"/>
    <xf numFmtId="172" fontId="8" fillId="9" borderId="0" applyNumberFormat="0" applyBorder="0" applyAlignment="0" applyProtection="0"/>
    <xf numFmtId="172" fontId="8" fillId="9" borderId="0" applyNumberFormat="0" applyBorder="0" applyAlignment="0" applyProtection="0"/>
    <xf numFmtId="172" fontId="8" fillId="9" borderId="0" applyNumberFormat="0" applyBorder="0" applyAlignment="0" applyProtection="0"/>
    <xf numFmtId="172" fontId="8" fillId="9" borderId="0" applyNumberFormat="0" applyBorder="0" applyAlignment="0" applyProtection="0"/>
    <xf numFmtId="172" fontId="8" fillId="10" borderId="0" applyNumberFormat="0" applyBorder="0" applyAlignment="0" applyProtection="0"/>
    <xf numFmtId="172" fontId="8" fillId="10" borderId="0" applyNumberFormat="0" applyBorder="0" applyAlignment="0" applyProtection="0"/>
    <xf numFmtId="172" fontId="8" fillId="10" borderId="0" applyNumberFormat="0" applyBorder="0" applyAlignment="0" applyProtection="0"/>
    <xf numFmtId="172" fontId="8" fillId="10" borderId="0" applyNumberFormat="0" applyBorder="0" applyAlignment="0" applyProtection="0"/>
    <xf numFmtId="172" fontId="8" fillId="10"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5"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8" borderId="0" applyNumberFormat="0" applyBorder="0" applyAlignment="0" applyProtection="0"/>
    <xf numFmtId="172" fontId="8" fillId="11" borderId="0" applyNumberFormat="0" applyBorder="0" applyAlignment="0" applyProtection="0"/>
    <xf numFmtId="172" fontId="8" fillId="11" borderId="0" applyNumberFormat="0" applyBorder="0" applyAlignment="0" applyProtection="0"/>
    <xf numFmtId="172" fontId="8" fillId="11" borderId="0" applyNumberFormat="0" applyBorder="0" applyAlignment="0" applyProtection="0"/>
    <xf numFmtId="172" fontId="8" fillId="11" borderId="0" applyNumberFormat="0" applyBorder="0" applyAlignment="0" applyProtection="0"/>
    <xf numFmtId="172" fontId="8" fillId="11" borderId="0" applyNumberFormat="0" applyBorder="0" applyAlignment="0" applyProtection="0"/>
    <xf numFmtId="172" fontId="9" fillId="12" borderId="0" applyNumberFormat="0" applyBorder="0" applyAlignment="0" applyProtection="0"/>
    <xf numFmtId="172" fontId="9" fillId="12" borderId="0" applyNumberFormat="0" applyBorder="0" applyAlignment="0" applyProtection="0"/>
    <xf numFmtId="172" fontId="9" fillId="12" borderId="0" applyNumberFormat="0" applyBorder="0" applyAlignment="0" applyProtection="0"/>
    <xf numFmtId="172" fontId="9" fillId="12" borderId="0" applyNumberFormat="0" applyBorder="0" applyAlignment="0" applyProtection="0"/>
    <xf numFmtId="172" fontId="9" fillId="12" borderId="0" applyNumberFormat="0" applyBorder="0" applyAlignment="0" applyProtection="0"/>
    <xf numFmtId="172" fontId="9" fillId="9" borderId="0" applyNumberFormat="0" applyBorder="0" applyAlignment="0" applyProtection="0"/>
    <xf numFmtId="172" fontId="9" fillId="9" borderId="0" applyNumberFormat="0" applyBorder="0" applyAlignment="0" applyProtection="0"/>
    <xf numFmtId="172" fontId="9" fillId="9" borderId="0" applyNumberFormat="0" applyBorder="0" applyAlignment="0" applyProtection="0"/>
    <xf numFmtId="172" fontId="9" fillId="9" borderId="0" applyNumberFormat="0" applyBorder="0" applyAlignment="0" applyProtection="0"/>
    <xf numFmtId="172" fontId="9" fillId="9" borderId="0" applyNumberFormat="0" applyBorder="0" applyAlignment="0" applyProtection="0"/>
    <xf numFmtId="172" fontId="9" fillId="10" borderId="0" applyNumberFormat="0" applyBorder="0" applyAlignment="0" applyProtection="0"/>
    <xf numFmtId="172" fontId="9" fillId="10" borderId="0" applyNumberFormat="0" applyBorder="0" applyAlignment="0" applyProtection="0"/>
    <xf numFmtId="172" fontId="9" fillId="10" borderId="0" applyNumberFormat="0" applyBorder="0" applyAlignment="0" applyProtection="0"/>
    <xf numFmtId="172" fontId="9" fillId="10" borderId="0" applyNumberFormat="0" applyBorder="0" applyAlignment="0" applyProtection="0"/>
    <xf numFmtId="172" fontId="9" fillId="10"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5" borderId="0" applyNumberFormat="0" applyBorder="0" applyAlignment="0" applyProtection="0"/>
    <xf numFmtId="172" fontId="9" fillId="15" borderId="0" applyNumberFormat="0" applyBorder="0" applyAlignment="0" applyProtection="0"/>
    <xf numFmtId="172" fontId="9" fillId="15" borderId="0" applyNumberFormat="0" applyBorder="0" applyAlignment="0" applyProtection="0"/>
    <xf numFmtId="172" fontId="9" fillId="15" borderId="0" applyNumberFormat="0" applyBorder="0" applyAlignment="0" applyProtection="0"/>
    <xf numFmtId="172" fontId="9" fillId="15" borderId="0" applyNumberFormat="0" applyBorder="0" applyAlignment="0" applyProtection="0"/>
    <xf numFmtId="172" fontId="9" fillId="16" borderId="0" applyNumberFormat="0" applyBorder="0" applyAlignment="0" applyProtection="0"/>
    <xf numFmtId="172" fontId="9" fillId="16" borderId="0" applyNumberFormat="0" applyBorder="0" applyAlignment="0" applyProtection="0"/>
    <xf numFmtId="172" fontId="9" fillId="16" borderId="0" applyNumberFormat="0" applyBorder="0" applyAlignment="0" applyProtection="0"/>
    <xf numFmtId="172" fontId="9" fillId="16" borderId="0" applyNumberFormat="0" applyBorder="0" applyAlignment="0" applyProtection="0"/>
    <xf numFmtId="172" fontId="9" fillId="16" borderId="0" applyNumberFormat="0" applyBorder="0" applyAlignment="0" applyProtection="0"/>
    <xf numFmtId="172" fontId="9" fillId="17" borderId="0" applyNumberFormat="0" applyBorder="0" applyAlignment="0" applyProtection="0"/>
    <xf numFmtId="172" fontId="9" fillId="17" borderId="0" applyNumberFormat="0" applyBorder="0" applyAlignment="0" applyProtection="0"/>
    <xf numFmtId="172" fontId="9" fillId="17" borderId="0" applyNumberFormat="0" applyBorder="0" applyAlignment="0" applyProtection="0"/>
    <xf numFmtId="172" fontId="9" fillId="17" borderId="0" applyNumberFormat="0" applyBorder="0" applyAlignment="0" applyProtection="0"/>
    <xf numFmtId="172" fontId="9" fillId="17" borderId="0" applyNumberFormat="0" applyBorder="0" applyAlignment="0" applyProtection="0"/>
    <xf numFmtId="172" fontId="9" fillId="18" borderId="0" applyNumberFormat="0" applyBorder="0" applyAlignment="0" applyProtection="0"/>
    <xf numFmtId="172" fontId="9" fillId="18" borderId="0" applyNumberFormat="0" applyBorder="0" applyAlignment="0" applyProtection="0"/>
    <xf numFmtId="172" fontId="9" fillId="18" borderId="0" applyNumberFormat="0" applyBorder="0" applyAlignment="0" applyProtection="0"/>
    <xf numFmtId="172" fontId="9" fillId="18" borderId="0" applyNumberFormat="0" applyBorder="0" applyAlignment="0" applyProtection="0"/>
    <xf numFmtId="172" fontId="9" fillId="18"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3"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4" borderId="0" applyNumberFormat="0" applyBorder="0" applyAlignment="0" applyProtection="0"/>
    <xf numFmtId="172" fontId="9" fillId="19" borderId="0" applyNumberFormat="0" applyBorder="0" applyAlignment="0" applyProtection="0"/>
    <xf numFmtId="172" fontId="9" fillId="19" borderId="0" applyNumberFormat="0" applyBorder="0" applyAlignment="0" applyProtection="0"/>
    <xf numFmtId="172" fontId="9" fillId="19" borderId="0" applyNumberFormat="0" applyBorder="0" applyAlignment="0" applyProtection="0"/>
    <xf numFmtId="172" fontId="9" fillId="19" borderId="0" applyNumberFormat="0" applyBorder="0" applyAlignment="0" applyProtection="0"/>
    <xf numFmtId="172" fontId="9" fillId="19" borderId="0" applyNumberFormat="0" applyBorder="0" applyAlignment="0" applyProtection="0"/>
    <xf numFmtId="37" fontId="10" fillId="20" borderId="1" applyBorder="0" applyProtection="0">
      <alignment vertical="center"/>
    </xf>
    <xf numFmtId="172" fontId="11" fillId="3" borderId="0" applyNumberFormat="0" applyBorder="0" applyAlignment="0" applyProtection="0"/>
    <xf numFmtId="172" fontId="11" fillId="3" borderId="0" applyNumberFormat="0" applyBorder="0" applyAlignment="0" applyProtection="0"/>
    <xf numFmtId="172" fontId="11" fillId="3" borderId="0" applyNumberFormat="0" applyBorder="0" applyAlignment="0" applyProtection="0"/>
    <xf numFmtId="172" fontId="11" fillId="3" borderId="0" applyNumberFormat="0" applyBorder="0" applyAlignment="0" applyProtection="0"/>
    <xf numFmtId="172" fontId="11" fillId="3" borderId="0" applyNumberFormat="0" applyBorder="0" applyAlignment="0" applyProtection="0"/>
    <xf numFmtId="172" fontId="12" fillId="21" borderId="0" applyBorder="0">
      <alignment horizontal="left" vertical="center" indent="1"/>
    </xf>
    <xf numFmtId="172" fontId="13" fillId="22" borderId="2" applyNumberFormat="0" applyAlignment="0" applyProtection="0"/>
    <xf numFmtId="172" fontId="13" fillId="22" borderId="2" applyNumberFormat="0" applyAlignment="0" applyProtection="0"/>
    <xf numFmtId="172" fontId="13" fillId="22" borderId="2" applyNumberFormat="0" applyAlignment="0" applyProtection="0"/>
    <xf numFmtId="172" fontId="13" fillId="22" borderId="2" applyNumberFormat="0" applyAlignment="0" applyProtection="0"/>
    <xf numFmtId="172" fontId="13" fillId="22" borderId="2" applyNumberFormat="0" applyAlignment="0" applyProtection="0"/>
    <xf numFmtId="172" fontId="14" fillId="23" borderId="3" applyNumberFormat="0" applyAlignment="0" applyProtection="0"/>
    <xf numFmtId="172" fontId="14" fillId="23" borderId="3" applyNumberFormat="0" applyAlignment="0" applyProtection="0"/>
    <xf numFmtId="172" fontId="14" fillId="23" borderId="3" applyNumberFormat="0" applyAlignment="0" applyProtection="0"/>
    <xf numFmtId="172" fontId="14" fillId="23" borderId="3" applyNumberFormat="0" applyAlignment="0" applyProtection="0"/>
    <xf numFmtId="172" fontId="14" fillId="23" borderId="3" applyNumberFormat="0" applyAlignment="0" applyProtection="0"/>
    <xf numFmtId="167" fontId="51" fillId="0" borderId="0" applyFont="0" applyFill="0" applyBorder="0" applyAlignment="0" applyProtection="0"/>
    <xf numFmtId="167" fontId="52" fillId="0" borderId="0" applyFont="0" applyFill="0" applyBorder="0" applyAlignment="0" applyProtection="0"/>
    <xf numFmtId="167" fontId="53" fillId="0" borderId="0" applyFont="0" applyFill="0" applyBorder="0" applyAlignment="0" applyProtection="0"/>
    <xf numFmtId="43" fontId="51" fillId="0" borderId="0" applyFont="0" applyFill="0" applyBorder="0" applyAlignment="0" applyProtection="0"/>
    <xf numFmtId="167" fontId="7" fillId="0" borderId="0" applyFont="0" applyFill="0" applyBorder="0" applyAlignment="0" applyProtection="0"/>
    <xf numFmtId="168"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73" fontId="7" fillId="0" borderId="0" applyFill="0" applyBorder="0" applyAlignment="0" applyProtection="0"/>
    <xf numFmtId="167" fontId="7" fillId="0" borderId="0" applyFont="0" applyFill="0" applyBorder="0" applyAlignment="0" applyProtection="0"/>
    <xf numFmtId="167" fontId="7" fillId="0" borderId="0" applyFill="0" applyBorder="0" applyAlignment="0" applyProtection="0"/>
    <xf numFmtId="188" fontId="48" fillId="0" borderId="0" applyFont="0" applyFill="0" applyBorder="0" applyAlignment="0" applyProtection="0"/>
    <xf numFmtId="164" fontId="7" fillId="0" borderId="0" applyFont="0" applyFill="0" applyBorder="0" applyAlignment="0" applyProtection="0"/>
    <xf numFmtId="167" fontId="51" fillId="0" borderId="0" applyFont="0" applyFill="0" applyBorder="0" applyAlignment="0" applyProtection="0"/>
    <xf numFmtId="167" fontId="8" fillId="0" borderId="0" applyFont="0" applyFill="0" applyBorder="0" applyAlignment="0" applyProtection="0"/>
    <xf numFmtId="167" fontId="51" fillId="0" borderId="0" applyFont="0" applyFill="0" applyBorder="0" applyAlignment="0" applyProtection="0"/>
    <xf numFmtId="168" fontId="51"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7" fillId="0" borderId="0" applyFont="0" applyFill="0" applyBorder="0" applyAlignment="0" applyProtection="0"/>
    <xf numFmtId="167" fontId="8" fillId="0" borderId="0" applyFont="0" applyFill="0" applyBorder="0" applyAlignment="0" applyProtection="0"/>
    <xf numFmtId="43" fontId="8" fillId="0" borderId="0" applyFont="0" applyFill="0" applyBorder="0" applyAlignment="0" applyProtection="0"/>
    <xf numFmtId="172" fontId="8" fillId="0" borderId="0" applyFont="0" applyFill="0" applyBorder="0" applyAlignment="0" applyProtection="0"/>
    <xf numFmtId="178" fontId="7" fillId="0" borderId="0" applyFont="0" applyFill="0" applyBorder="0" applyAlignment="0" applyProtection="0"/>
    <xf numFmtId="166" fontId="8" fillId="0" borderId="0" applyFont="0" applyFill="0" applyBorder="0" applyAlignment="0" applyProtection="0"/>
    <xf numFmtId="172" fontId="15" fillId="0" borderId="0" applyNumberFormat="0" applyFill="0" applyBorder="0" applyAlignment="0" applyProtection="0"/>
    <xf numFmtId="172" fontId="15" fillId="0" borderId="0" applyNumberFormat="0" applyFill="0" applyBorder="0" applyAlignment="0" applyProtection="0"/>
    <xf numFmtId="172" fontId="15" fillId="0" borderId="0" applyNumberFormat="0" applyFill="0" applyBorder="0" applyAlignment="0" applyProtection="0"/>
    <xf numFmtId="172" fontId="15" fillId="0" borderId="0" applyNumberFormat="0" applyFill="0" applyBorder="0" applyAlignment="0" applyProtection="0"/>
    <xf numFmtId="172" fontId="15" fillId="0" borderId="0" applyNumberFormat="0" applyFill="0" applyBorder="0" applyAlignment="0" applyProtection="0"/>
    <xf numFmtId="172" fontId="16" fillId="4" borderId="0" applyNumberFormat="0" applyBorder="0" applyAlignment="0" applyProtection="0"/>
    <xf numFmtId="172" fontId="16" fillId="4" borderId="0" applyNumberFormat="0" applyBorder="0" applyAlignment="0" applyProtection="0"/>
    <xf numFmtId="172" fontId="16" fillId="4" borderId="0" applyNumberFormat="0" applyBorder="0" applyAlignment="0" applyProtection="0"/>
    <xf numFmtId="172" fontId="16" fillId="4" borderId="0" applyNumberFormat="0" applyBorder="0" applyAlignment="0" applyProtection="0"/>
    <xf numFmtId="172" fontId="16" fillId="4" borderId="0" applyNumberFormat="0" applyBorder="0" applyAlignment="0" applyProtection="0"/>
    <xf numFmtId="37" fontId="17" fillId="24" borderId="4" applyBorder="0">
      <alignment horizontal="left" vertical="center" indent="1"/>
    </xf>
    <xf numFmtId="37" fontId="18" fillId="0" borderId="5">
      <alignment vertical="center"/>
    </xf>
    <xf numFmtId="172" fontId="18" fillId="25" borderId="6" applyNumberFormat="0">
      <alignment horizontal="left" vertical="top" indent="1"/>
    </xf>
    <xf numFmtId="172" fontId="18" fillId="20" borderId="0" applyBorder="0">
      <alignment horizontal="left" vertical="center" indent="1"/>
    </xf>
    <xf numFmtId="172" fontId="18" fillId="0" borderId="6" applyNumberFormat="0" applyFill="0">
      <alignment horizontal="centerContinuous" vertical="top"/>
    </xf>
    <xf numFmtId="172" fontId="19" fillId="20" borderId="7" applyNumberFormat="0" applyBorder="0">
      <alignment horizontal="left" vertical="center" indent="1"/>
    </xf>
    <xf numFmtId="172" fontId="20" fillId="0" borderId="8" applyNumberFormat="0" applyFill="0" applyAlignment="0" applyProtection="0"/>
    <xf numFmtId="172" fontId="20" fillId="0" borderId="8" applyNumberFormat="0" applyFill="0" applyAlignment="0" applyProtection="0"/>
    <xf numFmtId="172" fontId="20" fillId="0" borderId="8" applyNumberFormat="0" applyFill="0" applyAlignment="0" applyProtection="0"/>
    <xf numFmtId="172" fontId="20" fillId="0" borderId="8" applyNumberFormat="0" applyFill="0" applyAlignment="0" applyProtection="0"/>
    <xf numFmtId="172" fontId="20" fillId="0" borderId="8" applyNumberFormat="0" applyFill="0" applyAlignment="0" applyProtection="0"/>
    <xf numFmtId="172" fontId="21" fillId="0" borderId="9" applyNumberFormat="0" applyFill="0" applyAlignment="0" applyProtection="0"/>
    <xf numFmtId="172" fontId="21" fillId="0" borderId="9" applyNumberFormat="0" applyFill="0" applyAlignment="0" applyProtection="0"/>
    <xf numFmtId="172" fontId="21" fillId="0" borderId="9" applyNumberFormat="0" applyFill="0" applyAlignment="0" applyProtection="0"/>
    <xf numFmtId="172" fontId="21" fillId="0" borderId="9" applyNumberFormat="0" applyFill="0" applyAlignment="0" applyProtection="0"/>
    <xf numFmtId="172" fontId="21" fillId="0" borderId="9" applyNumberFormat="0" applyFill="0" applyAlignment="0" applyProtection="0"/>
    <xf numFmtId="172" fontId="22" fillId="0" borderId="10" applyNumberFormat="0" applyFill="0" applyAlignment="0" applyProtection="0"/>
    <xf numFmtId="172" fontId="22" fillId="0" borderId="10" applyNumberFormat="0" applyFill="0" applyAlignment="0" applyProtection="0"/>
    <xf numFmtId="172" fontId="22" fillId="0" borderId="10" applyNumberFormat="0" applyFill="0" applyAlignment="0" applyProtection="0"/>
    <xf numFmtId="172" fontId="22" fillId="0" borderId="10" applyNumberFormat="0" applyFill="0" applyAlignment="0" applyProtection="0"/>
    <xf numFmtId="172" fontId="22" fillId="0" borderId="10" applyNumberFormat="0" applyFill="0" applyAlignment="0" applyProtection="0"/>
    <xf numFmtId="172" fontId="22" fillId="0" borderId="0" applyNumberFormat="0" applyFill="0" applyBorder="0" applyAlignment="0" applyProtection="0"/>
    <xf numFmtId="172" fontId="22" fillId="0" borderId="0" applyNumberFormat="0" applyFill="0" applyBorder="0" applyAlignment="0" applyProtection="0"/>
    <xf numFmtId="172" fontId="22" fillId="0" borderId="0" applyNumberFormat="0" applyFill="0" applyBorder="0" applyAlignment="0" applyProtection="0"/>
    <xf numFmtId="172" fontId="22" fillId="0" borderId="0" applyNumberFormat="0" applyFill="0" applyBorder="0" applyAlignment="0" applyProtection="0"/>
    <xf numFmtId="172" fontId="22" fillId="0" borderId="0" applyNumberFormat="0" applyFill="0" applyBorder="0" applyAlignment="0" applyProtection="0"/>
    <xf numFmtId="0" fontId="5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172" fontId="23" fillId="7" borderId="2" applyNumberFormat="0" applyAlignment="0" applyProtection="0"/>
    <xf numFmtId="172" fontId="23" fillId="7" borderId="2" applyNumberFormat="0" applyAlignment="0" applyProtection="0"/>
    <xf numFmtId="172" fontId="23" fillId="7" borderId="2" applyNumberFormat="0" applyAlignment="0" applyProtection="0"/>
    <xf numFmtId="172" fontId="23" fillId="7" borderId="2" applyNumberFormat="0" applyAlignment="0" applyProtection="0"/>
    <xf numFmtId="172" fontId="23" fillId="7" borderId="2" applyNumberFormat="0" applyAlignment="0" applyProtection="0"/>
    <xf numFmtId="172" fontId="24" fillId="0" borderId="11" applyNumberFormat="0" applyFill="0" applyAlignment="0" applyProtection="0"/>
    <xf numFmtId="172" fontId="24" fillId="0" borderId="11" applyNumberFormat="0" applyFill="0" applyAlignment="0" applyProtection="0"/>
    <xf numFmtId="172" fontId="24" fillId="0" borderId="11" applyNumberFormat="0" applyFill="0" applyAlignment="0" applyProtection="0"/>
    <xf numFmtId="172" fontId="24" fillId="0" borderId="11" applyNumberFormat="0" applyFill="0" applyAlignment="0" applyProtection="0"/>
    <xf numFmtId="172" fontId="24" fillId="0" borderId="11" applyNumberFormat="0" applyFill="0" applyAlignment="0" applyProtection="0"/>
    <xf numFmtId="172" fontId="25" fillId="26" borderId="0" applyNumberFormat="0" applyBorder="0" applyAlignment="0" applyProtection="0"/>
    <xf numFmtId="172" fontId="25" fillId="26" borderId="0" applyNumberFormat="0" applyBorder="0" applyAlignment="0" applyProtection="0"/>
    <xf numFmtId="172" fontId="25" fillId="26" borderId="0" applyNumberFormat="0" applyBorder="0" applyAlignment="0" applyProtection="0"/>
    <xf numFmtId="172" fontId="25" fillId="26" borderId="0" applyNumberFormat="0" applyBorder="0" applyAlignment="0" applyProtection="0"/>
    <xf numFmtId="172" fontId="25" fillId="26" borderId="0" applyNumberFormat="0" applyBorder="0" applyAlignment="0" applyProtection="0"/>
    <xf numFmtId="172" fontId="26" fillId="27" borderId="0">
      <alignment horizontal="left" indent="1"/>
    </xf>
    <xf numFmtId="0" fontId="7" fillId="0" borderId="0"/>
    <xf numFmtId="0" fontId="53" fillId="0" borderId="0"/>
    <xf numFmtId="0" fontId="5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4" fontId="7" fillId="0" borderId="0"/>
    <xf numFmtId="0" fontId="7" fillId="0" borderId="0"/>
    <xf numFmtId="0" fontId="7" fillId="0" borderId="0"/>
    <xf numFmtId="0" fontId="48" fillId="0" borderId="0"/>
    <xf numFmtId="172" fontId="7" fillId="0" borderId="0"/>
    <xf numFmtId="172" fontId="7" fillId="0" borderId="0"/>
    <xf numFmtId="172" fontId="7" fillId="0" borderId="0"/>
    <xf numFmtId="172" fontId="7" fillId="0" borderId="0"/>
    <xf numFmtId="0" fontId="7" fillId="0" borderId="0"/>
    <xf numFmtId="0" fontId="7" fillId="0" borderId="0"/>
    <xf numFmtId="0" fontId="7" fillId="0" borderId="0"/>
    <xf numFmtId="0" fontId="7" fillId="0" borderId="0"/>
    <xf numFmtId="172" fontId="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174" fontId="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172" fontId="7"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0" fontId="51" fillId="0" borderId="0"/>
    <xf numFmtId="172" fontId="7" fillId="0" borderId="0"/>
    <xf numFmtId="172" fontId="7" fillId="0" borderId="0"/>
    <xf numFmtId="0" fontId="51" fillId="0" borderId="0"/>
    <xf numFmtId="174" fontId="51" fillId="0" borderId="0"/>
    <xf numFmtId="0" fontId="7" fillId="0" borderId="0"/>
    <xf numFmtId="0" fontId="33" fillId="0" borderId="0"/>
    <xf numFmtId="0" fontId="7" fillId="0" borderId="0"/>
    <xf numFmtId="0" fontId="51" fillId="0" borderId="0"/>
    <xf numFmtId="174" fontId="7" fillId="0" borderId="0" applyNumberFormat="0" applyFill="0" applyBorder="0" applyAlignment="0" applyProtection="0"/>
    <xf numFmtId="172" fontId="7" fillId="28" borderId="12" applyNumberFormat="0" applyFont="0" applyAlignment="0" applyProtection="0"/>
    <xf numFmtId="172" fontId="7" fillId="28" borderId="12" applyNumberFormat="0" applyFont="0" applyAlignment="0" applyProtection="0"/>
    <xf numFmtId="172" fontId="7" fillId="28" borderId="12" applyNumberFormat="0" applyFont="0" applyAlignment="0" applyProtection="0"/>
    <xf numFmtId="172" fontId="7" fillId="28" borderId="12" applyNumberFormat="0" applyFont="0" applyAlignment="0" applyProtection="0"/>
    <xf numFmtId="172" fontId="7" fillId="28" borderId="12" applyNumberFormat="0" applyFont="0" applyAlignment="0" applyProtection="0"/>
    <xf numFmtId="172" fontId="27" fillId="22" borderId="13" applyNumberFormat="0" applyAlignment="0" applyProtection="0"/>
    <xf numFmtId="172" fontId="27" fillId="22" borderId="13" applyNumberFormat="0" applyAlignment="0" applyProtection="0"/>
    <xf numFmtId="172" fontId="27" fillId="22" borderId="13" applyNumberFormat="0" applyAlignment="0" applyProtection="0"/>
    <xf numFmtId="172" fontId="27" fillId="22" borderId="13" applyNumberFormat="0" applyAlignment="0" applyProtection="0"/>
    <xf numFmtId="172" fontId="27" fillId="22" borderId="13" applyNumberFormat="0" applyAlignment="0" applyProtection="0"/>
    <xf numFmtId="9" fontId="5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2" fontId="28" fillId="21" borderId="0">
      <alignment horizontal="left" indent="1"/>
    </xf>
    <xf numFmtId="172" fontId="7" fillId="0" borderId="0" applyNumberFormat="0" applyFill="0" applyBorder="0" applyAlignment="0" applyProtection="0"/>
    <xf numFmtId="172" fontId="7" fillId="0" borderId="0" applyNumberFormat="0" applyFill="0" applyBorder="0" applyAlignment="0" applyProtection="0"/>
    <xf numFmtId="174" fontId="7" fillId="0" borderId="0" applyNumberFormat="0" applyFill="0" applyBorder="0" applyAlignment="0" applyProtection="0"/>
    <xf numFmtId="172" fontId="29" fillId="21" borderId="0" applyBorder="0">
      <alignment horizontal="left" vertical="center" indent="1"/>
    </xf>
    <xf numFmtId="172" fontId="30"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30" fillId="0" borderId="0" applyNumberFormat="0" applyFill="0" applyBorder="0" applyAlignment="0" applyProtection="0"/>
    <xf numFmtId="172" fontId="31" fillId="0" borderId="14" applyNumberFormat="0" applyFill="0" applyAlignment="0" applyProtection="0"/>
    <xf numFmtId="172" fontId="31" fillId="0" borderId="14" applyNumberFormat="0" applyFill="0" applyAlignment="0" applyProtection="0"/>
    <xf numFmtId="172" fontId="31" fillId="0" borderId="14" applyNumberFormat="0" applyFill="0" applyAlignment="0" applyProtection="0"/>
    <xf numFmtId="172" fontId="31" fillId="0" borderId="14" applyNumberFormat="0" applyFill="0" applyAlignment="0" applyProtection="0"/>
    <xf numFmtId="172" fontId="31" fillId="0" borderId="14" applyNumberFormat="0" applyFill="0" applyAlignment="0" applyProtection="0"/>
    <xf numFmtId="172" fontId="32" fillId="0" borderId="0" applyNumberFormat="0" applyFill="0" applyBorder="0" applyAlignment="0" applyProtection="0"/>
    <xf numFmtId="172" fontId="32" fillId="0" borderId="0" applyNumberFormat="0" applyFill="0" applyBorder="0" applyAlignment="0" applyProtection="0"/>
    <xf numFmtId="172" fontId="32" fillId="0" borderId="0" applyNumberFormat="0" applyFill="0" applyBorder="0" applyAlignment="0" applyProtection="0"/>
    <xf numFmtId="172" fontId="32" fillId="0" borderId="0" applyNumberFormat="0" applyFill="0" applyBorder="0" applyAlignment="0" applyProtection="0"/>
    <xf numFmtId="172" fontId="32" fillId="0" borderId="0" applyNumberFormat="0" applyFill="0" applyBorder="0" applyAlignment="0" applyProtection="0"/>
    <xf numFmtId="0" fontId="7" fillId="0" borderId="0"/>
    <xf numFmtId="0" fontId="130" fillId="65" borderId="0" applyNumberFormat="0" applyBorder="0" applyAlignment="0" applyProtection="0"/>
    <xf numFmtId="0" fontId="51" fillId="0" borderId="0"/>
    <xf numFmtId="0" fontId="51" fillId="0" borderId="0"/>
    <xf numFmtId="43" fontId="51" fillId="0" borderId="0" applyFont="0" applyFill="0" applyBorder="0" applyAlignment="0" applyProtection="0"/>
    <xf numFmtId="9" fontId="51" fillId="0" borderId="0" applyFont="0" applyFill="0" applyBorder="0" applyAlignment="0" applyProtection="0"/>
    <xf numFmtId="167" fontId="51" fillId="0" borderId="0" applyFont="0" applyFill="0" applyBorder="0" applyAlignment="0" applyProtection="0"/>
    <xf numFmtId="0" fontId="7" fillId="0" borderId="0"/>
    <xf numFmtId="0" fontId="5" fillId="0" borderId="0"/>
    <xf numFmtId="0" fontId="4" fillId="0" borderId="0"/>
    <xf numFmtId="0" fontId="3" fillId="0" borderId="0"/>
    <xf numFmtId="43" fontId="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43" fontId="1" fillId="0" borderId="0" applyFont="0" applyFill="0" applyBorder="0" applyAlignment="0" applyProtection="0"/>
  </cellStyleXfs>
  <cellXfs count="3399">
    <xf numFmtId="0" fontId="0" fillId="0" borderId="0" xfId="0"/>
    <xf numFmtId="49" fontId="57" fillId="0" borderId="0" xfId="0" applyNumberFormat="1" applyFont="1" applyAlignment="1">
      <alignment vertical="top"/>
    </xf>
    <xf numFmtId="49" fontId="58" fillId="0" borderId="0" xfId="0" applyNumberFormat="1" applyFont="1" applyAlignment="1">
      <alignment vertical="top"/>
    </xf>
    <xf numFmtId="0" fontId="59" fillId="0" borderId="0" xfId="0" applyFont="1"/>
    <xf numFmtId="167" fontId="35" fillId="0" borderId="15" xfId="166" applyNumberFormat="1" applyFont="1" applyFill="1" applyBorder="1" applyAlignment="1">
      <alignment horizontal="center" vertical="center"/>
    </xf>
    <xf numFmtId="167" fontId="35" fillId="0" borderId="16" xfId="166" applyNumberFormat="1" applyFont="1" applyFill="1" applyBorder="1" applyAlignment="1">
      <alignment horizontal="center" vertical="center"/>
    </xf>
    <xf numFmtId="0" fontId="59" fillId="0" borderId="32" xfId="0" applyFont="1" applyBorder="1"/>
    <xf numFmtId="0" fontId="59" fillId="0" borderId="32" xfId="0" applyFont="1" applyBorder="1" applyAlignment="1">
      <alignment horizontal="left" vertical="top"/>
    </xf>
    <xf numFmtId="49" fontId="59" fillId="0" borderId="32" xfId="0" applyNumberFormat="1" applyFont="1" applyBorder="1" applyAlignment="1">
      <alignment vertical="top"/>
    </xf>
    <xf numFmtId="0" fontId="6" fillId="0" borderId="0" xfId="228" applyFont="1" applyAlignment="1">
      <alignment vertical="top"/>
    </xf>
    <xf numFmtId="49" fontId="57" fillId="0" borderId="33" xfId="0" applyNumberFormat="1" applyFont="1" applyBorder="1" applyAlignment="1">
      <alignment horizontal="left" vertical="top" indent="2"/>
    </xf>
    <xf numFmtId="49" fontId="57" fillId="0" borderId="4" xfId="0" applyNumberFormat="1" applyFont="1" applyBorder="1" applyAlignment="1">
      <alignment horizontal="left" vertical="top" indent="2"/>
    </xf>
    <xf numFmtId="49" fontId="57" fillId="0" borderId="34" xfId="0" applyNumberFormat="1" applyFont="1" applyBorder="1" applyAlignment="1">
      <alignment horizontal="left" vertical="top" indent="2"/>
    </xf>
    <xf numFmtId="49" fontId="60" fillId="0" borderId="0" xfId="0" applyNumberFormat="1" applyFont="1" applyAlignment="1">
      <alignment horizontal="left" vertical="top" indent="2"/>
    </xf>
    <xf numFmtId="49" fontId="58" fillId="0" borderId="0" xfId="0" applyNumberFormat="1" applyFont="1" applyAlignment="1">
      <alignment horizontal="left" vertical="top" indent="2"/>
    </xf>
    <xf numFmtId="49" fontId="60" fillId="0" borderId="0" xfId="0" applyNumberFormat="1" applyFont="1" applyAlignment="1">
      <alignment horizontal="left" vertical="top" indent="4"/>
    </xf>
    <xf numFmtId="49" fontId="60" fillId="0" borderId="0" xfId="0" applyNumberFormat="1" applyFont="1" applyAlignment="1">
      <alignment horizontal="left" vertical="top" indent="1"/>
    </xf>
    <xf numFmtId="49" fontId="60" fillId="0" borderId="0" xfId="0" applyNumberFormat="1" applyFont="1" applyAlignment="1">
      <alignment horizontal="left" vertical="top" indent="3"/>
    </xf>
    <xf numFmtId="49" fontId="58" fillId="0" borderId="0" xfId="0" applyNumberFormat="1" applyFont="1" applyAlignment="1">
      <alignment horizontal="left" vertical="top" indent="3"/>
    </xf>
    <xf numFmtId="49" fontId="57" fillId="0" borderId="35" xfId="0" applyNumberFormat="1" applyFont="1" applyBorder="1" applyAlignment="1">
      <alignment horizontal="left" vertical="top" indent="2"/>
    </xf>
    <xf numFmtId="167" fontId="0" fillId="0" borderId="0" xfId="0" applyNumberFormat="1"/>
    <xf numFmtId="0" fontId="36" fillId="0" borderId="36" xfId="0" applyFont="1" applyBorder="1" applyAlignment="1">
      <alignment horizontal="center" vertical="top"/>
    </xf>
    <xf numFmtId="0" fontId="36" fillId="0" borderId="20" xfId="0" applyFont="1" applyBorder="1" applyAlignment="1">
      <alignment horizontal="center" vertical="top"/>
    </xf>
    <xf numFmtId="0" fontId="38" fillId="0" borderId="32" xfId="0" applyFont="1" applyBorder="1" applyAlignment="1">
      <alignment vertical="top"/>
    </xf>
    <xf numFmtId="0" fontId="6" fillId="0" borderId="19" xfId="228" applyFont="1" applyBorder="1" applyAlignment="1">
      <alignment vertical="top"/>
    </xf>
    <xf numFmtId="0" fontId="6" fillId="0" borderId="37" xfId="228" applyFont="1" applyBorder="1" applyAlignment="1">
      <alignment vertical="top"/>
    </xf>
    <xf numFmtId="0" fontId="6" fillId="0" borderId="38" xfId="228" applyFont="1" applyBorder="1" applyAlignment="1">
      <alignment vertical="top"/>
    </xf>
    <xf numFmtId="0" fontId="6" fillId="0" borderId="32" xfId="228" applyFont="1" applyBorder="1" applyAlignment="1">
      <alignment vertical="top"/>
    </xf>
    <xf numFmtId="0" fontId="37" fillId="0" borderId="32" xfId="0" applyFont="1" applyBorder="1" applyAlignment="1">
      <alignment vertical="top"/>
    </xf>
    <xf numFmtId="43" fontId="6" fillId="0" borderId="23" xfId="166" applyFont="1" applyBorder="1" applyAlignment="1">
      <alignment vertical="top"/>
    </xf>
    <xf numFmtId="0" fontId="37" fillId="0" borderId="32" xfId="0" applyFont="1" applyBorder="1" applyAlignment="1">
      <alignment horizontal="left" vertical="top" indent="2"/>
    </xf>
    <xf numFmtId="43" fontId="6" fillId="0" borderId="24" xfId="166" applyFont="1" applyBorder="1" applyAlignment="1">
      <alignment vertical="top"/>
    </xf>
    <xf numFmtId="167" fontId="6" fillId="0" borderId="23" xfId="138" applyFont="1" applyBorder="1" applyAlignment="1">
      <alignment vertical="top"/>
    </xf>
    <xf numFmtId="167" fontId="6" fillId="0" borderId="23" xfId="166" applyNumberFormat="1" applyFont="1" applyBorder="1" applyAlignment="1">
      <alignment vertical="top"/>
    </xf>
    <xf numFmtId="177" fontId="6" fillId="0" borderId="23" xfId="166" applyNumberFormat="1" applyFont="1" applyBorder="1" applyAlignment="1">
      <alignment vertical="top"/>
    </xf>
    <xf numFmtId="165" fontId="6" fillId="0" borderId="23" xfId="166" applyNumberFormat="1" applyFont="1" applyBorder="1" applyAlignment="1">
      <alignment vertical="top"/>
    </xf>
    <xf numFmtId="167" fontId="6" fillId="0" borderId="0" xfId="228" applyNumberFormat="1" applyFont="1" applyAlignment="1">
      <alignment vertical="top"/>
    </xf>
    <xf numFmtId="167" fontId="6" fillId="0" borderId="24" xfId="166" applyNumberFormat="1" applyFont="1" applyBorder="1" applyAlignment="1">
      <alignment vertical="top"/>
    </xf>
    <xf numFmtId="43" fontId="36" fillId="0" borderId="23" xfId="166" applyFont="1" applyBorder="1" applyAlignment="1">
      <alignment horizontal="center" vertical="top"/>
    </xf>
    <xf numFmtId="43" fontId="6" fillId="0" borderId="29" xfId="166" applyFont="1" applyBorder="1" applyAlignment="1">
      <alignment vertical="top"/>
    </xf>
    <xf numFmtId="0" fontId="36" fillId="0" borderId="32" xfId="0" applyFont="1" applyBorder="1" applyAlignment="1">
      <alignment horizontal="left" vertical="top" wrapText="1"/>
    </xf>
    <xf numFmtId="0" fontId="36" fillId="0" borderId="19" xfId="0" applyFont="1" applyBorder="1" applyAlignment="1">
      <alignment horizontal="left" vertical="top" wrapText="1"/>
    </xf>
    <xf numFmtId="43" fontId="6" fillId="0" borderId="4" xfId="166" applyFont="1" applyBorder="1" applyAlignment="1">
      <alignment vertical="top"/>
    </xf>
    <xf numFmtId="43" fontId="36" fillId="0" borderId="15" xfId="166" applyFont="1" applyFill="1" applyBorder="1" applyAlignment="1">
      <alignment horizontal="center" vertical="center"/>
    </xf>
    <xf numFmtId="0" fontId="37" fillId="0" borderId="32" xfId="0" applyFont="1" applyBorder="1" applyAlignment="1">
      <alignment horizontal="left" vertical="top"/>
    </xf>
    <xf numFmtId="0" fontId="6" fillId="0" borderId="19" xfId="228" applyFont="1" applyBorder="1" applyAlignment="1">
      <alignment horizontal="left" vertical="top"/>
    </xf>
    <xf numFmtId="0" fontId="37" fillId="0" borderId="32" xfId="0" applyFont="1" applyBorder="1" applyAlignment="1">
      <alignment horizontal="left" vertical="top" indent="1"/>
    </xf>
    <xf numFmtId="0" fontId="37" fillId="0" borderId="19" xfId="0" applyFont="1" applyBorder="1" applyAlignment="1">
      <alignment vertical="top" wrapText="1"/>
    </xf>
    <xf numFmtId="43" fontId="6" fillId="0" borderId="0" xfId="166" applyFont="1" applyBorder="1" applyAlignment="1">
      <alignment vertical="top"/>
    </xf>
    <xf numFmtId="43" fontId="6" fillId="0" borderId="23" xfId="166" applyFont="1" applyFill="1" applyBorder="1" applyAlignment="1">
      <alignment vertical="top"/>
    </xf>
    <xf numFmtId="39" fontId="36" fillId="0" borderId="27" xfId="166" applyNumberFormat="1" applyFont="1" applyBorder="1" applyAlignment="1">
      <alignment vertical="top"/>
    </xf>
    <xf numFmtId="43" fontId="6" fillId="0" borderId="39" xfId="166" applyFont="1" applyBorder="1" applyAlignment="1">
      <alignment vertical="top"/>
    </xf>
    <xf numFmtId="43" fontId="6" fillId="0" borderId="0" xfId="228" applyNumberFormat="1" applyFont="1" applyAlignment="1">
      <alignment vertical="top"/>
    </xf>
    <xf numFmtId="43" fontId="6" fillId="0" borderId="0" xfId="166" applyFont="1" applyAlignment="1">
      <alignment vertical="top"/>
    </xf>
    <xf numFmtId="0" fontId="37" fillId="0" borderId="32" xfId="0" quotePrefix="1" applyFont="1" applyBorder="1" applyAlignment="1">
      <alignment vertical="top"/>
    </xf>
    <xf numFmtId="0" fontId="37" fillId="0" borderId="40" xfId="0" applyFont="1" applyBorder="1" applyAlignment="1">
      <alignment vertical="top"/>
    </xf>
    <xf numFmtId="0" fontId="6" fillId="0" borderId="41" xfId="228" applyFont="1" applyBorder="1" applyAlignment="1">
      <alignment vertical="top"/>
    </xf>
    <xf numFmtId="0" fontId="38" fillId="0" borderId="42" xfId="0" applyFont="1" applyBorder="1" applyAlignment="1">
      <alignment vertical="top"/>
    </xf>
    <xf numFmtId="0" fontId="6" fillId="0" borderId="43" xfId="228" applyFont="1" applyBorder="1" applyAlignment="1">
      <alignment vertical="top"/>
    </xf>
    <xf numFmtId="43" fontId="6" fillId="0" borderId="43" xfId="166" applyFont="1" applyBorder="1" applyAlignment="1">
      <alignment vertical="top"/>
    </xf>
    <xf numFmtId="43" fontId="6" fillId="0" borderId="44" xfId="166" applyFont="1" applyBorder="1" applyAlignment="1">
      <alignment vertical="top"/>
    </xf>
    <xf numFmtId="177" fontId="6" fillId="0" borderId="0" xfId="228" applyNumberFormat="1" applyFont="1" applyAlignment="1">
      <alignment vertical="top"/>
    </xf>
    <xf numFmtId="177" fontId="6" fillId="0" borderId="38" xfId="228" applyNumberFormat="1" applyFont="1" applyBorder="1" applyAlignment="1">
      <alignment vertical="top"/>
    </xf>
    <xf numFmtId="0" fontId="6" fillId="0" borderId="32" xfId="0" applyFont="1" applyBorder="1" applyAlignment="1">
      <alignment vertical="top"/>
    </xf>
    <xf numFmtId="0" fontId="6" fillId="0" borderId="0" xfId="0" applyFont="1" applyAlignment="1">
      <alignment vertical="top"/>
    </xf>
    <xf numFmtId="177" fontId="6" fillId="0" borderId="0" xfId="0" applyNumberFormat="1" applyFont="1" applyAlignment="1">
      <alignment vertical="top"/>
    </xf>
    <xf numFmtId="177" fontId="6" fillId="0" borderId="0" xfId="0" applyNumberFormat="1" applyFont="1" applyAlignment="1">
      <alignment horizontal="center" vertical="top"/>
    </xf>
    <xf numFmtId="0" fontId="36" fillId="0" borderId="32" xfId="0" applyFont="1" applyBorder="1" applyAlignment="1">
      <alignment horizontal="left" vertical="top"/>
    </xf>
    <xf numFmtId="178" fontId="6" fillId="0" borderId="0" xfId="168" applyFont="1" applyFill="1" applyBorder="1" applyAlignment="1" applyProtection="1">
      <alignment vertical="top"/>
    </xf>
    <xf numFmtId="178" fontId="36" fillId="0" borderId="0" xfId="168" applyFont="1" applyFill="1" applyBorder="1" applyAlignment="1" applyProtection="1">
      <alignment horizontal="center" vertical="top"/>
    </xf>
    <xf numFmtId="178" fontId="6" fillId="0" borderId="32" xfId="168" applyFont="1" applyFill="1" applyBorder="1" applyAlignment="1" applyProtection="1">
      <alignment vertical="top"/>
    </xf>
    <xf numFmtId="0" fontId="6" fillId="0" borderId="0" xfId="0" applyFont="1" applyAlignment="1">
      <alignment horizontal="center" vertical="top"/>
    </xf>
    <xf numFmtId="167" fontId="6" fillId="0" borderId="0" xfId="0" applyNumberFormat="1" applyFont="1" applyAlignment="1">
      <alignment horizontal="center" vertical="top"/>
    </xf>
    <xf numFmtId="178" fontId="36" fillId="0" borderId="0" xfId="168" applyFont="1" applyFill="1" applyBorder="1" applyAlignment="1" applyProtection="1">
      <alignment vertical="top"/>
    </xf>
    <xf numFmtId="167" fontId="36" fillId="0" borderId="0" xfId="0" applyNumberFormat="1" applyFont="1" applyAlignment="1">
      <alignment horizontal="center" vertical="top"/>
    </xf>
    <xf numFmtId="178" fontId="36" fillId="0" borderId="0" xfId="168" applyFont="1" applyFill="1" applyBorder="1" applyAlignment="1" applyProtection="1">
      <alignment vertical="top" wrapText="1"/>
    </xf>
    <xf numFmtId="0" fontId="36" fillId="0" borderId="0" xfId="0" applyFont="1" applyAlignment="1">
      <alignment vertical="top"/>
    </xf>
    <xf numFmtId="0" fontId="36" fillId="0" borderId="0" xfId="0" applyFont="1" applyAlignment="1">
      <alignment horizontal="center" vertical="top"/>
    </xf>
    <xf numFmtId="0" fontId="36" fillId="0" borderId="0" xfId="0" applyFont="1" applyAlignment="1">
      <alignment horizontal="left" vertical="top"/>
    </xf>
    <xf numFmtId="0" fontId="41" fillId="0" borderId="32" xfId="0" applyFont="1" applyBorder="1" applyAlignment="1">
      <alignment vertical="top"/>
    </xf>
    <xf numFmtId="0" fontId="61" fillId="0" borderId="32" xfId="0" applyFont="1" applyBorder="1"/>
    <xf numFmtId="15" fontId="59" fillId="0" borderId="32" xfId="0" applyNumberFormat="1" applyFont="1" applyBorder="1" applyAlignment="1">
      <alignment horizontal="left"/>
    </xf>
    <xf numFmtId="0" fontId="36" fillId="0" borderId="40" xfId="0" applyFont="1" applyBorder="1" applyAlignment="1">
      <alignment horizontal="center" vertical="top"/>
    </xf>
    <xf numFmtId="0" fontId="36" fillId="0" borderId="41" xfId="0" applyFont="1" applyBorder="1" applyAlignment="1">
      <alignment horizontal="center" vertical="top"/>
    </xf>
    <xf numFmtId="43" fontId="36" fillId="0" borderId="29" xfId="166" applyFont="1" applyFill="1" applyBorder="1" applyAlignment="1">
      <alignment horizontal="center" vertical="center"/>
    </xf>
    <xf numFmtId="0" fontId="6" fillId="0" borderId="45" xfId="228" applyFont="1" applyBorder="1" applyAlignment="1">
      <alignment vertical="top"/>
    </xf>
    <xf numFmtId="43" fontId="6" fillId="0" borderId="46" xfId="166" applyFont="1" applyBorder="1" applyAlignment="1">
      <alignment vertical="top"/>
    </xf>
    <xf numFmtId="0" fontId="6" fillId="0" borderId="6" xfId="0" applyFont="1" applyBorder="1" applyAlignment="1">
      <alignment vertical="top"/>
    </xf>
    <xf numFmtId="14" fontId="6" fillId="0" borderId="40" xfId="0" applyNumberFormat="1" applyFont="1" applyBorder="1" applyAlignment="1">
      <alignment vertical="top"/>
    </xf>
    <xf numFmtId="39" fontId="6" fillId="0" borderId="0" xfId="228" applyNumberFormat="1" applyFont="1" applyAlignment="1">
      <alignment vertical="top"/>
    </xf>
    <xf numFmtId="167" fontId="6" fillId="0" borderId="0" xfId="138" applyFont="1" applyAlignment="1">
      <alignment vertical="top"/>
    </xf>
    <xf numFmtId="178" fontId="6" fillId="0" borderId="0" xfId="168" applyFont="1" applyFill="1" applyBorder="1" applyAlignment="1" applyProtection="1">
      <alignment horizontal="right" vertical="top"/>
    </xf>
    <xf numFmtId="178" fontId="6" fillId="0" borderId="6" xfId="168" applyFont="1" applyFill="1" applyBorder="1" applyAlignment="1" applyProtection="1">
      <alignment horizontal="right" vertical="top"/>
    </xf>
    <xf numFmtId="170" fontId="60" fillId="0" borderId="31" xfId="0" applyNumberFormat="1" applyFont="1" applyBorder="1" applyAlignment="1">
      <alignment horizontal="right" vertical="top"/>
    </xf>
    <xf numFmtId="0" fontId="59" fillId="0" borderId="32" xfId="0" applyFont="1" applyBorder="1" applyAlignment="1">
      <alignment vertical="center"/>
    </xf>
    <xf numFmtId="171" fontId="58" fillId="0" borderId="0" xfId="0" applyNumberFormat="1" applyFont="1" applyAlignment="1">
      <alignment horizontal="right" vertical="top"/>
    </xf>
    <xf numFmtId="171" fontId="60" fillId="0" borderId="0" xfId="0" applyNumberFormat="1" applyFont="1" applyAlignment="1">
      <alignment horizontal="right" vertical="top"/>
    </xf>
    <xf numFmtId="49" fontId="60" fillId="31" borderId="0" xfId="0" applyNumberFormat="1" applyFont="1" applyFill="1" applyAlignment="1">
      <alignment horizontal="left" vertical="top" indent="2"/>
    </xf>
    <xf numFmtId="170" fontId="0" fillId="0" borderId="0" xfId="0" applyNumberFormat="1"/>
    <xf numFmtId="167" fontId="51" fillId="0" borderId="0" xfId="138" applyFont="1"/>
    <xf numFmtId="2" fontId="0" fillId="0" borderId="0" xfId="0" applyNumberFormat="1"/>
    <xf numFmtId="49" fontId="58" fillId="0" borderId="15" xfId="0" applyNumberFormat="1" applyFont="1" applyBorder="1" applyAlignment="1">
      <alignment horizontal="center" vertical="top"/>
    </xf>
    <xf numFmtId="171" fontId="57" fillId="0" borderId="35" xfId="0" applyNumberFormat="1" applyFont="1" applyBorder="1" applyAlignment="1">
      <alignment horizontal="right" vertical="top"/>
    </xf>
    <xf numFmtId="170" fontId="57" fillId="0" borderId="35" xfId="0" applyNumberFormat="1" applyFont="1" applyBorder="1" applyAlignment="1">
      <alignment horizontal="right" vertical="top"/>
    </xf>
    <xf numFmtId="170" fontId="60" fillId="0" borderId="0" xfId="0" applyNumberFormat="1" applyFont="1" applyAlignment="1">
      <alignment horizontal="right" vertical="top"/>
    </xf>
    <xf numFmtId="170" fontId="57" fillId="0" borderId="31" xfId="0" applyNumberFormat="1" applyFont="1" applyBorder="1" applyAlignment="1">
      <alignment horizontal="right" vertical="top"/>
    </xf>
    <xf numFmtId="170" fontId="58" fillId="0" borderId="31" xfId="0" applyNumberFormat="1" applyFont="1" applyBorder="1" applyAlignment="1">
      <alignment horizontal="right" vertical="top"/>
    </xf>
    <xf numFmtId="170" fontId="60" fillId="0" borderId="35" xfId="0" applyNumberFormat="1" applyFont="1" applyBorder="1" applyAlignment="1">
      <alignment horizontal="right" vertical="top"/>
    </xf>
    <xf numFmtId="171" fontId="60" fillId="0" borderId="31" xfId="0" applyNumberFormat="1" applyFont="1" applyBorder="1" applyAlignment="1">
      <alignment horizontal="right" vertical="top"/>
    </xf>
    <xf numFmtId="171" fontId="57" fillId="0" borderId="31" xfId="0" applyNumberFormat="1" applyFont="1" applyBorder="1" applyAlignment="1">
      <alignment horizontal="right" vertical="top"/>
    </xf>
    <xf numFmtId="170" fontId="58" fillId="0" borderId="35" xfId="0" applyNumberFormat="1" applyFont="1" applyBorder="1" applyAlignment="1">
      <alignment horizontal="right" vertical="top"/>
    </xf>
    <xf numFmtId="171" fontId="58" fillId="0" borderId="35" xfId="0" applyNumberFormat="1" applyFont="1" applyBorder="1" applyAlignment="1">
      <alignment horizontal="right" vertical="top"/>
    </xf>
    <xf numFmtId="170" fontId="58" fillId="0" borderId="0" xfId="0" applyNumberFormat="1" applyFont="1" applyAlignment="1">
      <alignment horizontal="right" vertical="top"/>
    </xf>
    <xf numFmtId="171" fontId="60" fillId="0" borderId="35" xfId="0" applyNumberFormat="1" applyFont="1" applyBorder="1" applyAlignment="1">
      <alignment horizontal="right" vertical="top"/>
    </xf>
    <xf numFmtId="171" fontId="58" fillId="0" borderId="31" xfId="0" applyNumberFormat="1" applyFont="1" applyBorder="1" applyAlignment="1">
      <alignment horizontal="right" vertical="top"/>
    </xf>
    <xf numFmtId="171" fontId="57" fillId="0" borderId="0" xfId="0" applyNumberFormat="1" applyFont="1" applyAlignment="1">
      <alignment horizontal="right" vertical="top"/>
    </xf>
    <xf numFmtId="170" fontId="62" fillId="0" borderId="35" xfId="0" applyNumberFormat="1" applyFont="1" applyBorder="1" applyAlignment="1">
      <alignment horizontal="right" vertical="top"/>
    </xf>
    <xf numFmtId="49" fontId="0" fillId="0" borderId="0" xfId="0" applyNumberFormat="1"/>
    <xf numFmtId="49" fontId="57" fillId="0" borderId="0" xfId="0" applyNumberFormat="1" applyFont="1" applyAlignment="1">
      <alignment horizontal="left" vertical="top" indent="2"/>
    </xf>
    <xf numFmtId="170" fontId="62" fillId="0" borderId="0" xfId="0" applyNumberFormat="1" applyFont="1" applyAlignment="1">
      <alignment horizontal="right" vertical="top"/>
    </xf>
    <xf numFmtId="167" fontId="6" fillId="0" borderId="24" xfId="138" applyFont="1" applyBorder="1" applyAlignment="1">
      <alignment vertical="top"/>
    </xf>
    <xf numFmtId="0" fontId="44" fillId="0" borderId="32" xfId="0" applyFont="1" applyBorder="1" applyAlignment="1">
      <alignment vertical="top"/>
    </xf>
    <xf numFmtId="0" fontId="44" fillId="0" borderId="42" xfId="0" applyFont="1" applyBorder="1" applyAlignment="1">
      <alignment vertical="top"/>
    </xf>
    <xf numFmtId="170" fontId="60" fillId="32" borderId="0" xfId="0" applyNumberFormat="1" applyFont="1" applyFill="1" applyAlignment="1">
      <alignment horizontal="right" vertical="top"/>
    </xf>
    <xf numFmtId="170" fontId="58" fillId="32" borderId="0" xfId="0" applyNumberFormat="1" applyFont="1" applyFill="1" applyAlignment="1">
      <alignment horizontal="right" vertical="top"/>
    </xf>
    <xf numFmtId="167" fontId="51" fillId="32" borderId="0" xfId="138" applyFont="1" applyFill="1"/>
    <xf numFmtId="171" fontId="60" fillId="32" borderId="0" xfId="0" applyNumberFormat="1" applyFont="1" applyFill="1" applyAlignment="1">
      <alignment horizontal="right" vertical="top"/>
    </xf>
    <xf numFmtId="170" fontId="60" fillId="33" borderId="0" xfId="0" applyNumberFormat="1" applyFont="1" applyFill="1" applyAlignment="1">
      <alignment horizontal="right" vertical="top"/>
    </xf>
    <xf numFmtId="171" fontId="60" fillId="33" borderId="0" xfId="0" applyNumberFormat="1" applyFont="1" applyFill="1" applyAlignment="1">
      <alignment horizontal="right" vertical="top"/>
    </xf>
    <xf numFmtId="167" fontId="60" fillId="33" borderId="0" xfId="138" applyFont="1" applyFill="1" applyAlignment="1">
      <alignment horizontal="right" vertical="top"/>
    </xf>
    <xf numFmtId="170" fontId="60" fillId="34" borderId="0" xfId="0" applyNumberFormat="1" applyFont="1" applyFill="1" applyAlignment="1">
      <alignment horizontal="right" vertical="top"/>
    </xf>
    <xf numFmtId="0" fontId="0" fillId="33" borderId="0" xfId="0" applyFill="1"/>
    <xf numFmtId="170" fontId="58" fillId="33" borderId="0" xfId="0" applyNumberFormat="1" applyFont="1" applyFill="1" applyAlignment="1">
      <alignment horizontal="right" vertical="top"/>
    </xf>
    <xf numFmtId="170" fontId="58" fillId="34" borderId="0" xfId="0" applyNumberFormat="1" applyFont="1" applyFill="1" applyAlignment="1">
      <alignment horizontal="right" vertical="top"/>
    </xf>
    <xf numFmtId="171" fontId="58" fillId="33" borderId="0" xfId="0" applyNumberFormat="1" applyFont="1" applyFill="1" applyAlignment="1">
      <alignment horizontal="right" vertical="top"/>
    </xf>
    <xf numFmtId="167" fontId="51" fillId="33" borderId="0" xfId="138" applyFont="1" applyFill="1"/>
    <xf numFmtId="182" fontId="0" fillId="0" borderId="0" xfId="0" applyNumberFormat="1"/>
    <xf numFmtId="167" fontId="35" fillId="35" borderId="15" xfId="166" applyNumberFormat="1" applyFont="1" applyFill="1" applyBorder="1" applyAlignment="1">
      <alignment horizontal="center" vertical="center"/>
    </xf>
    <xf numFmtId="0" fontId="6" fillId="35" borderId="37" xfId="228" applyFont="1" applyFill="1" applyBorder="1" applyAlignment="1">
      <alignment vertical="top"/>
    </xf>
    <xf numFmtId="43" fontId="6" fillId="35" borderId="23" xfId="166" applyFont="1" applyFill="1" applyBorder="1" applyAlignment="1">
      <alignment vertical="top"/>
    </xf>
    <xf numFmtId="167" fontId="6" fillId="35" borderId="23" xfId="138" applyFont="1" applyFill="1" applyBorder="1" applyAlignment="1">
      <alignment vertical="top"/>
    </xf>
    <xf numFmtId="43" fontId="6" fillId="35" borderId="24" xfId="166" applyFont="1" applyFill="1" applyBorder="1" applyAlignment="1">
      <alignment vertical="top"/>
    </xf>
    <xf numFmtId="39" fontId="6" fillId="35" borderId="23" xfId="138" applyNumberFormat="1" applyFont="1" applyFill="1" applyBorder="1" applyAlignment="1">
      <alignment vertical="top"/>
    </xf>
    <xf numFmtId="0" fontId="6" fillId="35" borderId="0" xfId="228" applyFont="1" applyFill="1" applyAlignment="1">
      <alignment vertical="top"/>
    </xf>
    <xf numFmtId="39" fontId="6" fillId="35" borderId="23" xfId="166" applyNumberFormat="1" applyFont="1" applyFill="1" applyBorder="1" applyAlignment="1">
      <alignment vertical="top"/>
    </xf>
    <xf numFmtId="177" fontId="6" fillId="35" borderId="23" xfId="166" applyNumberFormat="1" applyFont="1" applyFill="1" applyBorder="1" applyAlignment="1">
      <alignment vertical="top"/>
    </xf>
    <xf numFmtId="39" fontId="6" fillId="35" borderId="24" xfId="138" applyNumberFormat="1" applyFont="1" applyFill="1" applyBorder="1" applyAlignment="1">
      <alignment vertical="top"/>
    </xf>
    <xf numFmtId="39" fontId="6" fillId="35" borderId="24" xfId="166" applyNumberFormat="1" applyFont="1" applyFill="1" applyBorder="1" applyAlignment="1">
      <alignment vertical="top"/>
    </xf>
    <xf numFmtId="167" fontId="6" fillId="35" borderId="24" xfId="166" applyNumberFormat="1" applyFont="1" applyFill="1" applyBorder="1" applyAlignment="1">
      <alignment vertical="top"/>
    </xf>
    <xf numFmtId="43" fontId="36" fillId="35" borderId="23" xfId="166" applyFont="1" applyFill="1" applyBorder="1" applyAlignment="1">
      <alignment horizontal="center" vertical="top"/>
    </xf>
    <xf numFmtId="39" fontId="36" fillId="35" borderId="24" xfId="166" applyNumberFormat="1" applyFont="1" applyFill="1" applyBorder="1" applyAlignment="1">
      <alignment vertical="top"/>
    </xf>
    <xf numFmtId="43" fontId="6" fillId="35" borderId="29" xfId="166" applyFont="1" applyFill="1" applyBorder="1" applyAlignment="1">
      <alignment vertical="top"/>
    </xf>
    <xf numFmtId="43" fontId="6" fillId="35" borderId="4" xfId="166" applyFont="1" applyFill="1" applyBorder="1" applyAlignment="1">
      <alignment vertical="top"/>
    </xf>
    <xf numFmtId="43" fontId="6" fillId="35" borderId="19" xfId="166" applyFont="1" applyFill="1" applyBorder="1" applyAlignment="1">
      <alignment vertical="top"/>
    </xf>
    <xf numFmtId="43" fontId="36" fillId="35" borderId="15" xfId="166" applyFont="1" applyFill="1" applyBorder="1" applyAlignment="1">
      <alignment horizontal="center" vertical="center"/>
    </xf>
    <xf numFmtId="43" fontId="36" fillId="35" borderId="23" xfId="166" applyFont="1" applyFill="1" applyBorder="1" applyAlignment="1">
      <alignment vertical="top"/>
    </xf>
    <xf numFmtId="43" fontId="6" fillId="35" borderId="0" xfId="166" applyFont="1" applyFill="1" applyBorder="1" applyAlignment="1">
      <alignment vertical="top"/>
    </xf>
    <xf numFmtId="43" fontId="36" fillId="35" borderId="29" xfId="166" applyFont="1" applyFill="1" applyBorder="1" applyAlignment="1">
      <alignment horizontal="center" vertical="center"/>
    </xf>
    <xf numFmtId="43" fontId="6" fillId="35" borderId="46" xfId="166" applyFont="1" applyFill="1" applyBorder="1" applyAlignment="1">
      <alignment vertical="top"/>
    </xf>
    <xf numFmtId="167" fontId="6" fillId="35" borderId="23" xfId="166" applyNumberFormat="1" applyFont="1" applyFill="1" applyBorder="1" applyAlignment="1">
      <alignment vertical="top"/>
    </xf>
    <xf numFmtId="167" fontId="36" fillId="35" borderId="24" xfId="166" applyNumberFormat="1" applyFont="1" applyFill="1" applyBorder="1" applyAlignment="1">
      <alignment vertical="top"/>
    </xf>
    <xf numFmtId="39" fontId="36" fillId="35" borderId="27" xfId="166" applyNumberFormat="1" applyFont="1" applyFill="1" applyBorder="1" applyAlignment="1">
      <alignment vertical="top"/>
    </xf>
    <xf numFmtId="43" fontId="6" fillId="35" borderId="39" xfId="166" applyFont="1" applyFill="1" applyBorder="1" applyAlignment="1">
      <alignment vertical="top"/>
    </xf>
    <xf numFmtId="43" fontId="36" fillId="35" borderId="37" xfId="166" applyFont="1" applyFill="1" applyBorder="1" applyAlignment="1">
      <alignment vertical="top"/>
    </xf>
    <xf numFmtId="43" fontId="36" fillId="35" borderId="48" xfId="166" applyFont="1" applyFill="1" applyBorder="1" applyAlignment="1">
      <alignment vertical="top"/>
    </xf>
    <xf numFmtId="167" fontId="45" fillId="35" borderId="15" xfId="166" applyNumberFormat="1" applyFont="1" applyFill="1" applyBorder="1" applyAlignment="1">
      <alignment horizontal="center" vertical="center"/>
    </xf>
    <xf numFmtId="0" fontId="36" fillId="0" borderId="43" xfId="228" applyFont="1" applyBorder="1" applyAlignment="1">
      <alignment horizontal="center" vertical="top"/>
    </xf>
    <xf numFmtId="0" fontId="36" fillId="0" borderId="44" xfId="228" applyFont="1" applyBorder="1" applyAlignment="1">
      <alignment horizontal="center" vertical="top"/>
    </xf>
    <xf numFmtId="0" fontId="6" fillId="0" borderId="50" xfId="228" applyFont="1" applyBorder="1" applyAlignment="1">
      <alignment vertical="top"/>
    </xf>
    <xf numFmtId="43" fontId="6" fillId="0" borderId="27" xfId="166" applyFont="1" applyBorder="1" applyAlignment="1">
      <alignment vertical="top"/>
    </xf>
    <xf numFmtId="43" fontId="6" fillId="0" borderId="47" xfId="166" applyFont="1" applyBorder="1" applyAlignment="1">
      <alignment vertical="top"/>
    </xf>
    <xf numFmtId="0" fontId="6" fillId="0" borderId="27" xfId="228" applyFont="1" applyBorder="1" applyAlignment="1">
      <alignment vertical="top"/>
    </xf>
    <xf numFmtId="177" fontId="6" fillId="0" borderId="27" xfId="166" applyNumberFormat="1" applyFont="1" applyBorder="1" applyAlignment="1">
      <alignment vertical="top"/>
    </xf>
    <xf numFmtId="39" fontId="6" fillId="0" borderId="47" xfId="166" applyNumberFormat="1" applyFont="1" applyBorder="1" applyAlignment="1">
      <alignment vertical="top"/>
    </xf>
    <xf numFmtId="39" fontId="6" fillId="0" borderId="27" xfId="166" applyNumberFormat="1" applyFont="1" applyBorder="1" applyAlignment="1">
      <alignment vertical="top"/>
    </xf>
    <xf numFmtId="167" fontId="6" fillId="0" borderId="47" xfId="166" applyNumberFormat="1" applyFont="1" applyBorder="1" applyAlignment="1">
      <alignment vertical="top"/>
    </xf>
    <xf numFmtId="39" fontId="36" fillId="0" borderId="47" xfId="166" applyNumberFormat="1" applyFont="1" applyBorder="1" applyAlignment="1">
      <alignment vertical="top"/>
    </xf>
    <xf numFmtId="43" fontId="6" fillId="0" borderId="51" xfId="166" applyFont="1" applyBorder="1" applyAlignment="1">
      <alignment vertical="top"/>
    </xf>
    <xf numFmtId="43" fontId="6" fillId="0" borderId="38" xfId="166" applyFont="1" applyBorder="1" applyAlignment="1">
      <alignment vertical="top"/>
    </xf>
    <xf numFmtId="43" fontId="36" fillId="0" borderId="16" xfId="166" applyFont="1" applyFill="1" applyBorder="1" applyAlignment="1">
      <alignment horizontal="center" vertical="center"/>
    </xf>
    <xf numFmtId="43" fontId="36" fillId="0" borderId="27" xfId="166" applyFont="1" applyBorder="1" applyAlignment="1">
      <alignment vertical="top"/>
    </xf>
    <xf numFmtId="43" fontId="36" fillId="0" borderId="51" xfId="166" applyFont="1" applyFill="1" applyBorder="1" applyAlignment="1">
      <alignment horizontal="center" vertical="center"/>
    </xf>
    <xf numFmtId="43" fontId="6" fillId="0" borderId="52" xfId="166" applyFont="1" applyBorder="1" applyAlignment="1">
      <alignment vertical="top"/>
    </xf>
    <xf numFmtId="43" fontId="6" fillId="0" borderId="27" xfId="166" applyFont="1" applyFill="1" applyBorder="1" applyAlignment="1">
      <alignment vertical="top"/>
    </xf>
    <xf numFmtId="167" fontId="6" fillId="0" borderId="27" xfId="166" applyNumberFormat="1" applyFont="1" applyBorder="1" applyAlignment="1">
      <alignment vertical="top"/>
    </xf>
    <xf numFmtId="167" fontId="36" fillId="0" borderId="47" xfId="166" applyNumberFormat="1" applyFont="1" applyBorder="1" applyAlignment="1">
      <alignment vertical="top"/>
    </xf>
    <xf numFmtId="43" fontId="36" fillId="0" borderId="50" xfId="166" applyFont="1" applyBorder="1" applyAlignment="1">
      <alignment vertical="top"/>
    </xf>
    <xf numFmtId="43" fontId="36" fillId="0" borderId="39" xfId="166" applyFont="1" applyBorder="1" applyAlignment="1">
      <alignment vertical="top"/>
    </xf>
    <xf numFmtId="0" fontId="36" fillId="0" borderId="42" xfId="228" applyFont="1" applyBorder="1" applyAlignment="1">
      <alignment horizontal="center" vertical="top"/>
    </xf>
    <xf numFmtId="0" fontId="6" fillId="0" borderId="40" xfId="0" applyFont="1" applyBorder="1" applyAlignment="1">
      <alignment horizontal="right" vertical="top"/>
    </xf>
    <xf numFmtId="49" fontId="60" fillId="0" borderId="0" xfId="0" applyNumberFormat="1" applyFont="1" applyAlignment="1">
      <alignment horizontal="left" vertical="top" indent="5"/>
    </xf>
    <xf numFmtId="49" fontId="60" fillId="0" borderId="0" xfId="0" applyNumberFormat="1" applyFont="1" applyAlignment="1">
      <alignment horizontal="left" vertical="top" indent="6"/>
    </xf>
    <xf numFmtId="0" fontId="59" fillId="0" borderId="0" xfId="0" applyFont="1" applyAlignment="1">
      <alignment horizontal="left"/>
    </xf>
    <xf numFmtId="170" fontId="57" fillId="0" borderId="0" xfId="0" applyNumberFormat="1" applyFont="1" applyAlignment="1">
      <alignment horizontal="right" vertical="top"/>
    </xf>
    <xf numFmtId="49" fontId="57" fillId="0" borderId="0" xfId="0" applyNumberFormat="1" applyFont="1" applyAlignment="1">
      <alignment horizontal="left" vertical="top" indent="3"/>
    </xf>
    <xf numFmtId="0" fontId="63" fillId="0" borderId="0" xfId="0" applyFont="1" applyAlignment="1">
      <alignment vertical="top"/>
    </xf>
    <xf numFmtId="49" fontId="57" fillId="0" borderId="53" xfId="0" applyNumberFormat="1" applyFont="1" applyBorder="1" applyAlignment="1">
      <alignment horizontal="center" vertical="top"/>
    </xf>
    <xf numFmtId="49" fontId="57" fillId="0" borderId="34" xfId="0" applyNumberFormat="1" applyFont="1" applyBorder="1" applyAlignment="1">
      <alignment horizontal="center" vertical="top"/>
    </xf>
    <xf numFmtId="185" fontId="58" fillId="0" borderId="0" xfId="0" applyNumberFormat="1" applyFont="1" applyAlignment="1">
      <alignment horizontal="right" vertical="top"/>
    </xf>
    <xf numFmtId="186" fontId="58" fillId="0" borderId="0" xfId="0" applyNumberFormat="1" applyFont="1" applyAlignment="1">
      <alignment horizontal="right" vertical="top"/>
    </xf>
    <xf numFmtId="185" fontId="62" fillId="0" borderId="35" xfId="0" applyNumberFormat="1" applyFont="1" applyBorder="1" applyAlignment="1">
      <alignment horizontal="right" vertical="top"/>
    </xf>
    <xf numFmtId="170" fontId="64" fillId="0" borderId="35" xfId="0" applyNumberFormat="1" applyFont="1" applyBorder="1" applyAlignment="1">
      <alignment horizontal="right" vertical="top"/>
    </xf>
    <xf numFmtId="185" fontId="58" fillId="30" borderId="0" xfId="0" applyNumberFormat="1" applyFont="1" applyFill="1" applyAlignment="1">
      <alignment horizontal="right" vertical="top"/>
    </xf>
    <xf numFmtId="49" fontId="57" fillId="0" borderId="0" xfId="0" applyNumberFormat="1" applyFont="1" applyAlignment="1">
      <alignment horizontal="left" vertical="top" indent="4"/>
    </xf>
    <xf numFmtId="170" fontId="64" fillId="0" borderId="31" xfId="0" applyNumberFormat="1" applyFont="1" applyBorder="1" applyAlignment="1">
      <alignment horizontal="right" vertical="top"/>
    </xf>
    <xf numFmtId="170" fontId="0" fillId="30" borderId="0" xfId="0" applyNumberFormat="1" applyFill="1"/>
    <xf numFmtId="171" fontId="0" fillId="0" borderId="0" xfId="0" applyNumberFormat="1"/>
    <xf numFmtId="2" fontId="0" fillId="30" borderId="0" xfId="0" applyNumberFormat="1" applyFill="1"/>
    <xf numFmtId="1" fontId="0" fillId="0" borderId="0" xfId="0" applyNumberFormat="1"/>
    <xf numFmtId="0" fontId="37" fillId="0" borderId="19" xfId="0" applyFont="1" applyBorder="1" applyAlignment="1">
      <alignment horizontal="left" vertical="top" wrapText="1"/>
    </xf>
    <xf numFmtId="0" fontId="6" fillId="0" borderId="6" xfId="0" applyFont="1" applyBorder="1" applyAlignment="1">
      <alignment horizontal="left" vertical="top"/>
    </xf>
    <xf numFmtId="0" fontId="59" fillId="0" borderId="32" xfId="0" applyFont="1" applyBorder="1" applyAlignment="1">
      <alignment horizontal="left"/>
    </xf>
    <xf numFmtId="49" fontId="65" fillId="0" borderId="0" xfId="0" applyNumberFormat="1" applyFont="1" applyAlignment="1">
      <alignment vertical="top"/>
    </xf>
    <xf numFmtId="170" fontId="65" fillId="0" borderId="0" xfId="0" applyNumberFormat="1" applyFont="1" applyAlignment="1">
      <alignment horizontal="right" vertical="top"/>
    </xf>
    <xf numFmtId="170" fontId="66" fillId="0" borderId="0" xfId="0" applyNumberFormat="1" applyFont="1" applyAlignment="1">
      <alignment horizontal="right" vertical="top"/>
    </xf>
    <xf numFmtId="171" fontId="55" fillId="0" borderId="0" xfId="0" applyNumberFormat="1" applyFont="1"/>
    <xf numFmtId="170" fontId="60" fillId="30" borderId="0" xfId="0" applyNumberFormat="1" applyFont="1" applyFill="1" applyAlignment="1">
      <alignment horizontal="right" vertical="top"/>
    </xf>
    <xf numFmtId="0" fontId="67" fillId="0" borderId="33" xfId="0" applyFont="1" applyBorder="1" applyAlignment="1">
      <alignment vertical="center"/>
    </xf>
    <xf numFmtId="14" fontId="0" fillId="0" borderId="0" xfId="0" applyNumberFormat="1"/>
    <xf numFmtId="4" fontId="0" fillId="0" borderId="0" xfId="0" applyNumberFormat="1"/>
    <xf numFmtId="0" fontId="68" fillId="0" borderId="0" xfId="0" applyFont="1"/>
    <xf numFmtId="4" fontId="55" fillId="0" borderId="49" xfId="0" applyNumberFormat="1" applyFont="1" applyBorder="1"/>
    <xf numFmtId="0" fontId="43" fillId="0" borderId="0" xfId="0" applyFont="1"/>
    <xf numFmtId="176" fontId="0" fillId="0" borderId="0" xfId="0" applyNumberFormat="1"/>
    <xf numFmtId="0" fontId="46" fillId="0" borderId="4" xfId="143" applyNumberFormat="1" applyFont="1" applyFill="1" applyBorder="1" applyAlignment="1">
      <alignment horizontal="left"/>
    </xf>
    <xf numFmtId="0" fontId="47" fillId="0" borderId="4" xfId="143" applyNumberFormat="1" applyFont="1" applyFill="1" applyBorder="1" applyAlignment="1">
      <alignment horizontal="left"/>
    </xf>
    <xf numFmtId="167" fontId="51" fillId="30" borderId="0" xfId="138" applyFont="1" applyFill="1"/>
    <xf numFmtId="49" fontId="60" fillId="30" borderId="0" xfId="0" applyNumberFormat="1" applyFont="1" applyFill="1" applyAlignment="1">
      <alignment horizontal="left" vertical="top" indent="4"/>
    </xf>
    <xf numFmtId="171" fontId="60" fillId="30" borderId="0" xfId="0" applyNumberFormat="1" applyFont="1" applyFill="1" applyAlignment="1">
      <alignment horizontal="right" vertical="top"/>
    </xf>
    <xf numFmtId="0" fontId="69" fillId="0" borderId="0" xfId="0" applyFont="1"/>
    <xf numFmtId="168" fontId="47" fillId="37" borderId="76" xfId="143" applyFont="1" applyFill="1" applyBorder="1" applyAlignment="1">
      <alignment vertical="center"/>
    </xf>
    <xf numFmtId="170" fontId="58" fillId="30" borderId="0" xfId="0" applyNumberFormat="1" applyFont="1" applyFill="1" applyAlignment="1">
      <alignment horizontal="right" vertical="top"/>
    </xf>
    <xf numFmtId="49" fontId="57" fillId="0" borderId="0" xfId="0" applyNumberFormat="1" applyFont="1" applyAlignment="1">
      <alignment horizontal="left" vertical="top"/>
    </xf>
    <xf numFmtId="170" fontId="60" fillId="0" borderId="62" xfId="0" applyNumberFormat="1" applyFont="1" applyBorder="1" applyAlignment="1">
      <alignment horizontal="right" vertical="top"/>
    </xf>
    <xf numFmtId="170" fontId="60" fillId="33" borderId="77" xfId="0" applyNumberFormat="1" applyFont="1" applyFill="1" applyBorder="1" applyAlignment="1">
      <alignment horizontal="right" vertical="top"/>
    </xf>
    <xf numFmtId="170" fontId="60" fillId="30" borderId="62" xfId="0" applyNumberFormat="1" applyFont="1" applyFill="1" applyBorder="1" applyAlignment="1">
      <alignment horizontal="right" vertical="top"/>
    </xf>
    <xf numFmtId="49" fontId="70" fillId="0" borderId="0" xfId="0" applyNumberFormat="1" applyFont="1" applyAlignment="1">
      <alignment horizontal="left" vertical="top"/>
    </xf>
    <xf numFmtId="170" fontId="70" fillId="0" borderId="35" xfId="0" applyNumberFormat="1" applyFont="1" applyBorder="1" applyAlignment="1">
      <alignment horizontal="right" vertical="top"/>
    </xf>
    <xf numFmtId="171" fontId="58" fillId="0" borderId="77" xfId="0" applyNumberFormat="1" applyFont="1" applyBorder="1" applyAlignment="1">
      <alignment horizontal="right" vertical="top"/>
    </xf>
    <xf numFmtId="170" fontId="57" fillId="0" borderId="62" xfId="0" applyNumberFormat="1" applyFont="1" applyBorder="1" applyAlignment="1">
      <alignment horizontal="right" vertical="top"/>
    </xf>
    <xf numFmtId="171" fontId="60" fillId="0" borderId="62" xfId="0" applyNumberFormat="1" applyFont="1" applyBorder="1" applyAlignment="1">
      <alignment horizontal="right" vertical="top"/>
    </xf>
    <xf numFmtId="171" fontId="57" fillId="0" borderId="62" xfId="0" applyNumberFormat="1" applyFont="1" applyBorder="1" applyAlignment="1">
      <alignment horizontal="right" vertical="top"/>
    </xf>
    <xf numFmtId="171" fontId="60" fillId="0" borderId="77" xfId="0" applyNumberFormat="1" applyFont="1" applyBorder="1" applyAlignment="1">
      <alignment horizontal="right" vertical="top"/>
    </xf>
    <xf numFmtId="171" fontId="57" fillId="0" borderId="77" xfId="0" applyNumberFormat="1" applyFont="1" applyBorder="1" applyAlignment="1">
      <alignment horizontal="right" vertical="top"/>
    </xf>
    <xf numFmtId="49" fontId="60" fillId="0" borderId="33" xfId="0" applyNumberFormat="1" applyFont="1" applyBorder="1" applyAlignment="1">
      <alignment horizontal="left" vertical="top" indent="4"/>
    </xf>
    <xf numFmtId="170" fontId="57" fillId="0" borderId="77" xfId="0" applyNumberFormat="1" applyFont="1" applyBorder="1" applyAlignment="1">
      <alignment horizontal="right" vertical="top"/>
    </xf>
    <xf numFmtId="49" fontId="57" fillId="0" borderId="23" xfId="0" applyNumberFormat="1" applyFont="1" applyBorder="1" applyAlignment="1">
      <alignment horizontal="left" vertical="top" indent="2"/>
    </xf>
    <xf numFmtId="49" fontId="57" fillId="0" borderId="24" xfId="0" applyNumberFormat="1" applyFont="1" applyBorder="1" applyAlignment="1">
      <alignment horizontal="left" vertical="top" indent="2"/>
    </xf>
    <xf numFmtId="49" fontId="58" fillId="0" borderId="0" xfId="0" applyNumberFormat="1" applyFont="1" applyAlignment="1">
      <alignment horizontal="left" vertical="top" indent="4"/>
    </xf>
    <xf numFmtId="0" fontId="0" fillId="30" borderId="0" xfId="0" applyFill="1"/>
    <xf numFmtId="0" fontId="56" fillId="30" borderId="0" xfId="0" applyFont="1" applyFill="1"/>
    <xf numFmtId="165" fontId="60" fillId="0" borderId="0" xfId="0" applyNumberFormat="1" applyFont="1" applyAlignment="1">
      <alignment horizontal="right" vertical="top"/>
    </xf>
    <xf numFmtId="1" fontId="55" fillId="0" borderId="0" xfId="0" applyNumberFormat="1" applyFont="1"/>
    <xf numFmtId="165" fontId="60" fillId="30" borderId="0" xfId="0" applyNumberFormat="1" applyFont="1" applyFill="1" applyAlignment="1">
      <alignment horizontal="right" vertical="top"/>
    </xf>
    <xf numFmtId="0" fontId="55" fillId="0" borderId="0" xfId="0" applyFont="1"/>
    <xf numFmtId="14" fontId="58" fillId="0" borderId="0" xfId="0" applyNumberFormat="1" applyFont="1" applyAlignment="1">
      <alignment horizontal="right" vertical="top"/>
    </xf>
    <xf numFmtId="10" fontId="0" fillId="0" borderId="0" xfId="0" applyNumberFormat="1"/>
    <xf numFmtId="170" fontId="55" fillId="0" borderId="0" xfId="0" applyNumberFormat="1" applyFont="1"/>
    <xf numFmtId="170" fontId="63" fillId="0" borderId="0" xfId="0" applyNumberFormat="1" applyFont="1" applyAlignment="1">
      <alignment horizontal="right" vertical="top"/>
    </xf>
    <xf numFmtId="171" fontId="63" fillId="0" borderId="0" xfId="0" applyNumberFormat="1" applyFont="1" applyAlignment="1">
      <alignment horizontal="right" vertical="top"/>
    </xf>
    <xf numFmtId="0" fontId="63" fillId="0" borderId="0" xfId="0" applyFont="1" applyAlignment="1">
      <alignment horizontal="right" vertical="top"/>
    </xf>
    <xf numFmtId="0" fontId="55" fillId="37" borderId="0" xfId="0" applyFont="1" applyFill="1"/>
    <xf numFmtId="186" fontId="57" fillId="0" borderId="35" xfId="0" applyNumberFormat="1" applyFont="1" applyBorder="1" applyAlignment="1">
      <alignment horizontal="right" vertical="top"/>
    </xf>
    <xf numFmtId="186" fontId="60" fillId="0" borderId="0" xfId="0" applyNumberFormat="1" applyFont="1" applyAlignment="1">
      <alignment horizontal="right" vertical="top"/>
    </xf>
    <xf numFmtId="186" fontId="57" fillId="0" borderId="31" xfId="0" applyNumberFormat="1" applyFont="1" applyBorder="1" applyAlignment="1">
      <alignment horizontal="right" vertical="top"/>
    </xf>
    <xf numFmtId="186" fontId="58" fillId="0" borderId="35" xfId="0" applyNumberFormat="1" applyFont="1" applyBorder="1" applyAlignment="1">
      <alignment horizontal="right" vertical="top"/>
    </xf>
    <xf numFmtId="186" fontId="60" fillId="0" borderId="35" xfId="0" applyNumberFormat="1" applyFont="1" applyBorder="1" applyAlignment="1">
      <alignment horizontal="right" vertical="top"/>
    </xf>
    <xf numFmtId="185" fontId="60" fillId="0" borderId="0" xfId="0" applyNumberFormat="1" applyFont="1" applyAlignment="1">
      <alignment horizontal="right" vertical="top"/>
    </xf>
    <xf numFmtId="186" fontId="60" fillId="0" borderId="31" xfId="0" applyNumberFormat="1" applyFont="1" applyBorder="1" applyAlignment="1">
      <alignment horizontal="right" vertical="top"/>
    </xf>
    <xf numFmtId="185" fontId="60" fillId="0" borderId="31" xfId="0" applyNumberFormat="1" applyFont="1" applyBorder="1" applyAlignment="1">
      <alignment horizontal="right" vertical="top"/>
    </xf>
    <xf numFmtId="185" fontId="57" fillId="0" borderId="31" xfId="0" applyNumberFormat="1" applyFont="1" applyBorder="1" applyAlignment="1">
      <alignment horizontal="right" vertical="top"/>
    </xf>
    <xf numFmtId="185" fontId="58" fillId="0" borderId="35" xfId="0" applyNumberFormat="1" applyFont="1" applyBorder="1" applyAlignment="1">
      <alignment horizontal="right" vertical="top"/>
    </xf>
    <xf numFmtId="185" fontId="58" fillId="0" borderId="31" xfId="0" applyNumberFormat="1" applyFont="1" applyBorder="1" applyAlignment="1">
      <alignment horizontal="right" vertical="top"/>
    </xf>
    <xf numFmtId="185" fontId="60" fillId="0" borderId="35" xfId="0" applyNumberFormat="1" applyFont="1" applyBorder="1" applyAlignment="1">
      <alignment horizontal="right" vertical="top"/>
    </xf>
    <xf numFmtId="185" fontId="50" fillId="0" borderId="0" xfId="0" applyNumberFormat="1" applyFont="1" applyAlignment="1">
      <alignment horizontal="right" vertical="top"/>
    </xf>
    <xf numFmtId="167" fontId="55" fillId="0" borderId="0" xfId="138" applyFont="1"/>
    <xf numFmtId="49" fontId="72" fillId="0" borderId="0" xfId="0" applyNumberFormat="1" applyFont="1" applyAlignment="1">
      <alignment vertical="top"/>
    </xf>
    <xf numFmtId="49" fontId="63" fillId="0" borderId="0" xfId="0" applyNumberFormat="1" applyFont="1" applyAlignment="1">
      <alignment vertical="top"/>
    </xf>
    <xf numFmtId="49" fontId="58" fillId="0" borderId="0" xfId="0" applyNumberFormat="1" applyFont="1" applyAlignment="1">
      <alignment horizontal="center" vertical="top" wrapText="1"/>
    </xf>
    <xf numFmtId="185" fontId="57" fillId="0" borderId="35" xfId="0" applyNumberFormat="1" applyFont="1" applyBorder="1" applyAlignment="1">
      <alignment horizontal="right" vertical="top"/>
    </xf>
    <xf numFmtId="49" fontId="58" fillId="38" borderId="15" xfId="0" applyNumberFormat="1" applyFont="1" applyFill="1" applyBorder="1" applyAlignment="1">
      <alignment horizontal="center" vertical="top"/>
    </xf>
    <xf numFmtId="171" fontId="60" fillId="38" borderId="53" xfId="0" applyNumberFormat="1" applyFont="1" applyFill="1" applyBorder="1" applyAlignment="1">
      <alignment horizontal="right" vertical="top"/>
    </xf>
    <xf numFmtId="170" fontId="57" fillId="38" borderId="34" xfId="0" applyNumberFormat="1" applyFont="1" applyFill="1" applyBorder="1" applyAlignment="1">
      <alignment horizontal="right" vertical="top"/>
    </xf>
    <xf numFmtId="171" fontId="60" fillId="38" borderId="4" xfId="0" applyNumberFormat="1" applyFont="1" applyFill="1" applyBorder="1" applyAlignment="1">
      <alignment horizontal="right" vertical="top"/>
    </xf>
    <xf numFmtId="170" fontId="60" fillId="38" borderId="4" xfId="0" applyNumberFormat="1" applyFont="1" applyFill="1" applyBorder="1" applyAlignment="1">
      <alignment horizontal="right" vertical="top"/>
    </xf>
    <xf numFmtId="171" fontId="58" fillId="38" borderId="53" xfId="0" applyNumberFormat="1" applyFont="1" applyFill="1" applyBorder="1" applyAlignment="1">
      <alignment horizontal="right" vertical="top"/>
    </xf>
    <xf numFmtId="170" fontId="58" fillId="38" borderId="53" xfId="0" applyNumberFormat="1" applyFont="1" applyFill="1" applyBorder="1" applyAlignment="1">
      <alignment horizontal="right" vertical="top"/>
    </xf>
    <xf numFmtId="171" fontId="58" fillId="38" borderId="4" xfId="0" applyNumberFormat="1" applyFont="1" applyFill="1" applyBorder="1" applyAlignment="1">
      <alignment horizontal="right" vertical="top"/>
    </xf>
    <xf numFmtId="171" fontId="57" fillId="38" borderId="34" xfId="0" applyNumberFormat="1" applyFont="1" applyFill="1" applyBorder="1" applyAlignment="1">
      <alignment horizontal="right" vertical="top"/>
    </xf>
    <xf numFmtId="170" fontId="58" fillId="38" borderId="4" xfId="0" applyNumberFormat="1" applyFont="1" applyFill="1" applyBorder="1" applyAlignment="1">
      <alignment horizontal="right" vertical="top"/>
    </xf>
    <xf numFmtId="171" fontId="57" fillId="38" borderId="4" xfId="0" applyNumberFormat="1" applyFont="1" applyFill="1" applyBorder="1" applyAlignment="1">
      <alignment horizontal="right" vertical="top"/>
    </xf>
    <xf numFmtId="170" fontId="57" fillId="38" borderId="1" xfId="0" applyNumberFormat="1" applyFont="1" applyFill="1" applyBorder="1" applyAlignment="1">
      <alignment horizontal="right" vertical="top"/>
    </xf>
    <xf numFmtId="0" fontId="0" fillId="38" borderId="0" xfId="0" applyFill="1"/>
    <xf numFmtId="49" fontId="58" fillId="39" borderId="15" xfId="0" applyNumberFormat="1" applyFont="1" applyFill="1" applyBorder="1" applyAlignment="1">
      <alignment horizontal="center" vertical="top"/>
    </xf>
    <xf numFmtId="171" fontId="60" fillId="39" borderId="33" xfId="0" applyNumberFormat="1" applyFont="1" applyFill="1" applyBorder="1" applyAlignment="1">
      <alignment horizontal="right" vertical="top"/>
    </xf>
    <xf numFmtId="170" fontId="57" fillId="39" borderId="31" xfId="0" applyNumberFormat="1" applyFont="1" applyFill="1" applyBorder="1" applyAlignment="1">
      <alignment horizontal="right" vertical="top"/>
    </xf>
    <xf numFmtId="171" fontId="60" fillId="39" borderId="0" xfId="0" applyNumberFormat="1" applyFont="1" applyFill="1" applyAlignment="1">
      <alignment horizontal="right" vertical="top"/>
    </xf>
    <xf numFmtId="170" fontId="60" fillId="39" borderId="0" xfId="0" applyNumberFormat="1" applyFont="1" applyFill="1" applyAlignment="1">
      <alignment horizontal="right" vertical="top"/>
    </xf>
    <xf numFmtId="170" fontId="60" fillId="39" borderId="33" xfId="0" applyNumberFormat="1" applyFont="1" applyFill="1" applyBorder="1" applyAlignment="1">
      <alignment horizontal="right" vertical="top"/>
    </xf>
    <xf numFmtId="171" fontId="57" fillId="39" borderId="31" xfId="0" applyNumberFormat="1" applyFont="1" applyFill="1" applyBorder="1" applyAlignment="1">
      <alignment horizontal="right" vertical="top"/>
    </xf>
    <xf numFmtId="171" fontId="58" fillId="39" borderId="33" xfId="0" applyNumberFormat="1" applyFont="1" applyFill="1" applyBorder="1" applyAlignment="1">
      <alignment horizontal="right" vertical="top"/>
    </xf>
    <xf numFmtId="171" fontId="58" fillId="39" borderId="0" xfId="0" applyNumberFormat="1" applyFont="1" applyFill="1" applyAlignment="1">
      <alignment horizontal="right" vertical="top"/>
    </xf>
    <xf numFmtId="171" fontId="57" fillId="39" borderId="0" xfId="0" applyNumberFormat="1" applyFont="1" applyFill="1" applyAlignment="1">
      <alignment horizontal="right" vertical="top"/>
    </xf>
    <xf numFmtId="170" fontId="57" fillId="39" borderId="35" xfId="0" applyNumberFormat="1" applyFont="1" applyFill="1" applyBorder="1" applyAlignment="1">
      <alignment horizontal="right" vertical="top"/>
    </xf>
    <xf numFmtId="0" fontId="0" fillId="39" borderId="0" xfId="0" applyFill="1"/>
    <xf numFmtId="0" fontId="63" fillId="35" borderId="0" xfId="0" applyFont="1" applyFill="1" applyAlignment="1">
      <alignment vertical="top"/>
    </xf>
    <xf numFmtId="49" fontId="58" fillId="35" borderId="15" xfId="0" applyNumberFormat="1" applyFont="1" applyFill="1" applyBorder="1" applyAlignment="1">
      <alignment horizontal="center" vertical="top"/>
    </xf>
    <xf numFmtId="171" fontId="58" fillId="35" borderId="53" xfId="0" applyNumberFormat="1" applyFont="1" applyFill="1" applyBorder="1" applyAlignment="1">
      <alignment horizontal="right" vertical="top"/>
    </xf>
    <xf numFmtId="170" fontId="64" fillId="35" borderId="34" xfId="0" applyNumberFormat="1" applyFont="1" applyFill="1" applyBorder="1" applyAlignment="1">
      <alignment horizontal="right" vertical="top"/>
    </xf>
    <xf numFmtId="171" fontId="58" fillId="35" borderId="4" xfId="0" applyNumberFormat="1" applyFont="1" applyFill="1" applyBorder="1" applyAlignment="1">
      <alignment horizontal="right" vertical="top"/>
    </xf>
    <xf numFmtId="170" fontId="58" fillId="35" borderId="4" xfId="0" applyNumberFormat="1" applyFont="1" applyFill="1" applyBorder="1" applyAlignment="1">
      <alignment horizontal="right" vertical="top"/>
    </xf>
    <xf numFmtId="170" fontId="58" fillId="35" borderId="53" xfId="0" applyNumberFormat="1" applyFont="1" applyFill="1" applyBorder="1" applyAlignment="1">
      <alignment horizontal="right" vertical="top"/>
    </xf>
    <xf numFmtId="171" fontId="60" fillId="35" borderId="53" xfId="0" applyNumberFormat="1" applyFont="1" applyFill="1" applyBorder="1" applyAlignment="1">
      <alignment horizontal="right" vertical="top"/>
    </xf>
    <xf numFmtId="170" fontId="60" fillId="35" borderId="4" xfId="0" applyNumberFormat="1" applyFont="1" applyFill="1" applyBorder="1" applyAlignment="1">
      <alignment horizontal="right" vertical="top"/>
    </xf>
    <xf numFmtId="171" fontId="60" fillId="35" borderId="4" xfId="0" applyNumberFormat="1" applyFont="1" applyFill="1" applyBorder="1" applyAlignment="1">
      <alignment horizontal="right" vertical="top"/>
    </xf>
    <xf numFmtId="171" fontId="64" fillId="35" borderId="34" xfId="0" applyNumberFormat="1" applyFont="1" applyFill="1" applyBorder="1" applyAlignment="1">
      <alignment horizontal="right" vertical="top"/>
    </xf>
    <xf numFmtId="170" fontId="60" fillId="35" borderId="53" xfId="0" applyNumberFormat="1" applyFont="1" applyFill="1" applyBorder="1" applyAlignment="1">
      <alignment horizontal="right" vertical="top"/>
    </xf>
    <xf numFmtId="171" fontId="64" fillId="35" borderId="4" xfId="0" applyNumberFormat="1" applyFont="1" applyFill="1" applyBorder="1" applyAlignment="1">
      <alignment horizontal="right" vertical="top"/>
    </xf>
    <xf numFmtId="170" fontId="64" fillId="35" borderId="1" xfId="0" applyNumberFormat="1" applyFont="1" applyFill="1" applyBorder="1" applyAlignment="1">
      <alignment horizontal="right" vertical="top"/>
    </xf>
    <xf numFmtId="0" fontId="0" fillId="35" borderId="0" xfId="0" applyFill="1"/>
    <xf numFmtId="0" fontId="63" fillId="40" borderId="0" xfId="0" applyFont="1" applyFill="1" applyAlignment="1">
      <alignment vertical="top"/>
    </xf>
    <xf numFmtId="49" fontId="58" fillId="40" borderId="15" xfId="0" applyNumberFormat="1" applyFont="1" applyFill="1" applyBorder="1" applyAlignment="1">
      <alignment horizontal="center" vertical="top"/>
    </xf>
    <xf numFmtId="170" fontId="64" fillId="40" borderId="35" xfId="0" applyNumberFormat="1" applyFont="1" applyFill="1" applyBorder="1" applyAlignment="1">
      <alignment horizontal="right" vertical="top"/>
    </xf>
    <xf numFmtId="170" fontId="58" fillId="40" borderId="33" xfId="0" applyNumberFormat="1" applyFont="1" applyFill="1" applyBorder="1" applyAlignment="1">
      <alignment horizontal="right" vertical="top"/>
    </xf>
    <xf numFmtId="170" fontId="64" fillId="40" borderId="31" xfId="0" applyNumberFormat="1" applyFont="1" applyFill="1" applyBorder="1" applyAlignment="1">
      <alignment horizontal="right" vertical="top"/>
    </xf>
    <xf numFmtId="170" fontId="58" fillId="40" borderId="0" xfId="0" applyNumberFormat="1" applyFont="1" applyFill="1" applyAlignment="1">
      <alignment horizontal="right" vertical="top"/>
    </xf>
    <xf numFmtId="171" fontId="58" fillId="40" borderId="0" xfId="0" applyNumberFormat="1" applyFont="1" applyFill="1" applyAlignment="1">
      <alignment horizontal="right" vertical="top"/>
    </xf>
    <xf numFmtId="171" fontId="58" fillId="40" borderId="33" xfId="0" applyNumberFormat="1" applyFont="1" applyFill="1" applyBorder="1" applyAlignment="1">
      <alignment horizontal="right" vertical="top"/>
    </xf>
    <xf numFmtId="171" fontId="64" fillId="40" borderId="31" xfId="0" applyNumberFormat="1" applyFont="1" applyFill="1" applyBorder="1" applyAlignment="1">
      <alignment horizontal="right" vertical="top"/>
    </xf>
    <xf numFmtId="171" fontId="60" fillId="40" borderId="33" xfId="0" applyNumberFormat="1" applyFont="1" applyFill="1" applyBorder="1" applyAlignment="1">
      <alignment horizontal="right" vertical="top"/>
    </xf>
    <xf numFmtId="171" fontId="60" fillId="40" borderId="0" xfId="0" applyNumberFormat="1" applyFont="1" applyFill="1" applyAlignment="1">
      <alignment horizontal="right" vertical="top"/>
    </xf>
    <xf numFmtId="170" fontId="60" fillId="40" borderId="33" xfId="0" applyNumberFormat="1" applyFont="1" applyFill="1" applyBorder="1" applyAlignment="1">
      <alignment horizontal="right" vertical="top"/>
    </xf>
    <xf numFmtId="170" fontId="60" fillId="40" borderId="0" xfId="0" applyNumberFormat="1" applyFont="1" applyFill="1" applyAlignment="1">
      <alignment horizontal="right" vertical="top"/>
    </xf>
    <xf numFmtId="171" fontId="64" fillId="40" borderId="0" xfId="0" applyNumberFormat="1" applyFont="1" applyFill="1" applyAlignment="1">
      <alignment horizontal="right" vertical="top"/>
    </xf>
    <xf numFmtId="0" fontId="0" fillId="40" borderId="0" xfId="0" applyFill="1"/>
    <xf numFmtId="49" fontId="57" fillId="0" borderId="0" xfId="0" applyNumberFormat="1" applyFont="1" applyAlignment="1">
      <alignment horizontal="center" vertical="top" wrapText="1"/>
    </xf>
    <xf numFmtId="49" fontId="57" fillId="0" borderId="0" xfId="0" applyNumberFormat="1" applyFont="1" applyAlignment="1">
      <alignment horizontal="center" vertical="top"/>
    </xf>
    <xf numFmtId="49" fontId="58" fillId="0" borderId="0" xfId="0" applyNumberFormat="1" applyFont="1" applyAlignment="1">
      <alignment horizontal="center" vertical="top"/>
    </xf>
    <xf numFmtId="170" fontId="64" fillId="0" borderId="0" xfId="0" applyNumberFormat="1" applyFont="1" applyAlignment="1">
      <alignment horizontal="right" vertical="top"/>
    </xf>
    <xf numFmtId="171" fontId="58" fillId="0" borderId="34" xfId="0" applyNumberFormat="1" applyFont="1" applyBorder="1" applyAlignment="1">
      <alignment horizontal="right" vertical="top"/>
    </xf>
    <xf numFmtId="170" fontId="60" fillId="0" borderId="34" xfId="0" applyNumberFormat="1" applyFont="1" applyBorder="1" applyAlignment="1">
      <alignment horizontal="right" vertical="top"/>
    </xf>
    <xf numFmtId="171" fontId="57" fillId="0" borderId="34" xfId="0" applyNumberFormat="1" applyFont="1" applyBorder="1" applyAlignment="1">
      <alignment horizontal="right" vertical="top"/>
    </xf>
    <xf numFmtId="170" fontId="64" fillId="0" borderId="34" xfId="0" applyNumberFormat="1" applyFont="1" applyBorder="1" applyAlignment="1">
      <alignment horizontal="right" vertical="top"/>
    </xf>
    <xf numFmtId="171" fontId="64" fillId="0" borderId="31" xfId="0" applyNumberFormat="1" applyFont="1" applyBorder="1" applyAlignment="1">
      <alignment horizontal="right" vertical="top"/>
    </xf>
    <xf numFmtId="171" fontId="58" fillId="0" borderId="1" xfId="0" applyNumberFormat="1" applyFont="1" applyBorder="1" applyAlignment="1">
      <alignment horizontal="right" vertical="top"/>
    </xf>
    <xf numFmtId="170" fontId="60" fillId="0" borderId="1" xfId="0" applyNumberFormat="1" applyFont="1" applyBorder="1" applyAlignment="1">
      <alignment horizontal="right" vertical="top"/>
    </xf>
    <xf numFmtId="0" fontId="58" fillId="0" borderId="0" xfId="0" applyFont="1" applyAlignment="1">
      <alignment horizontal="left" vertical="top"/>
    </xf>
    <xf numFmtId="171" fontId="64" fillId="0" borderId="34" xfId="0" applyNumberFormat="1" applyFont="1" applyBorder="1" applyAlignment="1">
      <alignment horizontal="right" vertical="top"/>
    </xf>
    <xf numFmtId="170" fontId="57" fillId="0" borderId="34" xfId="0" applyNumberFormat="1" applyFont="1" applyBorder="1" applyAlignment="1">
      <alignment horizontal="right" vertical="top"/>
    </xf>
    <xf numFmtId="170" fontId="58" fillId="0" borderId="1" xfId="0" applyNumberFormat="1" applyFont="1" applyBorder="1" applyAlignment="1">
      <alignment horizontal="right" vertical="top"/>
    </xf>
    <xf numFmtId="171" fontId="60" fillId="0" borderId="1" xfId="0" applyNumberFormat="1" applyFont="1" applyBorder="1" applyAlignment="1">
      <alignment horizontal="right" vertical="top"/>
    </xf>
    <xf numFmtId="171" fontId="57" fillId="0" borderId="1" xfId="0" applyNumberFormat="1" applyFont="1" applyBorder="1" applyAlignment="1">
      <alignment horizontal="right" vertical="top"/>
    </xf>
    <xf numFmtId="171" fontId="64" fillId="0" borderId="1" xfId="0" applyNumberFormat="1" applyFont="1" applyBorder="1" applyAlignment="1">
      <alignment horizontal="right" vertical="top"/>
    </xf>
    <xf numFmtId="170" fontId="58" fillId="0" borderId="34" xfId="0" applyNumberFormat="1" applyFont="1" applyBorder="1" applyAlignment="1">
      <alignment horizontal="right" vertical="top"/>
    </xf>
    <xf numFmtId="171" fontId="60" fillId="0" borderId="34" xfId="0" applyNumberFormat="1" applyFont="1" applyBorder="1" applyAlignment="1">
      <alignment horizontal="right" vertical="top"/>
    </xf>
    <xf numFmtId="185" fontId="60" fillId="33" borderId="31" xfId="0" applyNumberFormat="1" applyFont="1" applyFill="1" applyBorder="1" applyAlignment="1">
      <alignment horizontal="right" vertical="top"/>
    </xf>
    <xf numFmtId="185" fontId="60" fillId="33" borderId="35" xfId="0" applyNumberFormat="1" applyFont="1" applyFill="1" applyBorder="1" applyAlignment="1">
      <alignment horizontal="right" vertical="top"/>
    </xf>
    <xf numFmtId="14" fontId="58" fillId="30" borderId="0" xfId="0" applyNumberFormat="1" applyFont="1" applyFill="1" applyAlignment="1">
      <alignment horizontal="right" vertical="top"/>
    </xf>
    <xf numFmtId="170" fontId="62" fillId="30" borderId="0" xfId="0" applyNumberFormat="1" applyFont="1" applyFill="1" applyAlignment="1">
      <alignment horizontal="right" vertical="top"/>
    </xf>
    <xf numFmtId="10" fontId="0" fillId="30" borderId="0" xfId="0" applyNumberFormat="1" applyFill="1"/>
    <xf numFmtId="0" fontId="55" fillId="0" borderId="15" xfId="0" applyFont="1" applyBorder="1" applyAlignment="1">
      <alignment horizontal="center" vertical="center"/>
    </xf>
    <xf numFmtId="0" fontId="55" fillId="0" borderId="15" xfId="0" applyFont="1" applyBorder="1" applyAlignment="1">
      <alignment horizontal="center" vertical="center" wrapText="1"/>
    </xf>
    <xf numFmtId="0" fontId="55" fillId="37" borderId="15" xfId="0" applyFont="1" applyFill="1" applyBorder="1" applyAlignment="1">
      <alignment horizontal="center" vertical="center" wrapText="1"/>
    </xf>
    <xf numFmtId="0" fontId="55" fillId="41" borderId="15" xfId="0" applyFont="1" applyFill="1" applyBorder="1" applyAlignment="1">
      <alignment horizontal="center" vertical="center" wrapText="1"/>
    </xf>
    <xf numFmtId="10" fontId="55" fillId="41" borderId="0" xfId="0" applyNumberFormat="1" applyFont="1" applyFill="1" applyAlignment="1">
      <alignment horizontal="center" vertical="center" wrapText="1"/>
    </xf>
    <xf numFmtId="0" fontId="55" fillId="0" borderId="0" xfId="0" applyFont="1" applyAlignment="1">
      <alignment horizontal="center" vertical="center" wrapText="1"/>
    </xf>
    <xf numFmtId="0" fontId="0" fillId="0" borderId="15" xfId="0" applyBorder="1"/>
    <xf numFmtId="14" fontId="0" fillId="0" borderId="15" xfId="0" applyNumberFormat="1" applyBorder="1"/>
    <xf numFmtId="167" fontId="51" fillId="0" borderId="15" xfId="142" applyFont="1" applyBorder="1"/>
    <xf numFmtId="43" fontId="0" fillId="0" borderId="15" xfId="0" applyNumberFormat="1" applyBorder="1"/>
    <xf numFmtId="1" fontId="0" fillId="0" borderId="15" xfId="0" applyNumberFormat="1" applyBorder="1"/>
    <xf numFmtId="43" fontId="0" fillId="0" borderId="0" xfId="0" applyNumberFormat="1"/>
    <xf numFmtId="14" fontId="55" fillId="0" borderId="15" xfId="0" applyNumberFormat="1" applyFont="1" applyBorder="1" applyAlignment="1">
      <alignment horizontal="center" vertical="center" wrapText="1"/>
    </xf>
    <xf numFmtId="2" fontId="55" fillId="0" borderId="15" xfId="0" applyNumberFormat="1" applyFont="1" applyBorder="1" applyAlignment="1">
      <alignment horizontal="center" vertical="center" wrapText="1"/>
    </xf>
    <xf numFmtId="10" fontId="51" fillId="0" borderId="0" xfId="142" applyNumberFormat="1" applyFont="1"/>
    <xf numFmtId="170" fontId="63" fillId="0" borderId="15" xfId="0" applyNumberFormat="1" applyFont="1" applyBorder="1" applyAlignment="1">
      <alignment horizontal="right" vertical="top"/>
    </xf>
    <xf numFmtId="14" fontId="58" fillId="0" borderId="15" xfId="0" applyNumberFormat="1" applyFont="1" applyBorder="1" applyAlignment="1">
      <alignment horizontal="right" vertical="top"/>
    </xf>
    <xf numFmtId="43" fontId="55" fillId="0" borderId="15" xfId="0" applyNumberFormat="1" applyFont="1" applyBorder="1" applyAlignment="1">
      <alignment horizontal="center" vertical="center" wrapText="1"/>
    </xf>
    <xf numFmtId="43" fontId="0" fillId="42" borderId="15" xfId="0" applyNumberFormat="1" applyFill="1" applyBorder="1"/>
    <xf numFmtId="167" fontId="51" fillId="42" borderId="15" xfId="142" applyFont="1" applyFill="1" applyBorder="1"/>
    <xf numFmtId="1" fontId="51" fillId="42" borderId="15" xfId="142" applyNumberFormat="1" applyFont="1" applyFill="1" applyBorder="1"/>
    <xf numFmtId="167" fontId="51" fillId="0" borderId="0" xfId="142" applyFont="1"/>
    <xf numFmtId="43" fontId="55" fillId="0" borderId="0" xfId="0" applyNumberFormat="1" applyFont="1"/>
    <xf numFmtId="167" fontId="55" fillId="0" borderId="0" xfId="142" applyFont="1"/>
    <xf numFmtId="167" fontId="55" fillId="43" borderId="0" xfId="142" applyFont="1" applyFill="1"/>
    <xf numFmtId="0" fontId="63" fillId="44" borderId="0" xfId="0" applyFont="1" applyFill="1" applyAlignment="1">
      <alignment vertical="top" wrapText="1"/>
    </xf>
    <xf numFmtId="49" fontId="62" fillId="44" borderId="53" xfId="0" applyNumberFormat="1" applyFont="1" applyFill="1" applyBorder="1" applyAlignment="1">
      <alignment horizontal="center" vertical="top" wrapText="1"/>
    </xf>
    <xf numFmtId="49" fontId="63" fillId="44" borderId="15" xfId="0" applyNumberFormat="1" applyFont="1" applyFill="1" applyBorder="1" applyAlignment="1">
      <alignment horizontal="center" vertical="top" wrapText="1"/>
    </xf>
    <xf numFmtId="49" fontId="62" fillId="44" borderId="34" xfId="0" applyNumberFormat="1" applyFont="1" applyFill="1" applyBorder="1" applyAlignment="1">
      <alignment horizontal="center" vertical="top" wrapText="1"/>
    </xf>
    <xf numFmtId="49" fontId="57" fillId="44" borderId="33" xfId="0" applyNumberFormat="1" applyFont="1" applyFill="1" applyBorder="1" applyAlignment="1">
      <alignment horizontal="left" vertical="top" wrapText="1"/>
    </xf>
    <xf numFmtId="49" fontId="57" fillId="44" borderId="4" xfId="0" applyNumberFormat="1" applyFont="1" applyFill="1" applyBorder="1" applyAlignment="1">
      <alignment horizontal="left" vertical="top" wrapText="1"/>
    </xf>
    <xf numFmtId="49" fontId="57" fillId="44" borderId="53" xfId="0" applyNumberFormat="1" applyFont="1" applyFill="1" applyBorder="1" applyAlignment="1">
      <alignment horizontal="center" vertical="top" wrapText="1"/>
    </xf>
    <xf numFmtId="49" fontId="57" fillId="44" borderId="34" xfId="0" applyNumberFormat="1" applyFont="1" applyFill="1" applyBorder="1" applyAlignment="1">
      <alignment horizontal="left" vertical="top" wrapText="1"/>
    </xf>
    <xf numFmtId="49" fontId="57" fillId="44" borderId="34" xfId="0" applyNumberFormat="1" applyFont="1" applyFill="1" applyBorder="1" applyAlignment="1">
      <alignment horizontal="center" vertical="top" wrapText="1"/>
    </xf>
    <xf numFmtId="49" fontId="58" fillId="44" borderId="15" xfId="0" applyNumberFormat="1" applyFont="1" applyFill="1" applyBorder="1" applyAlignment="1">
      <alignment horizontal="center" vertical="top" wrapText="1"/>
    </xf>
    <xf numFmtId="49" fontId="57" fillId="44" borderId="0" xfId="0" applyNumberFormat="1" applyFont="1" applyFill="1" applyAlignment="1">
      <alignment horizontal="left" vertical="top" wrapText="1"/>
    </xf>
    <xf numFmtId="186" fontId="57" fillId="44" borderId="35" xfId="0" applyNumberFormat="1" applyFont="1" applyFill="1" applyBorder="1" applyAlignment="1">
      <alignment horizontal="right" vertical="top" wrapText="1"/>
    </xf>
    <xf numFmtId="171" fontId="60" fillId="44" borderId="35" xfId="0" applyNumberFormat="1" applyFont="1" applyFill="1" applyBorder="1" applyAlignment="1">
      <alignment horizontal="right" vertical="top" wrapText="1"/>
    </xf>
    <xf numFmtId="49" fontId="60" fillId="44" borderId="0" xfId="0" applyNumberFormat="1" applyFont="1" applyFill="1" applyAlignment="1">
      <alignment horizontal="left" vertical="top" wrapText="1"/>
    </xf>
    <xf numFmtId="186" fontId="60" fillId="44" borderId="0" xfId="0" applyNumberFormat="1" applyFont="1" applyFill="1" applyAlignment="1">
      <alignment horizontal="right" vertical="top" wrapText="1"/>
    </xf>
    <xf numFmtId="171" fontId="58" fillId="44" borderId="0" xfId="0" applyNumberFormat="1" applyFont="1" applyFill="1" applyAlignment="1">
      <alignment horizontal="right" vertical="top" wrapText="1"/>
    </xf>
    <xf numFmtId="186" fontId="57" fillId="44" borderId="31" xfId="0" applyNumberFormat="1" applyFont="1" applyFill="1" applyBorder="1" applyAlignment="1">
      <alignment horizontal="right" vertical="top" wrapText="1"/>
    </xf>
    <xf numFmtId="170" fontId="60" fillId="44" borderId="31" xfId="0" applyNumberFormat="1" applyFont="1" applyFill="1" applyBorder="1" applyAlignment="1">
      <alignment horizontal="right" vertical="top" wrapText="1"/>
    </xf>
    <xf numFmtId="185" fontId="57" fillId="44" borderId="31" xfId="0" applyNumberFormat="1" applyFont="1" applyFill="1" applyBorder="1" applyAlignment="1">
      <alignment horizontal="right" vertical="top" wrapText="1"/>
    </xf>
    <xf numFmtId="171" fontId="60" fillId="44" borderId="0" xfId="0" applyNumberFormat="1" applyFont="1" applyFill="1" applyAlignment="1">
      <alignment horizontal="right" vertical="top" wrapText="1"/>
    </xf>
    <xf numFmtId="170" fontId="58" fillId="44" borderId="0" xfId="0" applyNumberFormat="1" applyFont="1" applyFill="1" applyAlignment="1">
      <alignment horizontal="right" vertical="top" wrapText="1"/>
    </xf>
    <xf numFmtId="185" fontId="60" fillId="44" borderId="0" xfId="0" applyNumberFormat="1" applyFont="1" applyFill="1" applyAlignment="1">
      <alignment horizontal="right" vertical="top" wrapText="1"/>
    </xf>
    <xf numFmtId="186" fontId="60" fillId="44" borderId="31" xfId="0" applyNumberFormat="1" applyFont="1" applyFill="1" applyBorder="1" applyAlignment="1">
      <alignment horizontal="right" vertical="top" wrapText="1"/>
    </xf>
    <xf numFmtId="171" fontId="60" fillId="44" borderId="31" xfId="0" applyNumberFormat="1" applyFont="1" applyFill="1" applyBorder="1" applyAlignment="1">
      <alignment horizontal="right" vertical="top" wrapText="1"/>
    </xf>
    <xf numFmtId="185" fontId="60" fillId="44" borderId="31" xfId="0" applyNumberFormat="1" applyFont="1" applyFill="1" applyBorder="1" applyAlignment="1">
      <alignment horizontal="right" vertical="top" wrapText="1"/>
    </xf>
    <xf numFmtId="49" fontId="58" fillId="44" borderId="0" xfId="0" applyNumberFormat="1" applyFont="1" applyFill="1" applyAlignment="1">
      <alignment horizontal="left" vertical="top" wrapText="1"/>
    </xf>
    <xf numFmtId="185" fontId="58" fillId="44" borderId="0" xfId="0" applyNumberFormat="1" applyFont="1" applyFill="1" applyAlignment="1">
      <alignment horizontal="right" vertical="top" wrapText="1"/>
    </xf>
    <xf numFmtId="49" fontId="60" fillId="44" borderId="35" xfId="0" applyNumberFormat="1" applyFont="1" applyFill="1" applyBorder="1" applyAlignment="1">
      <alignment horizontal="left" vertical="top" wrapText="1"/>
    </xf>
    <xf numFmtId="185" fontId="60" fillId="44" borderId="35" xfId="0" applyNumberFormat="1" applyFont="1" applyFill="1" applyBorder="1" applyAlignment="1">
      <alignment horizontal="right" vertical="top" wrapText="1"/>
    </xf>
    <xf numFmtId="171" fontId="64" fillId="44" borderId="35" xfId="0" applyNumberFormat="1" applyFont="1" applyFill="1" applyBorder="1" applyAlignment="1">
      <alignment horizontal="right" vertical="top" wrapText="1"/>
    </xf>
    <xf numFmtId="49" fontId="57" fillId="44" borderId="0" xfId="0" applyNumberFormat="1" applyFont="1" applyFill="1" applyAlignment="1">
      <alignment vertical="top" wrapText="1"/>
    </xf>
    <xf numFmtId="171" fontId="57" fillId="44" borderId="31" xfId="0" applyNumberFormat="1" applyFont="1" applyFill="1" applyBorder="1" applyAlignment="1">
      <alignment horizontal="right" vertical="top" wrapText="1"/>
    </xf>
    <xf numFmtId="186" fontId="58" fillId="44" borderId="0" xfId="0" applyNumberFormat="1" applyFont="1" applyFill="1" applyAlignment="1">
      <alignment horizontal="right" vertical="top" wrapText="1"/>
    </xf>
    <xf numFmtId="49" fontId="58" fillId="44" borderId="0" xfId="0" applyNumberFormat="1" applyFont="1" applyFill="1" applyAlignment="1">
      <alignment vertical="top" wrapText="1"/>
    </xf>
    <xf numFmtId="49" fontId="57" fillId="44" borderId="35" xfId="0" applyNumberFormat="1" applyFont="1" applyFill="1" applyBorder="1" applyAlignment="1">
      <alignment horizontal="left" vertical="top" wrapText="1"/>
    </xf>
    <xf numFmtId="171" fontId="57" fillId="44" borderId="35" xfId="0" applyNumberFormat="1" applyFont="1" applyFill="1" applyBorder="1" applyAlignment="1">
      <alignment horizontal="right" vertical="top" wrapText="1"/>
    </xf>
    <xf numFmtId="170" fontId="64" fillId="44" borderId="35" xfId="0" applyNumberFormat="1" applyFont="1" applyFill="1" applyBorder="1" applyAlignment="1">
      <alignment horizontal="right" vertical="top" wrapText="1"/>
    </xf>
    <xf numFmtId="0" fontId="63" fillId="41" borderId="0" xfId="0" applyFont="1" applyFill="1" applyAlignment="1">
      <alignment vertical="top"/>
    </xf>
    <xf numFmtId="49" fontId="57" fillId="41" borderId="53" xfId="0" applyNumberFormat="1" applyFont="1" applyFill="1" applyBorder="1" applyAlignment="1">
      <alignment horizontal="center" vertical="top"/>
    </xf>
    <xf numFmtId="49" fontId="57" fillId="41" borderId="34" xfId="0" applyNumberFormat="1" applyFont="1" applyFill="1" applyBorder="1" applyAlignment="1">
      <alignment horizontal="center" vertical="top"/>
    </xf>
    <xf numFmtId="49" fontId="58" fillId="41" borderId="15" xfId="0" applyNumberFormat="1" applyFont="1" applyFill="1" applyBorder="1" applyAlignment="1">
      <alignment horizontal="center" vertical="top"/>
    </xf>
    <xf numFmtId="49" fontId="57" fillId="41" borderId="33" xfId="0" applyNumberFormat="1" applyFont="1" applyFill="1" applyBorder="1" applyAlignment="1">
      <alignment horizontal="left" vertical="top"/>
    </xf>
    <xf numFmtId="49" fontId="57" fillId="41" borderId="4" xfId="0" applyNumberFormat="1" applyFont="1" applyFill="1" applyBorder="1" applyAlignment="1">
      <alignment horizontal="left" vertical="top" indent="2"/>
    </xf>
    <xf numFmtId="186" fontId="58" fillId="41" borderId="1" xfId="0" applyNumberFormat="1" applyFont="1" applyFill="1" applyBorder="1" applyAlignment="1">
      <alignment horizontal="right" vertical="top" wrapText="1"/>
    </xf>
    <xf numFmtId="170" fontId="58" fillId="41" borderId="35" xfId="0" applyNumberFormat="1" applyFont="1" applyFill="1" applyBorder="1" applyAlignment="1">
      <alignment horizontal="right" vertical="top" wrapText="1"/>
    </xf>
    <xf numFmtId="186" fontId="58" fillId="41" borderId="35" xfId="0" applyNumberFormat="1" applyFont="1" applyFill="1" applyBorder="1" applyAlignment="1">
      <alignment horizontal="right" vertical="top" wrapText="1"/>
    </xf>
    <xf numFmtId="49" fontId="57" fillId="41" borderId="4" xfId="0" applyNumberFormat="1" applyFont="1" applyFill="1" applyBorder="1" applyAlignment="1">
      <alignment horizontal="left" vertical="top"/>
    </xf>
    <xf numFmtId="185" fontId="57" fillId="41" borderId="15" xfId="0" applyNumberFormat="1" applyFont="1" applyFill="1" applyBorder="1" applyAlignment="1">
      <alignment horizontal="right" vertical="top"/>
    </xf>
    <xf numFmtId="185" fontId="57" fillId="41" borderId="1" xfId="0" applyNumberFormat="1" applyFont="1" applyFill="1" applyBorder="1" applyAlignment="1">
      <alignment horizontal="right" vertical="top"/>
    </xf>
    <xf numFmtId="49" fontId="60" fillId="41" borderId="34" xfId="0" applyNumberFormat="1" applyFont="1" applyFill="1" applyBorder="1" applyAlignment="1">
      <alignment horizontal="left" vertical="top" indent="2"/>
    </xf>
    <xf numFmtId="185" fontId="60" fillId="41" borderId="34" xfId="0" applyNumberFormat="1" applyFont="1" applyFill="1" applyBorder="1" applyAlignment="1">
      <alignment horizontal="right" vertical="top"/>
    </xf>
    <xf numFmtId="171" fontId="58" fillId="41" borderId="15" xfId="0" applyNumberFormat="1" applyFont="1" applyFill="1" applyBorder="1" applyAlignment="1">
      <alignment horizontal="right" vertical="top"/>
    </xf>
    <xf numFmtId="49" fontId="57" fillId="41" borderId="0" xfId="0" applyNumberFormat="1" applyFont="1" applyFill="1" applyAlignment="1">
      <alignment horizontal="left" vertical="top"/>
    </xf>
    <xf numFmtId="185" fontId="57" fillId="41" borderId="35" xfId="0" applyNumberFormat="1" applyFont="1" applyFill="1" applyBorder="1" applyAlignment="1">
      <alignment horizontal="right" vertical="top"/>
    </xf>
    <xf numFmtId="171" fontId="60" fillId="41" borderId="35" xfId="0" applyNumberFormat="1" applyFont="1" applyFill="1" applyBorder="1" applyAlignment="1">
      <alignment horizontal="right" vertical="top"/>
    </xf>
    <xf numFmtId="49" fontId="60" fillId="41" borderId="0" xfId="0" applyNumberFormat="1" applyFont="1" applyFill="1" applyAlignment="1">
      <alignment horizontal="left" vertical="top" indent="2"/>
    </xf>
    <xf numFmtId="185" fontId="60" fillId="41" borderId="0" xfId="0" applyNumberFormat="1" applyFont="1" applyFill="1" applyAlignment="1">
      <alignment horizontal="right" vertical="top"/>
    </xf>
    <xf numFmtId="171" fontId="58" fillId="41" borderId="0" xfId="0" applyNumberFormat="1" applyFont="1" applyFill="1" applyAlignment="1">
      <alignment horizontal="right" vertical="top"/>
    </xf>
    <xf numFmtId="186" fontId="57" fillId="41" borderId="31" xfId="0" applyNumberFormat="1" applyFont="1" applyFill="1" applyBorder="1" applyAlignment="1">
      <alignment horizontal="right" vertical="top"/>
    </xf>
    <xf numFmtId="170" fontId="60" fillId="41" borderId="31" xfId="0" applyNumberFormat="1" applyFont="1" applyFill="1" applyBorder="1" applyAlignment="1">
      <alignment horizontal="right" vertical="top"/>
    </xf>
    <xf numFmtId="186" fontId="60" fillId="41" borderId="0" xfId="0" applyNumberFormat="1" applyFont="1" applyFill="1" applyAlignment="1">
      <alignment horizontal="right" vertical="top"/>
    </xf>
    <xf numFmtId="170" fontId="58" fillId="41" borderId="0" xfId="0" applyNumberFormat="1" applyFont="1" applyFill="1" applyAlignment="1">
      <alignment horizontal="right" vertical="top"/>
    </xf>
    <xf numFmtId="185" fontId="60" fillId="41" borderId="31" xfId="0" applyNumberFormat="1" applyFont="1" applyFill="1" applyBorder="1" applyAlignment="1">
      <alignment horizontal="right" vertical="top"/>
    </xf>
    <xf numFmtId="171" fontId="60" fillId="41" borderId="31" xfId="0" applyNumberFormat="1" applyFont="1" applyFill="1" applyBorder="1" applyAlignment="1">
      <alignment horizontal="right" vertical="top"/>
    </xf>
    <xf numFmtId="171" fontId="60" fillId="41" borderId="0" xfId="0" applyNumberFormat="1" applyFont="1" applyFill="1" applyAlignment="1">
      <alignment horizontal="right" vertical="top"/>
    </xf>
    <xf numFmtId="186" fontId="60" fillId="41" borderId="31" xfId="0" applyNumberFormat="1" applyFont="1" applyFill="1" applyBorder="1" applyAlignment="1">
      <alignment horizontal="right" vertical="top"/>
    </xf>
    <xf numFmtId="171" fontId="57" fillId="41" borderId="31" xfId="0" applyNumberFormat="1" applyFont="1" applyFill="1" applyBorder="1" applyAlignment="1">
      <alignment horizontal="right" vertical="top"/>
    </xf>
    <xf numFmtId="185" fontId="57" fillId="41" borderId="31" xfId="0" applyNumberFormat="1" applyFont="1" applyFill="1" applyBorder="1" applyAlignment="1">
      <alignment horizontal="right" vertical="top"/>
    </xf>
    <xf numFmtId="49" fontId="60" fillId="41" borderId="0" xfId="0" applyNumberFormat="1" applyFont="1" applyFill="1" applyAlignment="1">
      <alignment horizontal="left" vertical="top" indent="1"/>
    </xf>
    <xf numFmtId="49" fontId="60" fillId="41" borderId="0" xfId="0" applyNumberFormat="1" applyFont="1" applyFill="1" applyAlignment="1">
      <alignment horizontal="left" vertical="top"/>
    </xf>
    <xf numFmtId="49" fontId="57" fillId="41" borderId="35" xfId="0" applyNumberFormat="1" applyFont="1" applyFill="1" applyBorder="1" applyAlignment="1">
      <alignment horizontal="left" vertical="top" indent="2"/>
    </xf>
    <xf numFmtId="171" fontId="57" fillId="41" borderId="35" xfId="0" applyNumberFormat="1" applyFont="1" applyFill="1" applyBorder="1" applyAlignment="1">
      <alignment horizontal="right" vertical="top"/>
    </xf>
    <xf numFmtId="170" fontId="64" fillId="41" borderId="35" xfId="0" applyNumberFormat="1" applyFont="1" applyFill="1" applyBorder="1" applyAlignment="1">
      <alignment horizontal="right" vertical="top"/>
    </xf>
    <xf numFmtId="49" fontId="60" fillId="41" borderId="35" xfId="0" applyNumberFormat="1" applyFont="1" applyFill="1" applyBorder="1" applyAlignment="1">
      <alignment horizontal="left" vertical="top" indent="2"/>
    </xf>
    <xf numFmtId="185" fontId="60" fillId="41" borderId="35" xfId="0" applyNumberFormat="1" applyFont="1" applyFill="1" applyBorder="1" applyAlignment="1">
      <alignment horizontal="right" vertical="top"/>
    </xf>
    <xf numFmtId="171" fontId="64" fillId="41" borderId="35" xfId="0" applyNumberFormat="1" applyFont="1" applyFill="1" applyBorder="1" applyAlignment="1">
      <alignment horizontal="right" vertical="top"/>
    </xf>
    <xf numFmtId="49" fontId="57" fillId="41" borderId="0" xfId="0" applyNumberFormat="1" applyFont="1" applyFill="1" applyAlignment="1">
      <alignment vertical="top"/>
    </xf>
    <xf numFmtId="49" fontId="58" fillId="41" borderId="0" xfId="0" applyNumberFormat="1" applyFont="1" applyFill="1" applyAlignment="1">
      <alignment horizontal="left" vertical="top" indent="2"/>
    </xf>
    <xf numFmtId="185" fontId="58" fillId="41" borderId="0" xfId="0" applyNumberFormat="1" applyFont="1" applyFill="1" applyAlignment="1">
      <alignment horizontal="right" vertical="top"/>
    </xf>
    <xf numFmtId="186" fontId="58" fillId="41" borderId="0" xfId="0" applyNumberFormat="1" applyFont="1" applyFill="1" applyAlignment="1">
      <alignment horizontal="right" vertical="top"/>
    </xf>
    <xf numFmtId="49" fontId="58" fillId="41" borderId="0" xfId="0" applyNumberFormat="1" applyFont="1" applyFill="1" applyAlignment="1">
      <alignment vertical="top"/>
    </xf>
    <xf numFmtId="185" fontId="0" fillId="0" borderId="0" xfId="0" applyNumberFormat="1"/>
    <xf numFmtId="0" fontId="63" fillId="44" borderId="0" xfId="0" applyFont="1" applyFill="1" applyAlignment="1">
      <alignment vertical="top"/>
    </xf>
    <xf numFmtId="49" fontId="58" fillId="44" borderId="15" xfId="0" applyNumberFormat="1" applyFont="1" applyFill="1" applyBorder="1" applyAlignment="1">
      <alignment horizontal="center" vertical="top"/>
    </xf>
    <xf numFmtId="49" fontId="60" fillId="44" borderId="0" xfId="0" applyNumberFormat="1" applyFont="1" applyFill="1" applyAlignment="1">
      <alignment horizontal="left" vertical="top" indent="2"/>
    </xf>
    <xf numFmtId="171" fontId="60" fillId="44" borderId="0" xfId="0" applyNumberFormat="1" applyFont="1" applyFill="1" applyAlignment="1">
      <alignment horizontal="right" vertical="top"/>
    </xf>
    <xf numFmtId="171" fontId="58" fillId="44" borderId="0" xfId="0" applyNumberFormat="1" applyFont="1" applyFill="1" applyAlignment="1">
      <alignment horizontal="right" vertical="top"/>
    </xf>
    <xf numFmtId="170" fontId="58" fillId="44" borderId="0" xfId="0" applyNumberFormat="1" applyFont="1" applyFill="1" applyAlignment="1">
      <alignment horizontal="right" vertical="top"/>
    </xf>
    <xf numFmtId="186" fontId="60" fillId="44" borderId="0" xfId="0" applyNumberFormat="1" applyFont="1" applyFill="1" applyAlignment="1">
      <alignment horizontal="right" vertical="top"/>
    </xf>
    <xf numFmtId="185" fontId="60" fillId="44" borderId="0" xfId="0" applyNumberFormat="1" applyFont="1" applyFill="1" applyAlignment="1">
      <alignment horizontal="right" vertical="top"/>
    </xf>
    <xf numFmtId="170" fontId="60" fillId="44" borderId="31" xfId="0" applyNumberFormat="1" applyFont="1" applyFill="1" applyBorder="1" applyAlignment="1">
      <alignment horizontal="right" vertical="top"/>
    </xf>
    <xf numFmtId="186" fontId="58" fillId="44" borderId="0" xfId="0" applyNumberFormat="1" applyFont="1" applyFill="1" applyAlignment="1">
      <alignment horizontal="right" vertical="top"/>
    </xf>
    <xf numFmtId="171" fontId="60" fillId="44" borderId="31" xfId="0" applyNumberFormat="1" applyFont="1" applyFill="1" applyBorder="1" applyAlignment="1">
      <alignment horizontal="right" vertical="top"/>
    </xf>
    <xf numFmtId="49" fontId="60" fillId="44" borderId="0" xfId="0" applyNumberFormat="1" applyFont="1" applyFill="1" applyAlignment="1">
      <alignment horizontal="left" vertical="top" indent="1"/>
    </xf>
    <xf numFmtId="49" fontId="57" fillId="44" borderId="35" xfId="0" applyNumberFormat="1" applyFont="1" applyFill="1" applyBorder="1" applyAlignment="1">
      <alignment horizontal="left" vertical="top" indent="2"/>
    </xf>
    <xf numFmtId="171" fontId="57" fillId="44" borderId="35" xfId="0" applyNumberFormat="1" applyFont="1" applyFill="1" applyBorder="1" applyAlignment="1">
      <alignment horizontal="right" vertical="top"/>
    </xf>
    <xf numFmtId="170" fontId="64" fillId="44" borderId="35" xfId="0" applyNumberFormat="1" applyFont="1" applyFill="1" applyBorder="1" applyAlignment="1">
      <alignment horizontal="right" vertical="top"/>
    </xf>
    <xf numFmtId="49" fontId="57" fillId="44" borderId="0" xfId="0" applyNumberFormat="1" applyFont="1" applyFill="1" applyAlignment="1">
      <alignment horizontal="left" vertical="top"/>
    </xf>
    <xf numFmtId="185" fontId="60" fillId="44" borderId="35" xfId="0" applyNumberFormat="1" applyFont="1" applyFill="1" applyBorder="1" applyAlignment="1">
      <alignment horizontal="right" vertical="top"/>
    </xf>
    <xf numFmtId="185" fontId="60" fillId="44" borderId="31" xfId="0" applyNumberFormat="1" applyFont="1" applyFill="1" applyBorder="1" applyAlignment="1">
      <alignment horizontal="right" vertical="top"/>
    </xf>
    <xf numFmtId="186" fontId="60" fillId="44" borderId="31" xfId="0" applyNumberFormat="1" applyFont="1" applyFill="1" applyBorder="1" applyAlignment="1">
      <alignment horizontal="right" vertical="top"/>
    </xf>
    <xf numFmtId="49" fontId="60" fillId="44" borderId="35" xfId="0" applyNumberFormat="1" applyFont="1" applyFill="1" applyBorder="1" applyAlignment="1">
      <alignment horizontal="left" vertical="top" indent="2"/>
    </xf>
    <xf numFmtId="171" fontId="64" fillId="44" borderId="35" xfId="0" applyNumberFormat="1" applyFont="1" applyFill="1" applyBorder="1" applyAlignment="1">
      <alignment horizontal="right" vertical="top"/>
    </xf>
    <xf numFmtId="49" fontId="58" fillId="44" borderId="0" xfId="0" applyNumberFormat="1" applyFont="1" applyFill="1" applyAlignment="1">
      <alignment vertical="top"/>
    </xf>
    <xf numFmtId="49" fontId="57" fillId="44" borderId="33" xfId="0" applyNumberFormat="1" applyFont="1" applyFill="1" applyBorder="1" applyAlignment="1">
      <alignment horizontal="left" vertical="top"/>
    </xf>
    <xf numFmtId="49" fontId="57" fillId="44" borderId="4" xfId="0" applyNumberFormat="1" applyFont="1" applyFill="1" applyBorder="1" applyAlignment="1">
      <alignment horizontal="left" vertical="top"/>
    </xf>
    <xf numFmtId="185" fontId="57" fillId="44" borderId="1" xfId="0" applyNumberFormat="1" applyFont="1" applyFill="1" applyBorder="1" applyAlignment="1">
      <alignment horizontal="right" vertical="top"/>
    </xf>
    <xf numFmtId="185" fontId="57" fillId="44" borderId="35" xfId="0" applyNumberFormat="1" applyFont="1" applyFill="1" applyBorder="1" applyAlignment="1">
      <alignment horizontal="right" vertical="top"/>
    </xf>
    <xf numFmtId="186" fontId="57" fillId="44" borderId="31" xfId="0" applyNumberFormat="1" applyFont="1" applyFill="1" applyBorder="1" applyAlignment="1">
      <alignment horizontal="right" vertical="top"/>
    </xf>
    <xf numFmtId="185" fontId="57" fillId="44" borderId="31" xfId="0" applyNumberFormat="1" applyFont="1" applyFill="1" applyBorder="1" applyAlignment="1">
      <alignment horizontal="right" vertical="top"/>
    </xf>
    <xf numFmtId="171" fontId="57" fillId="44" borderId="31" xfId="0" applyNumberFormat="1" applyFont="1" applyFill="1" applyBorder="1" applyAlignment="1">
      <alignment horizontal="right" vertical="top"/>
    </xf>
    <xf numFmtId="49" fontId="57" fillId="44" borderId="34" xfId="0" applyNumberFormat="1" applyFont="1" applyFill="1" applyBorder="1" applyAlignment="1">
      <alignment horizontal="center" vertical="top"/>
    </xf>
    <xf numFmtId="49" fontId="60" fillId="44" borderId="4" xfId="0" applyNumberFormat="1" applyFont="1" applyFill="1" applyBorder="1" applyAlignment="1">
      <alignment horizontal="left" vertical="top" indent="2"/>
    </xf>
    <xf numFmtId="49" fontId="57" fillId="44" borderId="0" xfId="0" applyNumberFormat="1" applyFont="1" applyFill="1" applyAlignment="1">
      <alignment horizontal="left" vertical="top" indent="2"/>
    </xf>
    <xf numFmtId="170" fontId="60" fillId="44" borderId="35" xfId="0" applyNumberFormat="1" applyFont="1" applyFill="1" applyBorder="1" applyAlignment="1">
      <alignment horizontal="right" vertical="top"/>
    </xf>
    <xf numFmtId="49" fontId="57" fillId="44" borderId="53" xfId="0" applyNumberFormat="1" applyFont="1" applyFill="1" applyBorder="1" applyAlignment="1">
      <alignment horizontal="center" vertical="top"/>
    </xf>
    <xf numFmtId="186" fontId="57" fillId="44" borderId="15" xfId="0" applyNumberFormat="1" applyFont="1" applyFill="1" applyBorder="1" applyAlignment="1">
      <alignment horizontal="right" vertical="top"/>
    </xf>
    <xf numFmtId="171" fontId="60" fillId="44" borderId="35" xfId="0" applyNumberFormat="1" applyFont="1" applyFill="1" applyBorder="1" applyAlignment="1">
      <alignment horizontal="right" vertical="top"/>
    </xf>
    <xf numFmtId="170" fontId="60" fillId="44" borderId="0" xfId="0" applyNumberFormat="1" applyFont="1" applyFill="1" applyAlignment="1">
      <alignment horizontal="right" vertical="top"/>
    </xf>
    <xf numFmtId="185" fontId="60" fillId="31" borderId="0" xfId="0" applyNumberFormat="1" applyFont="1" applyFill="1" applyAlignment="1">
      <alignment horizontal="right" vertical="top"/>
    </xf>
    <xf numFmtId="185" fontId="60" fillId="33" borderId="0" xfId="0" applyNumberFormat="1" applyFont="1" applyFill="1" applyAlignment="1">
      <alignment horizontal="right" vertical="top"/>
    </xf>
    <xf numFmtId="185" fontId="60" fillId="45" borderId="0" xfId="0" applyNumberFormat="1" applyFont="1" applyFill="1" applyAlignment="1">
      <alignment horizontal="right" vertical="top"/>
    </xf>
    <xf numFmtId="186" fontId="60" fillId="33" borderId="0" xfId="0" applyNumberFormat="1" applyFont="1" applyFill="1" applyAlignment="1">
      <alignment horizontal="right" vertical="top"/>
    </xf>
    <xf numFmtId="185" fontId="60" fillId="46" borderId="35" xfId="0" applyNumberFormat="1" applyFont="1" applyFill="1" applyBorder="1" applyAlignment="1">
      <alignment horizontal="right" vertical="top"/>
    </xf>
    <xf numFmtId="185" fontId="60" fillId="46" borderId="0" xfId="0" applyNumberFormat="1" applyFont="1" applyFill="1" applyAlignment="1">
      <alignment horizontal="right" vertical="top"/>
    </xf>
    <xf numFmtId="185" fontId="60" fillId="47" borderId="0" xfId="0" applyNumberFormat="1" applyFont="1" applyFill="1" applyAlignment="1">
      <alignment horizontal="right" vertical="top"/>
    </xf>
    <xf numFmtId="49" fontId="60" fillId="30" borderId="0" xfId="0" applyNumberFormat="1" applyFont="1" applyFill="1" applyAlignment="1">
      <alignment horizontal="left" vertical="top" indent="2"/>
    </xf>
    <xf numFmtId="186" fontId="57" fillId="44" borderId="0" xfId="0" applyNumberFormat="1" applyFont="1" applyFill="1" applyAlignment="1">
      <alignment horizontal="right" vertical="top"/>
    </xf>
    <xf numFmtId="186" fontId="58" fillId="30" borderId="0" xfId="0" applyNumberFormat="1" applyFont="1" applyFill="1" applyAlignment="1">
      <alignment horizontal="right" vertical="top"/>
    </xf>
    <xf numFmtId="186" fontId="60" fillId="30" borderId="0" xfId="0" applyNumberFormat="1" applyFont="1" applyFill="1" applyAlignment="1">
      <alignment horizontal="right" vertical="top"/>
    </xf>
    <xf numFmtId="0" fontId="71" fillId="0" borderId="0" xfId="0" applyFont="1"/>
    <xf numFmtId="185" fontId="64" fillId="44" borderId="0" xfId="0" applyNumberFormat="1" applyFont="1" applyFill="1" applyAlignment="1">
      <alignment horizontal="right" vertical="top"/>
    </xf>
    <xf numFmtId="185" fontId="64" fillId="44" borderId="31" xfId="0" applyNumberFormat="1" applyFont="1" applyFill="1" applyBorder="1" applyAlignment="1">
      <alignment horizontal="right" vertical="top"/>
    </xf>
    <xf numFmtId="189" fontId="51" fillId="0" borderId="0" xfId="314" applyNumberFormat="1" applyFont="1"/>
    <xf numFmtId="10" fontId="51" fillId="0" borderId="0" xfId="314" applyNumberFormat="1" applyFont="1"/>
    <xf numFmtId="10" fontId="51" fillId="30" borderId="0" xfId="314" applyNumberFormat="1" applyFont="1" applyFill="1"/>
    <xf numFmtId="14" fontId="0" fillId="30" borderId="0" xfId="0" applyNumberFormat="1" applyFill="1"/>
    <xf numFmtId="2" fontId="51" fillId="0" borderId="0" xfId="314" applyNumberFormat="1" applyFont="1"/>
    <xf numFmtId="169" fontId="0" fillId="0" borderId="0" xfId="0" applyNumberFormat="1"/>
    <xf numFmtId="169" fontId="51" fillId="0" borderId="0" xfId="138" applyNumberFormat="1" applyFont="1"/>
    <xf numFmtId="185" fontId="57" fillId="30" borderId="31" xfId="0" applyNumberFormat="1" applyFont="1" applyFill="1" applyBorder="1" applyAlignment="1">
      <alignment horizontal="right" vertical="top"/>
    </xf>
    <xf numFmtId="186" fontId="57" fillId="0" borderId="0" xfId="0" applyNumberFormat="1" applyFont="1" applyAlignment="1">
      <alignment horizontal="right" vertical="top"/>
    </xf>
    <xf numFmtId="185" fontId="57" fillId="0" borderId="0" xfId="0" applyNumberFormat="1" applyFont="1" applyAlignment="1">
      <alignment horizontal="right" vertical="top"/>
    </xf>
    <xf numFmtId="185" fontId="57" fillId="44" borderId="0" xfId="0" applyNumberFormat="1" applyFont="1" applyFill="1" applyAlignment="1">
      <alignment horizontal="right" vertical="top"/>
    </xf>
    <xf numFmtId="49" fontId="60" fillId="44" borderId="34" xfId="0" applyNumberFormat="1" applyFont="1" applyFill="1" applyBorder="1" applyAlignment="1">
      <alignment horizontal="left" vertical="top" indent="2"/>
    </xf>
    <xf numFmtId="171" fontId="58" fillId="44" borderId="15" xfId="0" applyNumberFormat="1" applyFont="1" applyFill="1" applyBorder="1" applyAlignment="1">
      <alignment horizontal="right" vertical="top"/>
    </xf>
    <xf numFmtId="170" fontId="58" fillId="44" borderId="15" xfId="0" applyNumberFormat="1" applyFont="1" applyFill="1" applyBorder="1" applyAlignment="1">
      <alignment horizontal="right" vertical="top"/>
    </xf>
    <xf numFmtId="171" fontId="60" fillId="44" borderId="15" xfId="0" applyNumberFormat="1" applyFont="1" applyFill="1" applyBorder="1" applyAlignment="1">
      <alignment horizontal="right" vertical="top"/>
    </xf>
    <xf numFmtId="185" fontId="60" fillId="44" borderId="1" xfId="0" applyNumberFormat="1" applyFont="1" applyFill="1" applyBorder="1" applyAlignment="1">
      <alignment horizontal="right" vertical="top"/>
    </xf>
    <xf numFmtId="49" fontId="60" fillId="44" borderId="0" xfId="0" applyNumberFormat="1" applyFont="1" applyFill="1" applyAlignment="1">
      <alignment horizontal="left" vertical="top" indent="4"/>
    </xf>
    <xf numFmtId="186" fontId="60" fillId="44" borderId="35" xfId="0" applyNumberFormat="1" applyFont="1" applyFill="1" applyBorder="1" applyAlignment="1">
      <alignment horizontal="right" vertical="top"/>
    </xf>
    <xf numFmtId="170" fontId="58" fillId="44" borderId="35" xfId="0" applyNumberFormat="1" applyFont="1" applyFill="1" applyBorder="1" applyAlignment="1">
      <alignment horizontal="right" vertical="top"/>
    </xf>
    <xf numFmtId="49" fontId="60" fillId="44" borderId="0" xfId="0" applyNumberFormat="1" applyFont="1" applyFill="1" applyAlignment="1">
      <alignment horizontal="left" vertical="top" indent="3"/>
    </xf>
    <xf numFmtId="49" fontId="60" fillId="44" borderId="0" xfId="0" applyNumberFormat="1" applyFont="1" applyFill="1" applyAlignment="1">
      <alignment horizontal="left" vertical="top" indent="5"/>
    </xf>
    <xf numFmtId="49" fontId="60" fillId="44" borderId="0" xfId="0" applyNumberFormat="1" applyFont="1" applyFill="1" applyAlignment="1">
      <alignment horizontal="left" vertical="top" indent="6"/>
    </xf>
    <xf numFmtId="49" fontId="60" fillId="44" borderId="35" xfId="0" applyNumberFormat="1" applyFont="1" applyFill="1" applyBorder="1" applyAlignment="1">
      <alignment horizontal="left" vertical="top" indent="5"/>
    </xf>
    <xf numFmtId="49" fontId="60" fillId="0" borderId="35" xfId="0" applyNumberFormat="1" applyFont="1" applyBorder="1" applyAlignment="1">
      <alignment horizontal="left" vertical="top" indent="5"/>
    </xf>
    <xf numFmtId="49" fontId="60" fillId="48" borderId="0" xfId="0" applyNumberFormat="1" applyFont="1" applyFill="1" applyAlignment="1">
      <alignment horizontal="left" vertical="top" indent="5"/>
    </xf>
    <xf numFmtId="186" fontId="60" fillId="48" borderId="0" xfId="0" applyNumberFormat="1" applyFont="1" applyFill="1" applyAlignment="1">
      <alignment horizontal="right" vertical="top"/>
    </xf>
    <xf numFmtId="170" fontId="58" fillId="48" borderId="0" xfId="0" applyNumberFormat="1" applyFont="1" applyFill="1" applyAlignment="1">
      <alignment horizontal="right" vertical="top"/>
    </xf>
    <xf numFmtId="171" fontId="60" fillId="48" borderId="0" xfId="0" applyNumberFormat="1" applyFont="1" applyFill="1" applyAlignment="1">
      <alignment horizontal="right" vertical="top"/>
    </xf>
    <xf numFmtId="49" fontId="60" fillId="48" borderId="0" xfId="0" applyNumberFormat="1" applyFont="1" applyFill="1" applyAlignment="1">
      <alignment horizontal="left" vertical="top" indent="6"/>
    </xf>
    <xf numFmtId="171" fontId="58" fillId="48" borderId="0" xfId="0" applyNumberFormat="1" applyFont="1" applyFill="1" applyAlignment="1">
      <alignment horizontal="right" vertical="top"/>
    </xf>
    <xf numFmtId="49" fontId="60" fillId="48" borderId="0" xfId="0" applyNumberFormat="1" applyFont="1" applyFill="1" applyAlignment="1">
      <alignment horizontal="left" vertical="top" indent="4"/>
    </xf>
    <xf numFmtId="171" fontId="60" fillId="48" borderId="31" xfId="0" applyNumberFormat="1" applyFont="1" applyFill="1" applyBorder="1" applyAlignment="1">
      <alignment horizontal="right" vertical="top"/>
    </xf>
    <xf numFmtId="170" fontId="60" fillId="48" borderId="31" xfId="0" applyNumberFormat="1" applyFont="1" applyFill="1" applyBorder="1" applyAlignment="1">
      <alignment horizontal="right" vertical="top"/>
    </xf>
    <xf numFmtId="49" fontId="64" fillId="49" borderId="0" xfId="0" applyNumberFormat="1" applyFont="1" applyFill="1" applyAlignment="1">
      <alignment horizontal="left" vertical="top" indent="3"/>
    </xf>
    <xf numFmtId="186" fontId="64" fillId="49" borderId="31" xfId="0" applyNumberFormat="1" applyFont="1" applyFill="1" applyBorder="1" applyAlignment="1">
      <alignment horizontal="right" vertical="top"/>
    </xf>
    <xf numFmtId="170" fontId="64" fillId="49" borderId="31" xfId="0" applyNumberFormat="1" applyFont="1" applyFill="1" applyBorder="1" applyAlignment="1">
      <alignment horizontal="right" vertical="top"/>
    </xf>
    <xf numFmtId="171" fontId="60" fillId="50" borderId="0" xfId="0" applyNumberFormat="1" applyFont="1" applyFill="1" applyAlignment="1">
      <alignment horizontal="right" vertical="top"/>
    </xf>
    <xf numFmtId="170" fontId="58" fillId="50" borderId="0" xfId="0" applyNumberFormat="1" applyFont="1" applyFill="1" applyAlignment="1">
      <alignment horizontal="right" vertical="top"/>
    </xf>
    <xf numFmtId="185" fontId="60" fillId="48" borderId="31" xfId="0" applyNumberFormat="1" applyFont="1" applyFill="1" applyBorder="1" applyAlignment="1">
      <alignment horizontal="right" vertical="top"/>
    </xf>
    <xf numFmtId="185" fontId="60" fillId="48" borderId="0" xfId="0" applyNumberFormat="1" applyFont="1" applyFill="1" applyAlignment="1">
      <alignment horizontal="right" vertical="top"/>
    </xf>
    <xf numFmtId="49" fontId="64" fillId="49" borderId="0" xfId="0" applyNumberFormat="1" applyFont="1" applyFill="1" applyAlignment="1">
      <alignment horizontal="left" vertical="top" indent="4"/>
    </xf>
    <xf numFmtId="185" fontId="64" fillId="49" borderId="31" xfId="0" applyNumberFormat="1" applyFont="1" applyFill="1" applyBorder="1" applyAlignment="1">
      <alignment horizontal="right" vertical="top"/>
    </xf>
    <xf numFmtId="49" fontId="60" fillId="50" borderId="0" xfId="0" applyNumberFormat="1" applyFont="1" applyFill="1" applyAlignment="1">
      <alignment horizontal="left" vertical="top" indent="4"/>
    </xf>
    <xf numFmtId="49" fontId="60" fillId="51" borderId="0" xfId="0" applyNumberFormat="1" applyFont="1" applyFill="1" applyAlignment="1">
      <alignment horizontal="left" vertical="top" indent="4"/>
    </xf>
    <xf numFmtId="171" fontId="60" fillId="51" borderId="0" xfId="0" applyNumberFormat="1" applyFont="1" applyFill="1" applyAlignment="1">
      <alignment horizontal="right" vertical="top"/>
    </xf>
    <xf numFmtId="170" fontId="58" fillId="51" borderId="0" xfId="0" applyNumberFormat="1" applyFont="1" applyFill="1" applyAlignment="1">
      <alignment horizontal="right" vertical="top"/>
    </xf>
    <xf numFmtId="49" fontId="60" fillId="51" borderId="0" xfId="0" applyNumberFormat="1" applyFont="1" applyFill="1" applyAlignment="1">
      <alignment horizontal="left" vertical="top" indent="5"/>
    </xf>
    <xf numFmtId="171" fontId="60" fillId="51" borderId="35" xfId="0" applyNumberFormat="1" applyFont="1" applyFill="1" applyBorder="1" applyAlignment="1">
      <alignment horizontal="right" vertical="top"/>
    </xf>
    <xf numFmtId="170" fontId="60" fillId="51" borderId="35" xfId="0" applyNumberFormat="1" applyFont="1" applyFill="1" applyBorder="1" applyAlignment="1">
      <alignment horizontal="right" vertical="top"/>
    </xf>
    <xf numFmtId="49" fontId="60" fillId="51" borderId="0" xfId="0" applyNumberFormat="1" applyFont="1" applyFill="1" applyAlignment="1">
      <alignment horizontal="left" vertical="top" indent="6"/>
    </xf>
    <xf numFmtId="186" fontId="60" fillId="51" borderId="0" xfId="0" applyNumberFormat="1" applyFont="1" applyFill="1" applyAlignment="1">
      <alignment horizontal="right" vertical="top"/>
    </xf>
    <xf numFmtId="171" fontId="58" fillId="51" borderId="0" xfId="0" applyNumberFormat="1" applyFont="1" applyFill="1" applyAlignment="1">
      <alignment horizontal="right" vertical="top"/>
    </xf>
    <xf numFmtId="171" fontId="60" fillId="51" borderId="31" xfId="0" applyNumberFormat="1" applyFont="1" applyFill="1" applyBorder="1" applyAlignment="1">
      <alignment horizontal="right" vertical="top"/>
    </xf>
    <xf numFmtId="170" fontId="60" fillId="51" borderId="31" xfId="0" applyNumberFormat="1" applyFont="1" applyFill="1" applyBorder="1" applyAlignment="1">
      <alignment horizontal="right" vertical="top"/>
    </xf>
    <xf numFmtId="186" fontId="60" fillId="51" borderId="31" xfId="0" applyNumberFormat="1" applyFont="1" applyFill="1" applyBorder="1" applyAlignment="1">
      <alignment horizontal="right" vertical="top"/>
    </xf>
    <xf numFmtId="185" fontId="60" fillId="51" borderId="31" xfId="0" applyNumberFormat="1" applyFont="1" applyFill="1" applyBorder="1" applyAlignment="1">
      <alignment horizontal="right" vertical="top"/>
    </xf>
    <xf numFmtId="49" fontId="60" fillId="50" borderId="0" xfId="0" applyNumberFormat="1" applyFont="1" applyFill="1" applyAlignment="1">
      <alignment horizontal="left" vertical="top" indent="5"/>
    </xf>
    <xf numFmtId="186" fontId="60" fillId="50" borderId="0" xfId="0" applyNumberFormat="1" applyFont="1" applyFill="1" applyAlignment="1">
      <alignment horizontal="right" vertical="top"/>
    </xf>
    <xf numFmtId="171" fontId="58" fillId="50" borderId="0" xfId="0" applyNumberFormat="1" applyFont="1" applyFill="1" applyAlignment="1">
      <alignment horizontal="right" vertical="top"/>
    </xf>
    <xf numFmtId="49" fontId="60" fillId="50" borderId="0" xfId="0" applyNumberFormat="1" applyFont="1" applyFill="1" applyAlignment="1">
      <alignment horizontal="left" vertical="top" indent="2"/>
    </xf>
    <xf numFmtId="185" fontId="60" fillId="50" borderId="0" xfId="0" applyNumberFormat="1" applyFont="1" applyFill="1" applyAlignment="1">
      <alignment horizontal="right" vertical="top"/>
    </xf>
    <xf numFmtId="170" fontId="60" fillId="50" borderId="0" xfId="0" applyNumberFormat="1" applyFont="1" applyFill="1" applyAlignment="1">
      <alignment horizontal="right" vertical="top"/>
    </xf>
    <xf numFmtId="49" fontId="60" fillId="50" borderId="0" xfId="0" applyNumberFormat="1" applyFont="1" applyFill="1" applyAlignment="1">
      <alignment horizontal="left" vertical="top" indent="3"/>
    </xf>
    <xf numFmtId="0" fontId="73" fillId="0" borderId="0" xfId="0" applyFont="1"/>
    <xf numFmtId="185" fontId="60" fillId="30" borderId="0" xfId="0" applyNumberFormat="1" applyFont="1" applyFill="1" applyAlignment="1">
      <alignment horizontal="right" vertical="top"/>
    </xf>
    <xf numFmtId="0" fontId="75" fillId="0" borderId="0" xfId="0" applyFont="1"/>
    <xf numFmtId="0" fontId="76" fillId="0" borderId="0" xfId="0" applyFont="1"/>
    <xf numFmtId="187" fontId="76" fillId="0" borderId="0" xfId="141" applyNumberFormat="1" applyFont="1"/>
    <xf numFmtId="0" fontId="77" fillId="52" borderId="0" xfId="0" applyFont="1" applyFill="1" applyAlignment="1">
      <alignment horizontal="center"/>
    </xf>
    <xf numFmtId="0" fontId="77" fillId="53" borderId="0" xfId="0" applyFont="1" applyFill="1" applyAlignment="1">
      <alignment horizontal="center"/>
    </xf>
    <xf numFmtId="14" fontId="75" fillId="0" borderId="88" xfId="0" applyNumberFormat="1" applyFont="1" applyBorder="1" applyAlignment="1">
      <alignment horizontal="center"/>
    </xf>
    <xf numFmtId="0" fontId="77" fillId="0" borderId="88" xfId="0" applyFont="1" applyBorder="1" applyAlignment="1">
      <alignment horizontal="center"/>
    </xf>
    <xf numFmtId="187" fontId="77" fillId="0" borderId="88" xfId="141" applyNumberFormat="1" applyFont="1" applyBorder="1" applyAlignment="1">
      <alignment horizontal="center"/>
    </xf>
    <xf numFmtId="165" fontId="75" fillId="0" borderId="88" xfId="0" applyNumberFormat="1" applyFont="1" applyBorder="1" applyAlignment="1">
      <alignment horizontal="center"/>
    </xf>
    <xf numFmtId="165" fontId="77" fillId="0" borderId="88" xfId="0" applyNumberFormat="1" applyFont="1" applyBorder="1" applyAlignment="1">
      <alignment horizontal="center"/>
    </xf>
    <xf numFmtId="0" fontId="76" fillId="0" borderId="88" xfId="0" applyFont="1" applyBorder="1"/>
    <xf numFmtId="187" fontId="76" fillId="0" borderId="24" xfId="141" applyNumberFormat="1" applyFont="1" applyBorder="1"/>
    <xf numFmtId="165" fontId="77" fillId="0" borderId="24" xfId="0" applyNumberFormat="1" applyFont="1" applyBorder="1" applyAlignment="1">
      <alignment horizontal="center"/>
    </xf>
    <xf numFmtId="165" fontId="77" fillId="0" borderId="0" xfId="0" applyNumberFormat="1" applyFont="1" applyAlignment="1">
      <alignment horizontal="center"/>
    </xf>
    <xf numFmtId="0" fontId="77" fillId="54" borderId="15" xfId="0" applyFont="1" applyFill="1" applyBorder="1" applyAlignment="1">
      <alignment horizontal="center" vertical="center" wrapText="1"/>
    </xf>
    <xf numFmtId="187" fontId="78" fillId="54" borderId="15" xfId="141" applyNumberFormat="1" applyFont="1" applyFill="1" applyBorder="1" applyAlignment="1">
      <alignment horizontal="center" vertical="center" wrapText="1"/>
    </xf>
    <xf numFmtId="187" fontId="77" fillId="54" borderId="15" xfId="141" applyNumberFormat="1" applyFont="1" applyFill="1" applyBorder="1" applyAlignment="1">
      <alignment horizontal="center" vertical="center" wrapText="1"/>
    </xf>
    <xf numFmtId="165" fontId="77" fillId="54" borderId="15" xfId="0" applyNumberFormat="1" applyFont="1" applyFill="1" applyBorder="1" applyAlignment="1">
      <alignment horizontal="center" vertical="center" wrapText="1"/>
    </xf>
    <xf numFmtId="187" fontId="77" fillId="54" borderId="88" xfId="141" applyNumberFormat="1" applyFont="1" applyFill="1" applyBorder="1" applyAlignment="1">
      <alignment horizontal="center" vertical="center" wrapText="1"/>
    </xf>
    <xf numFmtId="187" fontId="77" fillId="54" borderId="0" xfId="141" applyNumberFormat="1" applyFont="1" applyFill="1" applyBorder="1" applyAlignment="1">
      <alignment horizontal="center" vertical="center" wrapText="1"/>
    </xf>
    <xf numFmtId="0" fontId="79" fillId="0" borderId="88" xfId="0" applyFont="1" applyBorder="1"/>
    <xf numFmtId="187" fontId="76" fillId="0" borderId="88" xfId="141" applyNumberFormat="1" applyFont="1" applyBorder="1"/>
    <xf numFmtId="187" fontId="76" fillId="0" borderId="0" xfId="141" applyNumberFormat="1" applyFont="1" applyBorder="1"/>
    <xf numFmtId="14" fontId="76" fillId="0" borderId="88" xfId="0" applyNumberFormat="1" applyFont="1" applyBorder="1"/>
    <xf numFmtId="187" fontId="76" fillId="0" borderId="88" xfId="0" applyNumberFormat="1" applyFont="1" applyBorder="1"/>
    <xf numFmtId="43" fontId="76" fillId="0" borderId="88" xfId="0" applyNumberFormat="1" applyFont="1" applyBorder="1"/>
    <xf numFmtId="0" fontId="76" fillId="0" borderId="24" xfId="0" applyFont="1" applyBorder="1"/>
    <xf numFmtId="0" fontId="78" fillId="0" borderId="88" xfId="0" applyFont="1" applyBorder="1"/>
    <xf numFmtId="187" fontId="78" fillId="0" borderId="88" xfId="141" applyNumberFormat="1" applyFont="1" applyBorder="1"/>
    <xf numFmtId="187" fontId="78" fillId="0" borderId="88" xfId="0" applyNumberFormat="1" applyFont="1" applyBorder="1"/>
    <xf numFmtId="187" fontId="78" fillId="0" borderId="0" xfId="141" applyNumberFormat="1" applyFont="1" applyBorder="1"/>
    <xf numFmtId="0" fontId="78" fillId="0" borderId="0" xfId="0" applyFont="1"/>
    <xf numFmtId="1" fontId="76" fillId="0" borderId="0" xfId="0" applyNumberFormat="1" applyFont="1"/>
    <xf numFmtId="187" fontId="78" fillId="0" borderId="24" xfId="141" applyNumberFormat="1" applyFont="1" applyBorder="1"/>
    <xf numFmtId="0" fontId="78" fillId="0" borderId="24" xfId="0" applyFont="1" applyBorder="1"/>
    <xf numFmtId="187" fontId="76" fillId="0" borderId="0" xfId="0" applyNumberFormat="1" applyFont="1"/>
    <xf numFmtId="0" fontId="76" fillId="0" borderId="4" xfId="0" applyFont="1" applyBorder="1"/>
    <xf numFmtId="187" fontId="76" fillId="0" borderId="19" xfId="0" applyNumberFormat="1" applyFont="1" applyBorder="1"/>
    <xf numFmtId="0" fontId="78" fillId="0" borderId="4" xfId="0" applyFont="1" applyBorder="1"/>
    <xf numFmtId="0" fontId="76" fillId="0" borderId="19" xfId="0" applyFont="1" applyBorder="1"/>
    <xf numFmtId="187" fontId="78" fillId="0" borderId="19" xfId="0" applyNumberFormat="1" applyFont="1" applyBorder="1"/>
    <xf numFmtId="14" fontId="76" fillId="33" borderId="88" xfId="0" applyNumberFormat="1" applyFont="1" applyFill="1" applyBorder="1"/>
    <xf numFmtId="0" fontId="76" fillId="33" borderId="88" xfId="0" applyFont="1" applyFill="1" applyBorder="1"/>
    <xf numFmtId="187" fontId="76" fillId="33" borderId="88" xfId="141" applyNumberFormat="1" applyFont="1" applyFill="1" applyBorder="1"/>
    <xf numFmtId="187" fontId="76" fillId="33" borderId="88" xfId="0" applyNumberFormat="1" applyFont="1" applyFill="1" applyBorder="1"/>
    <xf numFmtId="43" fontId="76" fillId="33" borderId="88" xfId="0" applyNumberFormat="1" applyFont="1" applyFill="1" applyBorder="1"/>
    <xf numFmtId="0" fontId="76" fillId="33" borderId="4" xfId="0" applyFont="1" applyFill="1" applyBorder="1"/>
    <xf numFmtId="187" fontId="76" fillId="33" borderId="19" xfId="0" applyNumberFormat="1" applyFont="1" applyFill="1" applyBorder="1"/>
    <xf numFmtId="186" fontId="57" fillId="30" borderId="0" xfId="0" applyNumberFormat="1" applyFont="1" applyFill="1" applyAlignment="1">
      <alignment horizontal="right" vertical="top"/>
    </xf>
    <xf numFmtId="185" fontId="60" fillId="32" borderId="0" xfId="0" applyNumberFormat="1" applyFont="1" applyFill="1" applyAlignment="1">
      <alignment horizontal="right" vertical="top"/>
    </xf>
    <xf numFmtId="185" fontId="60" fillId="30" borderId="31" xfId="0" applyNumberFormat="1" applyFont="1" applyFill="1" applyBorder="1" applyAlignment="1">
      <alignment horizontal="right" vertical="top"/>
    </xf>
    <xf numFmtId="186" fontId="57" fillId="30" borderId="31" xfId="0" applyNumberFormat="1" applyFont="1" applyFill="1" applyBorder="1" applyAlignment="1">
      <alignment horizontal="right" vertical="top"/>
    </xf>
    <xf numFmtId="185" fontId="60" fillId="55" borderId="0" xfId="0" applyNumberFormat="1" applyFont="1" applyFill="1" applyAlignment="1">
      <alignment horizontal="right" vertical="top"/>
    </xf>
    <xf numFmtId="185" fontId="60" fillId="56" borderId="0" xfId="0" applyNumberFormat="1" applyFont="1" applyFill="1" applyAlignment="1">
      <alignment horizontal="right" vertical="top"/>
    </xf>
    <xf numFmtId="185" fontId="60" fillId="57" borderId="0" xfId="0" applyNumberFormat="1" applyFont="1" applyFill="1" applyAlignment="1">
      <alignment horizontal="right" vertical="top"/>
    </xf>
    <xf numFmtId="185" fontId="60" fillId="58" borderId="0" xfId="0" applyNumberFormat="1" applyFont="1" applyFill="1" applyAlignment="1">
      <alignment horizontal="right" vertical="top"/>
    </xf>
    <xf numFmtId="185" fontId="60" fillId="59" borderId="0" xfId="0" applyNumberFormat="1" applyFont="1" applyFill="1" applyAlignment="1">
      <alignment horizontal="right" vertical="top"/>
    </xf>
    <xf numFmtId="0" fontId="42" fillId="0" borderId="32" xfId="0" applyFont="1" applyBorder="1" applyAlignment="1">
      <alignment horizontal="left" vertical="top"/>
    </xf>
    <xf numFmtId="2" fontId="55" fillId="0" borderId="0" xfId="0" applyNumberFormat="1" applyFont="1"/>
    <xf numFmtId="186" fontId="60" fillId="53" borderId="0" xfId="0" applyNumberFormat="1" applyFont="1" applyFill="1" applyAlignment="1">
      <alignment horizontal="right" vertical="top"/>
    </xf>
    <xf numFmtId="186" fontId="60" fillId="61" borderId="0" xfId="0" applyNumberFormat="1" applyFont="1" applyFill="1" applyAlignment="1">
      <alignment horizontal="right" vertical="top"/>
    </xf>
    <xf numFmtId="0" fontId="0" fillId="61" borderId="0" xfId="0" applyFill="1"/>
    <xf numFmtId="186" fontId="60" fillId="30" borderId="31" xfId="0" applyNumberFormat="1" applyFont="1" applyFill="1" applyBorder="1" applyAlignment="1">
      <alignment horizontal="right" vertical="top"/>
    </xf>
    <xf numFmtId="0" fontId="73" fillId="30" borderId="0" xfId="0" applyFont="1" applyFill="1"/>
    <xf numFmtId="185" fontId="60" fillId="30" borderId="1" xfId="0" applyNumberFormat="1" applyFont="1" applyFill="1" applyBorder="1" applyAlignment="1">
      <alignment horizontal="right" vertical="top"/>
    </xf>
    <xf numFmtId="185" fontId="57" fillId="30" borderId="0" xfId="0" applyNumberFormat="1" applyFont="1" applyFill="1" applyAlignment="1">
      <alignment horizontal="right" vertical="top"/>
    </xf>
    <xf numFmtId="186" fontId="0" fillId="0" borderId="0" xfId="0" applyNumberFormat="1"/>
    <xf numFmtId="186" fontId="60" fillId="30" borderId="35" xfId="0" applyNumberFormat="1" applyFont="1" applyFill="1" applyBorder="1" applyAlignment="1">
      <alignment horizontal="right" vertical="top"/>
    </xf>
    <xf numFmtId="191" fontId="0" fillId="0" borderId="0" xfId="0" applyNumberFormat="1"/>
    <xf numFmtId="0" fontId="81" fillId="0" borderId="0" xfId="300" applyFont="1"/>
    <xf numFmtId="169" fontId="81" fillId="0" borderId="0" xfId="300" applyNumberFormat="1" applyFont="1"/>
    <xf numFmtId="167" fontId="81" fillId="0" borderId="0" xfId="142" applyFont="1" applyFill="1"/>
    <xf numFmtId="168" fontId="84" fillId="0" borderId="0" xfId="208" applyNumberFormat="1" applyFont="1" applyFill="1" applyAlignment="1" applyProtection="1"/>
    <xf numFmtId="0" fontId="82" fillId="0" borderId="19" xfId="300" applyFont="1" applyBorder="1" applyAlignment="1">
      <alignment horizontal="center"/>
    </xf>
    <xf numFmtId="0" fontId="81" fillId="0" borderId="19" xfId="300" applyFont="1" applyBorder="1"/>
    <xf numFmtId="167" fontId="81" fillId="0" borderId="19" xfId="142" applyFont="1" applyFill="1" applyBorder="1"/>
    <xf numFmtId="167" fontId="81" fillId="0" borderId="19" xfId="300" applyNumberFormat="1" applyFont="1" applyBorder="1"/>
    <xf numFmtId="0" fontId="81" fillId="0" borderId="20" xfId="300" applyFont="1" applyBorder="1"/>
    <xf numFmtId="0" fontId="81" fillId="0" borderId="20" xfId="300" applyFont="1" applyBorder="1" applyAlignment="1">
      <alignment horizontal="right"/>
    </xf>
    <xf numFmtId="167" fontId="82" fillId="0" borderId="25" xfId="142" applyFont="1" applyFill="1" applyBorder="1"/>
    <xf numFmtId="167" fontId="81" fillId="0" borderId="0" xfId="300" applyNumberFormat="1" applyFont="1"/>
    <xf numFmtId="0" fontId="81" fillId="0" borderId="4" xfId="300" applyFont="1" applyBorder="1"/>
    <xf numFmtId="0" fontId="82" fillId="0" borderId="0" xfId="300" applyFont="1"/>
    <xf numFmtId="167" fontId="83" fillId="0" borderId="0" xfId="300" applyNumberFormat="1" applyFont="1"/>
    <xf numFmtId="167" fontId="81" fillId="0" borderId="0" xfId="142" applyFont="1" applyFill="1" applyBorder="1"/>
    <xf numFmtId="0" fontId="85" fillId="0" borderId="0" xfId="300" applyFont="1"/>
    <xf numFmtId="167" fontId="85" fillId="0" borderId="0" xfId="300" applyNumberFormat="1" applyFont="1" applyAlignment="1">
      <alignment horizontal="center"/>
    </xf>
    <xf numFmtId="0" fontId="85" fillId="0" borderId="0" xfId="300" applyFont="1" applyAlignment="1">
      <alignment horizontal="center"/>
    </xf>
    <xf numFmtId="167" fontId="85" fillId="0" borderId="0" xfId="142" applyFont="1" applyFill="1" applyBorder="1"/>
    <xf numFmtId="167" fontId="85" fillId="0" borderId="0" xfId="300" applyNumberFormat="1" applyFont="1"/>
    <xf numFmtId="167" fontId="86" fillId="0" borderId="0" xfId="142" applyFont="1" applyFill="1"/>
    <xf numFmtId="169" fontId="81" fillId="0" borderId="0" xfId="138" applyNumberFormat="1" applyFont="1" applyFill="1"/>
    <xf numFmtId="169" fontId="81" fillId="0" borderId="0" xfId="138" applyNumberFormat="1" applyFont="1" applyFill="1" applyBorder="1"/>
    <xf numFmtId="169" fontId="81" fillId="0" borderId="31" xfId="138" applyNumberFormat="1" applyFont="1" applyFill="1" applyBorder="1"/>
    <xf numFmtId="0" fontId="87" fillId="0" borderId="0" xfId="0" applyFont="1" applyAlignment="1">
      <alignment horizontal="right" vertical="top"/>
    </xf>
    <xf numFmtId="43" fontId="88" fillId="0" borderId="0" xfId="141" applyFont="1" applyFill="1" applyBorder="1"/>
    <xf numFmtId="43" fontId="85" fillId="0" borderId="0" xfId="141" applyFont="1" applyFill="1" applyBorder="1"/>
    <xf numFmtId="0" fontId="89" fillId="0" borderId="0" xfId="225" applyFont="1" applyAlignment="1">
      <alignment horizontal="center"/>
    </xf>
    <xf numFmtId="0" fontId="90" fillId="0" borderId="0" xfId="0" applyFont="1"/>
    <xf numFmtId="43" fontId="85" fillId="0" borderId="0" xfId="141" quotePrefix="1" applyFont="1" applyFill="1" applyBorder="1" applyAlignment="1">
      <alignment horizontal="left"/>
    </xf>
    <xf numFmtId="184" fontId="85" fillId="0" borderId="0" xfId="141" applyNumberFormat="1" applyFont="1" applyFill="1" applyBorder="1"/>
    <xf numFmtId="0" fontId="85" fillId="0" borderId="0" xfId="0" applyFont="1"/>
    <xf numFmtId="43" fontId="85" fillId="0" borderId="31" xfId="141" applyFont="1" applyFill="1" applyBorder="1"/>
    <xf numFmtId="43" fontId="83" fillId="0" borderId="0" xfId="141" applyFont="1" applyFill="1" applyBorder="1" applyAlignment="1">
      <alignment horizontal="center"/>
    </xf>
    <xf numFmtId="0" fontId="85" fillId="0" borderId="0" xfId="225" applyFont="1"/>
    <xf numFmtId="43" fontId="85" fillId="0" borderId="0" xfId="141" applyFont="1" applyFill="1" applyBorder="1" applyAlignment="1">
      <alignment horizontal="left"/>
    </xf>
    <xf numFmtId="167" fontId="85" fillId="0" borderId="0" xfId="154" applyFont="1" applyFill="1" applyBorder="1"/>
    <xf numFmtId="43" fontId="85" fillId="0" borderId="0" xfId="141" applyFont="1" applyFill="1" applyBorder="1" applyAlignment="1">
      <alignment horizontal="center"/>
    </xf>
    <xf numFmtId="167" fontId="83" fillId="0" borderId="0" xfId="154" applyFont="1" applyFill="1" applyBorder="1" applyAlignment="1">
      <alignment horizontal="center"/>
    </xf>
    <xf numFmtId="167" fontId="85" fillId="0" borderId="0" xfId="0" applyNumberFormat="1" applyFont="1"/>
    <xf numFmtId="43" fontId="85" fillId="0" borderId="49" xfId="141" applyFont="1" applyFill="1" applyBorder="1"/>
    <xf numFmtId="43" fontId="85" fillId="0" borderId="0" xfId="0" applyNumberFormat="1" applyFont="1"/>
    <xf numFmtId="0" fontId="85" fillId="0" borderId="0" xfId="0" applyFont="1" applyAlignment="1">
      <alignment horizontal="center" vertical="center"/>
    </xf>
    <xf numFmtId="43" fontId="85" fillId="0" borderId="0" xfId="141" applyFont="1" applyFill="1" applyBorder="1" applyAlignment="1">
      <alignment horizontal="right"/>
    </xf>
    <xf numFmtId="9" fontId="85" fillId="0" borderId="0" xfId="141" applyNumberFormat="1" applyFont="1" applyFill="1" applyBorder="1"/>
    <xf numFmtId="183" fontId="85" fillId="0" borderId="0" xfId="141" applyNumberFormat="1" applyFont="1" applyFill="1" applyBorder="1"/>
    <xf numFmtId="169" fontId="85" fillId="0" borderId="0" xfId="154" applyNumberFormat="1" applyFont="1" applyFill="1" applyBorder="1"/>
    <xf numFmtId="9" fontId="85" fillId="0" borderId="0" xfId="0" applyNumberFormat="1" applyFont="1"/>
    <xf numFmtId="43" fontId="85" fillId="0" borderId="33" xfId="141" applyFont="1" applyFill="1" applyBorder="1"/>
    <xf numFmtId="169" fontId="81" fillId="0" borderId="49" xfId="300" applyNumberFormat="1" applyFont="1" applyBorder="1"/>
    <xf numFmtId="0" fontId="91" fillId="0" borderId="42" xfId="228" applyFont="1" applyBorder="1" applyAlignment="1">
      <alignment horizontal="left" vertical="top"/>
    </xf>
    <xf numFmtId="0" fontId="91" fillId="0" borderId="43" xfId="228" applyFont="1" applyBorder="1" applyAlignment="1">
      <alignment horizontal="center" vertical="top"/>
    </xf>
    <xf numFmtId="0" fontId="91" fillId="0" borderId="43" xfId="228" applyFont="1" applyBorder="1" applyAlignment="1">
      <alignment horizontal="left" vertical="top" wrapText="1"/>
    </xf>
    <xf numFmtId="0" fontId="91" fillId="0" borderId="43" xfId="228" applyFont="1" applyBorder="1" applyAlignment="1">
      <alignment vertical="top"/>
    </xf>
    <xf numFmtId="0" fontId="91" fillId="0" borderId="44" xfId="228" applyFont="1" applyBorder="1" applyAlignment="1">
      <alignment vertical="top"/>
    </xf>
    <xf numFmtId="0" fontId="91" fillId="0" borderId="0" xfId="228" applyFont="1" applyAlignment="1">
      <alignment vertical="top"/>
    </xf>
    <xf numFmtId="0" fontId="91" fillId="0" borderId="0" xfId="228" applyFont="1" applyAlignment="1">
      <alignment vertical="top" wrapText="1"/>
    </xf>
    <xf numFmtId="0" fontId="92" fillId="0" borderId="0" xfId="228" applyFont="1" applyAlignment="1">
      <alignment vertical="top"/>
    </xf>
    <xf numFmtId="0" fontId="91" fillId="0" borderId="0" xfId="228" applyFont="1" applyAlignment="1">
      <alignment horizontal="center" vertical="top"/>
    </xf>
    <xf numFmtId="0" fontId="91" fillId="0" borderId="0" xfId="228" applyFont="1" applyAlignment="1">
      <alignment horizontal="left" vertical="top" wrapText="1"/>
    </xf>
    <xf numFmtId="0" fontId="92" fillId="0" borderId="0" xfId="303" applyNumberFormat="1" applyFont="1" applyBorder="1" applyAlignment="1"/>
    <xf numFmtId="0" fontId="56" fillId="0" borderId="0" xfId="0" applyFont="1"/>
    <xf numFmtId="0" fontId="91" fillId="0" borderId="0" xfId="228" applyFont="1" applyAlignment="1">
      <alignment horizontal="left" vertical="top"/>
    </xf>
    <xf numFmtId="0" fontId="85" fillId="0" borderId="0" xfId="0" applyFont="1" applyAlignment="1">
      <alignment horizontal="center"/>
    </xf>
    <xf numFmtId="167" fontId="85" fillId="0" borderId="0" xfId="138" applyFont="1" applyFill="1" applyBorder="1" applyAlignment="1">
      <alignment horizontal="center"/>
    </xf>
    <xf numFmtId="169" fontId="85" fillId="0" borderId="0" xfId="0" applyNumberFormat="1" applyFont="1"/>
    <xf numFmtId="9" fontId="85" fillId="0" borderId="0" xfId="314" applyFont="1" applyFill="1"/>
    <xf numFmtId="168" fontId="85" fillId="0" borderId="0" xfId="0" applyNumberFormat="1" applyFont="1"/>
    <xf numFmtId="167" fontId="85" fillId="0" borderId="0" xfId="138" applyFont="1" applyFill="1"/>
    <xf numFmtId="169" fontId="85" fillId="0" borderId="0" xfId="314" applyNumberFormat="1" applyFont="1" applyFill="1"/>
    <xf numFmtId="10" fontId="85" fillId="0" borderId="0" xfId="0" applyNumberFormat="1" applyFont="1"/>
    <xf numFmtId="10" fontId="85" fillId="0" borderId="0" xfId="314" applyNumberFormat="1" applyFont="1" applyFill="1"/>
    <xf numFmtId="0" fontId="85" fillId="0" borderId="0" xfId="314" applyNumberFormat="1" applyFont="1" applyFill="1"/>
    <xf numFmtId="169" fontId="85" fillId="0" borderId="0" xfId="138" applyNumberFormat="1" applyFont="1" applyFill="1"/>
    <xf numFmtId="4" fontId="85" fillId="0" borderId="0" xfId="314" applyNumberFormat="1" applyFont="1" applyFill="1"/>
    <xf numFmtId="169" fontId="85" fillId="0" borderId="0" xfId="138" applyNumberFormat="1" applyFont="1" applyFill="1" applyBorder="1"/>
    <xf numFmtId="169" fontId="85" fillId="0" borderId="0" xfId="138" applyNumberFormat="1" applyFont="1" applyFill="1" applyBorder="1" applyAlignment="1">
      <alignment horizontal="right"/>
    </xf>
    <xf numFmtId="0" fontId="85" fillId="60" borderId="0" xfId="0" applyFont="1" applyFill="1"/>
    <xf numFmtId="167" fontId="85" fillId="0" borderId="0" xfId="138" applyFont="1" applyFill="1" applyAlignment="1">
      <alignment horizontal="center"/>
    </xf>
    <xf numFmtId="0" fontId="93" fillId="0" borderId="0" xfId="0" applyFont="1"/>
    <xf numFmtId="169" fontId="91" fillId="30" borderId="0" xfId="138" applyNumberFormat="1" applyFont="1" applyFill="1" applyBorder="1" applyAlignment="1">
      <alignment horizontal="center" vertical="center" wrapText="1"/>
    </xf>
    <xf numFmtId="0" fontId="94" fillId="0" borderId="0" xfId="0" applyFont="1"/>
    <xf numFmtId="0" fontId="94" fillId="0" borderId="0" xfId="0" applyFont="1" applyAlignment="1">
      <alignment vertical="center"/>
    </xf>
    <xf numFmtId="168" fontId="94" fillId="0" borderId="0" xfId="0" applyNumberFormat="1" applyFont="1"/>
    <xf numFmtId="168" fontId="94" fillId="0" borderId="0" xfId="157" applyFont="1"/>
    <xf numFmtId="175" fontId="94" fillId="0" borderId="0" xfId="0" applyNumberFormat="1" applyFont="1"/>
    <xf numFmtId="168" fontId="94" fillId="30" borderId="0" xfId="157" applyFont="1" applyFill="1"/>
    <xf numFmtId="1" fontId="94" fillId="0" borderId="0" xfId="143" applyNumberFormat="1" applyFont="1" applyFill="1" applyBorder="1" applyAlignment="1">
      <alignment horizontal="center"/>
    </xf>
    <xf numFmtId="168" fontId="94" fillId="0" borderId="0" xfId="143" applyFont="1" applyFill="1" applyBorder="1"/>
    <xf numFmtId="175" fontId="95" fillId="0" borderId="0" xfId="143" applyNumberFormat="1" applyFont="1" applyFill="1" applyBorder="1" applyAlignment="1">
      <alignment horizontal="right"/>
    </xf>
    <xf numFmtId="175" fontId="94" fillId="0" borderId="0" xfId="143" applyNumberFormat="1" applyFont="1" applyFill="1" applyBorder="1" applyAlignment="1">
      <alignment horizontal="right"/>
    </xf>
    <xf numFmtId="1" fontId="94" fillId="0" borderId="0" xfId="0" applyNumberFormat="1" applyFont="1" applyAlignment="1">
      <alignment horizontal="center"/>
    </xf>
    <xf numFmtId="1" fontId="95" fillId="0" borderId="0" xfId="0" applyNumberFormat="1" applyFont="1" applyAlignment="1">
      <alignment horizontal="center"/>
    </xf>
    <xf numFmtId="43" fontId="94" fillId="0" borderId="0" xfId="0" applyNumberFormat="1" applyFont="1"/>
    <xf numFmtId="0" fontId="94" fillId="0" borderId="15" xfId="0" applyFont="1" applyBorder="1"/>
    <xf numFmtId="0" fontId="94" fillId="0" borderId="22" xfId="0" applyFont="1" applyBorder="1" applyAlignment="1">
      <alignment horizontal="center"/>
    </xf>
    <xf numFmtId="1" fontId="94" fillId="0" borderId="15" xfId="0" applyNumberFormat="1" applyFont="1" applyBorder="1" applyAlignment="1">
      <alignment horizontal="center"/>
    </xf>
    <xf numFmtId="14" fontId="94" fillId="0" borderId="15" xfId="0" applyNumberFormat="1" applyFont="1" applyBorder="1" applyAlignment="1">
      <alignment horizontal="center"/>
    </xf>
    <xf numFmtId="168" fontId="95" fillId="0" borderId="0" xfId="0" applyNumberFormat="1" applyFont="1"/>
    <xf numFmtId="0" fontId="96" fillId="0" borderId="0" xfId="0" applyFont="1"/>
    <xf numFmtId="167" fontId="96" fillId="0" borderId="0" xfId="138" applyFont="1" applyFill="1"/>
    <xf numFmtId="169" fontId="96" fillId="0" borderId="0" xfId="138" applyNumberFormat="1" applyFont="1" applyFill="1"/>
    <xf numFmtId="167" fontId="96" fillId="0" borderId="0" xfId="0" applyNumberFormat="1" applyFont="1"/>
    <xf numFmtId="43" fontId="96" fillId="0" borderId="0" xfId="0" applyNumberFormat="1" applyFont="1"/>
    <xf numFmtId="168" fontId="96" fillId="0" borderId="0" xfId="0" applyNumberFormat="1" applyFont="1"/>
    <xf numFmtId="175" fontId="96" fillId="0" borderId="0" xfId="0" applyNumberFormat="1" applyFont="1"/>
    <xf numFmtId="168" fontId="97" fillId="0" borderId="58" xfId="143" applyFont="1" applyFill="1" applyBorder="1"/>
    <xf numFmtId="180" fontId="96" fillId="0" borderId="58" xfId="0" applyNumberFormat="1" applyFont="1" applyBorder="1" applyAlignment="1">
      <alignment horizontal="right" vertical="top"/>
    </xf>
    <xf numFmtId="170" fontId="97" fillId="0" borderId="58" xfId="0" applyNumberFormat="1" applyFont="1" applyBorder="1" applyAlignment="1">
      <alignment horizontal="right" vertical="top"/>
    </xf>
    <xf numFmtId="168" fontId="96" fillId="0" borderId="73" xfId="143" applyFont="1" applyFill="1" applyBorder="1"/>
    <xf numFmtId="1" fontId="96" fillId="0" borderId="66" xfId="0" applyNumberFormat="1" applyFont="1" applyBorder="1"/>
    <xf numFmtId="168" fontId="96" fillId="0" borderId="60" xfId="143" applyFont="1" applyFill="1" applyBorder="1"/>
    <xf numFmtId="10" fontId="96" fillId="0" borderId="74" xfId="314" applyNumberFormat="1" applyFont="1" applyFill="1" applyBorder="1" applyAlignment="1">
      <alignment horizontal="right"/>
    </xf>
    <xf numFmtId="168" fontId="96" fillId="0" borderId="56" xfId="143" applyFont="1" applyFill="1" applyBorder="1"/>
    <xf numFmtId="14" fontId="96" fillId="0" borderId="56" xfId="0" applyNumberFormat="1" applyFont="1" applyBorder="1" applyAlignment="1">
      <alignment horizontal="right" vertical="top"/>
    </xf>
    <xf numFmtId="170" fontId="97" fillId="0" borderId="56" xfId="0" applyNumberFormat="1" applyFont="1" applyBorder="1" applyAlignment="1">
      <alignment horizontal="right" vertical="top"/>
    </xf>
    <xf numFmtId="168" fontId="96" fillId="0" borderId="32" xfId="143" applyFont="1" applyFill="1" applyBorder="1"/>
    <xf numFmtId="1" fontId="96" fillId="0" borderId="56" xfId="0" applyNumberFormat="1" applyFont="1" applyBorder="1"/>
    <xf numFmtId="168" fontId="96" fillId="0" borderId="38" xfId="143" applyFont="1" applyFill="1" applyBorder="1"/>
    <xf numFmtId="2" fontId="96" fillId="0" borderId="0" xfId="0" applyNumberFormat="1" applyFont="1"/>
    <xf numFmtId="170" fontId="98" fillId="0" borderId="0" xfId="0" applyNumberFormat="1" applyFont="1" applyAlignment="1">
      <alignment horizontal="right" vertical="top"/>
    </xf>
    <xf numFmtId="10" fontId="96" fillId="0" borderId="56" xfId="314" applyNumberFormat="1" applyFont="1" applyFill="1" applyBorder="1"/>
    <xf numFmtId="168" fontId="97" fillId="0" borderId="56" xfId="143" applyFont="1" applyFill="1" applyBorder="1"/>
    <xf numFmtId="168" fontId="96" fillId="0" borderId="0" xfId="143" applyFont="1" applyFill="1" applyBorder="1"/>
    <xf numFmtId="14" fontId="96" fillId="0" borderId="56" xfId="0" applyNumberFormat="1" applyFont="1" applyBorder="1"/>
    <xf numFmtId="14" fontId="96" fillId="0" borderId="56" xfId="0" applyNumberFormat="1" applyFont="1" applyBorder="1" applyAlignment="1">
      <alignment horizontal="right"/>
    </xf>
    <xf numFmtId="0" fontId="96" fillId="0" borderId="56" xfId="0" applyFont="1" applyBorder="1"/>
    <xf numFmtId="0" fontId="97" fillId="0" borderId="72" xfId="0" applyFont="1" applyBorder="1" applyAlignment="1">
      <alignment horizontal="center" vertical="center"/>
    </xf>
    <xf numFmtId="168" fontId="97" fillId="0" borderId="72" xfId="143" applyFont="1" applyFill="1" applyBorder="1" applyAlignment="1">
      <alignment horizontal="center" vertical="center" wrapText="1"/>
    </xf>
    <xf numFmtId="10" fontId="97" fillId="0" borderId="72" xfId="314" applyNumberFormat="1" applyFont="1" applyFill="1" applyBorder="1" applyAlignment="1">
      <alignment horizontal="center" vertical="center"/>
    </xf>
    <xf numFmtId="0" fontId="97" fillId="0" borderId="56" xfId="0" applyFont="1" applyBorder="1"/>
    <xf numFmtId="2" fontId="96" fillId="0" borderId="56" xfId="0" applyNumberFormat="1" applyFont="1" applyBorder="1"/>
    <xf numFmtId="10" fontId="96" fillId="0" borderId="56" xfId="0" applyNumberFormat="1" applyFont="1" applyBorder="1"/>
    <xf numFmtId="0" fontId="96" fillId="0" borderId="63" xfId="0" applyFont="1" applyBorder="1"/>
    <xf numFmtId="2" fontId="96" fillId="0" borderId="63" xfId="0" applyNumberFormat="1" applyFont="1" applyBorder="1"/>
    <xf numFmtId="168" fontId="97" fillId="0" borderId="72" xfId="143" applyFont="1" applyFill="1" applyBorder="1" applyAlignment="1">
      <alignment horizontal="center" vertical="center"/>
    </xf>
    <xf numFmtId="14" fontId="96" fillId="0" borderId="0" xfId="0" applyNumberFormat="1" applyFont="1"/>
    <xf numFmtId="9" fontId="96" fillId="0" borderId="72" xfId="314" applyFont="1" applyFill="1" applyBorder="1" applyAlignment="1">
      <alignment horizontal="center" vertical="center"/>
    </xf>
    <xf numFmtId="2" fontId="96" fillId="0" borderId="72" xfId="314" applyNumberFormat="1" applyFont="1" applyFill="1" applyBorder="1" applyAlignment="1">
      <alignment horizontal="center" vertical="center" wrapText="1"/>
    </xf>
    <xf numFmtId="9" fontId="96" fillId="0" borderId="72" xfId="314" applyFont="1" applyFill="1" applyBorder="1" applyAlignment="1">
      <alignment horizontal="center" vertical="center" wrapText="1"/>
    </xf>
    <xf numFmtId="167" fontId="96" fillId="0" borderId="72" xfId="138" applyFont="1" applyFill="1" applyBorder="1" applyAlignment="1">
      <alignment vertical="center"/>
    </xf>
    <xf numFmtId="9" fontId="97" fillId="0" borderId="66" xfId="314" applyFont="1" applyFill="1" applyBorder="1"/>
    <xf numFmtId="14" fontId="96" fillId="0" borderId="58" xfId="314" applyNumberFormat="1" applyFont="1" applyFill="1" applyBorder="1" applyAlignment="1">
      <alignment horizontal="right" vertical="top"/>
    </xf>
    <xf numFmtId="2" fontId="97" fillId="0" borderId="58" xfId="314" applyNumberFormat="1" applyFont="1" applyFill="1" applyBorder="1" applyAlignment="1">
      <alignment horizontal="right" vertical="top"/>
    </xf>
    <xf numFmtId="2" fontId="96" fillId="0" borderId="73" xfId="314" applyNumberFormat="1" applyFont="1" applyFill="1" applyBorder="1"/>
    <xf numFmtId="2" fontId="96" fillId="0" borderId="60" xfId="314" applyNumberFormat="1" applyFont="1" applyFill="1" applyBorder="1"/>
    <xf numFmtId="10" fontId="96" fillId="0" borderId="56" xfId="314" applyNumberFormat="1" applyFont="1" applyFill="1" applyBorder="1" applyAlignment="1">
      <alignment horizontal="right"/>
    </xf>
    <xf numFmtId="167" fontId="96" fillId="0" borderId="56" xfId="138" applyFont="1" applyFill="1" applyBorder="1"/>
    <xf numFmtId="167" fontId="96" fillId="0" borderId="0" xfId="138" applyFont="1"/>
    <xf numFmtId="0" fontId="96" fillId="0" borderId="32" xfId="314" applyNumberFormat="1" applyFont="1" applyFill="1" applyBorder="1"/>
    <xf numFmtId="2" fontId="96" fillId="0" borderId="38" xfId="314" applyNumberFormat="1" applyFont="1" applyFill="1" applyBorder="1"/>
    <xf numFmtId="49" fontId="96" fillId="0" borderId="56" xfId="0" applyNumberFormat="1" applyFont="1" applyBorder="1" applyAlignment="1">
      <alignment vertical="top"/>
    </xf>
    <xf numFmtId="14" fontId="96" fillId="0" borderId="56" xfId="314" applyNumberFormat="1" applyFont="1" applyFill="1" applyBorder="1" applyAlignment="1">
      <alignment horizontal="right" vertical="top"/>
    </xf>
    <xf numFmtId="2" fontId="97" fillId="0" borderId="0" xfId="314" applyNumberFormat="1" applyFont="1" applyFill="1" applyBorder="1"/>
    <xf numFmtId="9" fontId="96" fillId="0" borderId="56" xfId="314" applyFont="1" applyFill="1" applyBorder="1"/>
    <xf numFmtId="49" fontId="97" fillId="0" borderId="56" xfId="0" applyNumberFormat="1" applyFont="1" applyBorder="1" applyAlignment="1">
      <alignment vertical="top"/>
    </xf>
    <xf numFmtId="170" fontId="97" fillId="0" borderId="0" xfId="0" applyNumberFormat="1" applyFont="1" applyAlignment="1">
      <alignment horizontal="right" vertical="top"/>
    </xf>
    <xf numFmtId="167" fontId="97" fillId="0" borderId="56" xfId="138" applyFont="1" applyFill="1" applyBorder="1"/>
    <xf numFmtId="9" fontId="97" fillId="0" borderId="32" xfId="314" applyFont="1" applyFill="1" applyBorder="1"/>
    <xf numFmtId="14" fontId="96" fillId="0" borderId="32" xfId="314" applyNumberFormat="1" applyFont="1" applyFill="1" applyBorder="1" applyAlignment="1">
      <alignment horizontal="right" vertical="top"/>
    </xf>
    <xf numFmtId="2" fontId="97" fillId="0" borderId="56" xfId="314" applyNumberFormat="1" applyFont="1" applyFill="1" applyBorder="1" applyAlignment="1">
      <alignment horizontal="right" vertical="top"/>
    </xf>
    <xf numFmtId="2" fontId="97" fillId="0" borderId="56" xfId="314" applyNumberFormat="1" applyFont="1" applyFill="1" applyBorder="1"/>
    <xf numFmtId="2" fontId="96" fillId="0" borderId="32" xfId="314" applyNumberFormat="1" applyFont="1" applyFill="1" applyBorder="1"/>
    <xf numFmtId="2" fontId="97" fillId="0" borderId="38" xfId="314" applyNumberFormat="1" applyFont="1" applyFill="1" applyBorder="1"/>
    <xf numFmtId="49" fontId="96" fillId="0" borderId="63" xfId="0" applyNumberFormat="1" applyFont="1" applyBorder="1" applyAlignment="1">
      <alignment horizontal="right" vertical="top"/>
    </xf>
    <xf numFmtId="14" fontId="96" fillId="0" borderId="63" xfId="0" applyNumberFormat="1" applyFont="1" applyBorder="1" applyAlignment="1">
      <alignment horizontal="right" vertical="top"/>
    </xf>
    <xf numFmtId="170" fontId="96" fillId="0" borderId="63" xfId="0" applyNumberFormat="1" applyFont="1" applyBorder="1" applyAlignment="1">
      <alignment horizontal="right" vertical="top"/>
    </xf>
    <xf numFmtId="2" fontId="96" fillId="0" borderId="40" xfId="314" applyNumberFormat="1" applyFont="1" applyFill="1" applyBorder="1"/>
    <xf numFmtId="2" fontId="96" fillId="0" borderId="65" xfId="314" applyNumberFormat="1" applyFont="1" applyFill="1" applyBorder="1"/>
    <xf numFmtId="10" fontId="96" fillId="0" borderId="63" xfId="314" applyNumberFormat="1" applyFont="1" applyFill="1" applyBorder="1"/>
    <xf numFmtId="167" fontId="96" fillId="0" borderId="63" xfId="138" applyFont="1" applyFill="1" applyBorder="1"/>
    <xf numFmtId="168" fontId="96" fillId="0" borderId="0" xfId="157" applyFont="1" applyFill="1"/>
    <xf numFmtId="167" fontId="97" fillId="0" borderId="0" xfId="138" applyFont="1" applyFill="1"/>
    <xf numFmtId="0" fontId="87" fillId="44" borderId="0" xfId="0" applyFont="1" applyFill="1" applyAlignment="1">
      <alignment vertical="top"/>
    </xf>
    <xf numFmtId="49" fontId="70" fillId="44" borderId="53" xfId="0" applyNumberFormat="1" applyFont="1" applyFill="1" applyBorder="1" applyAlignment="1">
      <alignment horizontal="center" vertical="top"/>
    </xf>
    <xf numFmtId="49" fontId="65" fillId="44" borderId="15" xfId="0" applyNumberFormat="1" applyFont="1" applyFill="1" applyBorder="1" applyAlignment="1">
      <alignment horizontal="center" vertical="top"/>
    </xf>
    <xf numFmtId="49" fontId="70" fillId="44" borderId="34" xfId="0" applyNumberFormat="1" applyFont="1" applyFill="1" applyBorder="1" applyAlignment="1">
      <alignment horizontal="center" vertical="top"/>
    </xf>
    <xf numFmtId="49" fontId="70" fillId="44" borderId="33" xfId="0" applyNumberFormat="1" applyFont="1" applyFill="1" applyBorder="1" applyAlignment="1">
      <alignment horizontal="left" vertical="top"/>
    </xf>
    <xf numFmtId="49" fontId="66" fillId="44" borderId="4" xfId="0" applyNumberFormat="1" applyFont="1" applyFill="1" applyBorder="1" applyAlignment="1">
      <alignment horizontal="left" vertical="top" indent="2"/>
    </xf>
    <xf numFmtId="49" fontId="70" fillId="44" borderId="4" xfId="0" applyNumberFormat="1" applyFont="1" applyFill="1" applyBorder="1" applyAlignment="1">
      <alignment horizontal="left" vertical="top"/>
    </xf>
    <xf numFmtId="186" fontId="70" fillId="44" borderId="15" xfId="0" applyNumberFormat="1" applyFont="1" applyFill="1" applyBorder="1" applyAlignment="1">
      <alignment horizontal="right" vertical="top"/>
    </xf>
    <xf numFmtId="185" fontId="70" fillId="44" borderId="1" xfId="0" applyNumberFormat="1" applyFont="1" applyFill="1" applyBorder="1" applyAlignment="1">
      <alignment horizontal="right" vertical="top"/>
    </xf>
    <xf numFmtId="49" fontId="66" fillId="44" borderId="34" xfId="0" applyNumberFormat="1" applyFont="1" applyFill="1" applyBorder="1" applyAlignment="1">
      <alignment horizontal="left" vertical="top" indent="2"/>
    </xf>
    <xf numFmtId="171" fontId="66" fillId="44" borderId="15" xfId="0" applyNumberFormat="1" applyFont="1" applyFill="1" applyBorder="1" applyAlignment="1">
      <alignment horizontal="right" vertical="top"/>
    </xf>
    <xf numFmtId="170" fontId="65" fillId="44" borderId="15" xfId="0" applyNumberFormat="1" applyFont="1" applyFill="1" applyBorder="1" applyAlignment="1">
      <alignment horizontal="right" vertical="top"/>
    </xf>
    <xf numFmtId="171" fontId="65" fillId="44" borderId="15" xfId="0" applyNumberFormat="1" applyFont="1" applyFill="1" applyBorder="1" applyAlignment="1">
      <alignment horizontal="right" vertical="top"/>
    </xf>
    <xf numFmtId="185" fontId="66" fillId="30" borderId="1" xfId="0" applyNumberFormat="1" applyFont="1" applyFill="1" applyBorder="1" applyAlignment="1">
      <alignment horizontal="right" vertical="top"/>
    </xf>
    <xf numFmtId="49" fontId="66" fillId="44" borderId="0" xfId="0" applyNumberFormat="1" applyFont="1" applyFill="1" applyAlignment="1">
      <alignment horizontal="left" vertical="top" indent="4"/>
    </xf>
    <xf numFmtId="171" fontId="70" fillId="44" borderId="35" xfId="0" applyNumberFormat="1" applyFont="1" applyFill="1" applyBorder="1" applyAlignment="1">
      <alignment horizontal="right" vertical="top"/>
    </xf>
    <xf numFmtId="170" fontId="66" fillId="44" borderId="35" xfId="0" applyNumberFormat="1" applyFont="1" applyFill="1" applyBorder="1" applyAlignment="1">
      <alignment horizontal="right" vertical="top"/>
    </xf>
    <xf numFmtId="171" fontId="66" fillId="44" borderId="35" xfId="0" applyNumberFormat="1" applyFont="1" applyFill="1" applyBorder="1" applyAlignment="1">
      <alignment horizontal="right" vertical="top"/>
    </xf>
    <xf numFmtId="185" fontId="70" fillId="44" borderId="35" xfId="0" applyNumberFormat="1" applyFont="1" applyFill="1" applyBorder="1" applyAlignment="1">
      <alignment horizontal="right" vertical="top"/>
    </xf>
    <xf numFmtId="49" fontId="66" fillId="44" borderId="0" xfId="0" applyNumberFormat="1" applyFont="1" applyFill="1" applyAlignment="1">
      <alignment horizontal="left" vertical="top" indent="2"/>
    </xf>
    <xf numFmtId="186" fontId="66" fillId="44" borderId="35" xfId="0" applyNumberFormat="1" applyFont="1" applyFill="1" applyBorder="1" applyAlignment="1">
      <alignment horizontal="right" vertical="top"/>
    </xf>
    <xf numFmtId="170" fontId="65" fillId="44" borderId="35" xfId="0" applyNumberFormat="1" applyFont="1" applyFill="1" applyBorder="1" applyAlignment="1">
      <alignment horizontal="right" vertical="top"/>
    </xf>
    <xf numFmtId="186" fontId="66" fillId="30" borderId="35" xfId="0" applyNumberFormat="1" applyFont="1" applyFill="1" applyBorder="1" applyAlignment="1">
      <alignment horizontal="right" vertical="top"/>
    </xf>
    <xf numFmtId="186" fontId="56" fillId="0" borderId="0" xfId="0" applyNumberFormat="1" applyFont="1"/>
    <xf numFmtId="49" fontId="66" fillId="44" borderId="0" xfId="0" applyNumberFormat="1" applyFont="1" applyFill="1" applyAlignment="1">
      <alignment horizontal="left" vertical="top" indent="3"/>
    </xf>
    <xf numFmtId="49" fontId="66" fillId="44" borderId="0" xfId="0" applyNumberFormat="1" applyFont="1" applyFill="1" applyAlignment="1">
      <alignment horizontal="left" vertical="top" indent="5"/>
    </xf>
    <xf numFmtId="186" fontId="66" fillId="44" borderId="0" xfId="0" applyNumberFormat="1" applyFont="1" applyFill="1" applyAlignment="1">
      <alignment horizontal="right" vertical="top"/>
    </xf>
    <xf numFmtId="170" fontId="65" fillId="44" borderId="0" xfId="0" applyNumberFormat="1" applyFont="1" applyFill="1" applyAlignment="1">
      <alignment horizontal="right" vertical="top"/>
    </xf>
    <xf numFmtId="171" fontId="66" fillId="48" borderId="0" xfId="0" applyNumberFormat="1" applyFont="1" applyFill="1" applyAlignment="1">
      <alignment horizontal="right" vertical="top"/>
    </xf>
    <xf numFmtId="49" fontId="66" fillId="44" borderId="0" xfId="0" applyNumberFormat="1" applyFont="1" applyFill="1" applyAlignment="1">
      <alignment horizontal="left" vertical="top" indent="6"/>
    </xf>
    <xf numFmtId="171" fontId="66" fillId="44" borderId="31" xfId="0" applyNumberFormat="1" applyFont="1" applyFill="1" applyBorder="1" applyAlignment="1">
      <alignment horizontal="right" vertical="top"/>
    </xf>
    <xf numFmtId="170" fontId="66" fillId="44" borderId="31" xfId="0" applyNumberFormat="1" applyFont="1" applyFill="1" applyBorder="1" applyAlignment="1">
      <alignment horizontal="right" vertical="top"/>
    </xf>
    <xf numFmtId="185" fontId="66" fillId="44" borderId="31" xfId="0" applyNumberFormat="1" applyFont="1" applyFill="1" applyBorder="1" applyAlignment="1">
      <alignment horizontal="right" vertical="top"/>
    </xf>
    <xf numFmtId="185" fontId="66" fillId="44" borderId="0" xfId="0" applyNumberFormat="1" applyFont="1" applyFill="1" applyAlignment="1">
      <alignment horizontal="right" vertical="top"/>
    </xf>
    <xf numFmtId="171" fontId="66" fillId="48" borderId="31" xfId="0" applyNumberFormat="1" applyFont="1" applyFill="1" applyBorder="1" applyAlignment="1">
      <alignment horizontal="right" vertical="top"/>
    </xf>
    <xf numFmtId="186" fontId="66" fillId="44" borderId="31" xfId="0" applyNumberFormat="1" applyFont="1" applyFill="1" applyBorder="1" applyAlignment="1">
      <alignment horizontal="right" vertical="top"/>
    </xf>
    <xf numFmtId="185" fontId="66" fillId="44" borderId="35" xfId="0" applyNumberFormat="1" applyFont="1" applyFill="1" applyBorder="1" applyAlignment="1">
      <alignment horizontal="right" vertical="top"/>
    </xf>
    <xf numFmtId="171" fontId="66" fillId="44" borderId="0" xfId="0" applyNumberFormat="1" applyFont="1" applyFill="1" applyAlignment="1">
      <alignment horizontal="right" vertical="top"/>
    </xf>
    <xf numFmtId="171" fontId="65" fillId="44" borderId="0" xfId="0" applyNumberFormat="1" applyFont="1" applyFill="1" applyAlignment="1">
      <alignment horizontal="right" vertical="top"/>
    </xf>
    <xf numFmtId="49" fontId="100" fillId="49" borderId="0" xfId="0" applyNumberFormat="1" applyFont="1" applyFill="1" applyAlignment="1">
      <alignment horizontal="left" vertical="top" indent="3"/>
    </xf>
    <xf numFmtId="186" fontId="100" fillId="49" borderId="31" xfId="0" applyNumberFormat="1" applyFont="1" applyFill="1" applyBorder="1" applyAlignment="1">
      <alignment horizontal="right" vertical="top"/>
    </xf>
    <xf numFmtId="170" fontId="100" fillId="49" borderId="31" xfId="0" applyNumberFormat="1" applyFont="1" applyFill="1" applyBorder="1" applyAlignment="1">
      <alignment horizontal="right" vertical="top"/>
    </xf>
    <xf numFmtId="2" fontId="56" fillId="0" borderId="0" xfId="0" applyNumberFormat="1" applyFont="1"/>
    <xf numFmtId="185" fontId="66" fillId="33" borderId="0" xfId="0" applyNumberFormat="1" applyFont="1" applyFill="1" applyAlignment="1">
      <alignment horizontal="right" vertical="top"/>
    </xf>
    <xf numFmtId="176" fontId="93" fillId="0" borderId="0" xfId="0" applyNumberFormat="1" applyFont="1"/>
    <xf numFmtId="49" fontId="66" fillId="44" borderId="35" xfId="0" applyNumberFormat="1" applyFont="1" applyFill="1" applyBorder="1" applyAlignment="1">
      <alignment horizontal="left" vertical="top" indent="5"/>
    </xf>
    <xf numFmtId="170" fontId="100" fillId="44" borderId="35" xfId="0" applyNumberFormat="1" applyFont="1" applyFill="1" applyBorder="1" applyAlignment="1">
      <alignment horizontal="right" vertical="top"/>
    </xf>
    <xf numFmtId="186" fontId="66" fillId="30" borderId="31" xfId="0" applyNumberFormat="1" applyFont="1" applyFill="1" applyBorder="1" applyAlignment="1">
      <alignment horizontal="right" vertical="top"/>
    </xf>
    <xf numFmtId="185" fontId="66" fillId="33" borderId="31" xfId="0" applyNumberFormat="1" applyFont="1" applyFill="1" applyBorder="1" applyAlignment="1">
      <alignment horizontal="right" vertical="top"/>
    </xf>
    <xf numFmtId="49" fontId="100" fillId="49" borderId="0" xfId="0" applyNumberFormat="1" applyFont="1" applyFill="1" applyAlignment="1">
      <alignment horizontal="left" vertical="top" indent="4"/>
    </xf>
    <xf numFmtId="185" fontId="100" fillId="49" borderId="31" xfId="0" applyNumberFormat="1" applyFont="1" applyFill="1" applyBorder="1" applyAlignment="1">
      <alignment horizontal="right" vertical="top"/>
    </xf>
    <xf numFmtId="186" fontId="93" fillId="0" borderId="0" xfId="0" applyNumberFormat="1" applyFont="1"/>
    <xf numFmtId="49" fontId="66" fillId="51" borderId="0" xfId="0" applyNumberFormat="1" applyFont="1" applyFill="1" applyAlignment="1">
      <alignment horizontal="left" vertical="top" indent="4"/>
    </xf>
    <xf numFmtId="171" fontId="66" fillId="51" borderId="0" xfId="0" applyNumberFormat="1" applyFont="1" applyFill="1" applyAlignment="1">
      <alignment horizontal="right" vertical="top"/>
    </xf>
    <xf numFmtId="170" fontId="65" fillId="51" borderId="0" xfId="0" applyNumberFormat="1" applyFont="1" applyFill="1" applyAlignment="1">
      <alignment horizontal="right" vertical="top"/>
    </xf>
    <xf numFmtId="49" fontId="66" fillId="51" borderId="0" xfId="0" applyNumberFormat="1" applyFont="1" applyFill="1" applyAlignment="1">
      <alignment horizontal="left" vertical="top" indent="5"/>
    </xf>
    <xf numFmtId="185" fontId="66" fillId="33" borderId="35" xfId="0" applyNumberFormat="1" applyFont="1" applyFill="1" applyBorder="1" applyAlignment="1">
      <alignment horizontal="right" vertical="top"/>
    </xf>
    <xf numFmtId="49" fontId="66" fillId="51" borderId="0" xfId="0" applyNumberFormat="1" applyFont="1" applyFill="1" applyAlignment="1">
      <alignment horizontal="left" vertical="top" indent="6"/>
    </xf>
    <xf numFmtId="171" fontId="66" fillId="51" borderId="35" xfId="0" applyNumberFormat="1" applyFont="1" applyFill="1" applyBorder="1" applyAlignment="1">
      <alignment horizontal="right" vertical="top"/>
    </xf>
    <xf numFmtId="170" fontId="66" fillId="51" borderId="35" xfId="0" applyNumberFormat="1" applyFont="1" applyFill="1" applyBorder="1" applyAlignment="1">
      <alignment horizontal="right" vertical="top"/>
    </xf>
    <xf numFmtId="186" fontId="66" fillId="51" borderId="0" xfId="0" applyNumberFormat="1" applyFont="1" applyFill="1" applyAlignment="1">
      <alignment horizontal="right" vertical="top"/>
    </xf>
    <xf numFmtId="171" fontId="65" fillId="51" borderId="0" xfId="0" applyNumberFormat="1" applyFont="1" applyFill="1" applyAlignment="1">
      <alignment horizontal="right" vertical="top"/>
    </xf>
    <xf numFmtId="171" fontId="66" fillId="51" borderId="31" xfId="0" applyNumberFormat="1" applyFont="1" applyFill="1" applyBorder="1" applyAlignment="1">
      <alignment horizontal="right" vertical="top"/>
    </xf>
    <xf numFmtId="170" fontId="66" fillId="51" borderId="31" xfId="0" applyNumberFormat="1" applyFont="1" applyFill="1" applyBorder="1" applyAlignment="1">
      <alignment horizontal="right" vertical="top"/>
    </xf>
    <xf numFmtId="186" fontId="66" fillId="51" borderId="31" xfId="0" applyNumberFormat="1" applyFont="1" applyFill="1" applyBorder="1" applyAlignment="1">
      <alignment horizontal="right" vertical="top"/>
    </xf>
    <xf numFmtId="185" fontId="66" fillId="51" borderId="31" xfId="0" applyNumberFormat="1" applyFont="1" applyFill="1" applyBorder="1" applyAlignment="1">
      <alignment horizontal="right" vertical="top"/>
    </xf>
    <xf numFmtId="170" fontId="66" fillId="44" borderId="0" xfId="0" applyNumberFormat="1" applyFont="1" applyFill="1" applyAlignment="1">
      <alignment horizontal="right" vertical="top"/>
    </xf>
    <xf numFmtId="171" fontId="100" fillId="44" borderId="35" xfId="0" applyNumberFormat="1" applyFont="1" applyFill="1" applyBorder="1" applyAlignment="1">
      <alignment horizontal="right" vertical="top"/>
    </xf>
    <xf numFmtId="49" fontId="66" fillId="50" borderId="0" xfId="0" applyNumberFormat="1" applyFont="1" applyFill="1" applyAlignment="1">
      <alignment horizontal="left" vertical="top" indent="4"/>
    </xf>
    <xf numFmtId="171" fontId="66" fillId="50" borderId="0" xfId="0" applyNumberFormat="1" applyFont="1" applyFill="1" applyAlignment="1">
      <alignment horizontal="right" vertical="top"/>
    </xf>
    <xf numFmtId="170" fontId="65" fillId="50" borderId="0" xfId="0" applyNumberFormat="1" applyFont="1" applyFill="1" applyAlignment="1">
      <alignment horizontal="right" vertical="top"/>
    </xf>
    <xf numFmtId="49" fontId="66" fillId="50" borderId="0" xfId="0" applyNumberFormat="1" applyFont="1" applyFill="1" applyAlignment="1">
      <alignment horizontal="left" vertical="top" indent="5"/>
    </xf>
    <xf numFmtId="186" fontId="66" fillId="50" borderId="0" xfId="0" applyNumberFormat="1" applyFont="1" applyFill="1" applyAlignment="1">
      <alignment horizontal="right" vertical="top"/>
    </xf>
    <xf numFmtId="171" fontId="65" fillId="50" borderId="0" xfId="0" applyNumberFormat="1" applyFont="1" applyFill="1" applyAlignment="1">
      <alignment horizontal="right" vertical="top"/>
    </xf>
    <xf numFmtId="2" fontId="93" fillId="0" borderId="0" xfId="0" applyNumberFormat="1" applyFont="1"/>
    <xf numFmtId="49" fontId="66" fillId="0" borderId="0" xfId="0" applyNumberFormat="1" applyFont="1" applyAlignment="1">
      <alignment horizontal="left" vertical="top" indent="5"/>
    </xf>
    <xf numFmtId="186" fontId="66" fillId="0" borderId="0" xfId="0" applyNumberFormat="1" applyFont="1" applyAlignment="1">
      <alignment horizontal="right" vertical="top"/>
    </xf>
    <xf numFmtId="49" fontId="66" fillId="0" borderId="0" xfId="0" applyNumberFormat="1" applyFont="1" applyAlignment="1">
      <alignment horizontal="left" vertical="top" indent="6"/>
    </xf>
    <xf numFmtId="171" fontId="66" fillId="0" borderId="0" xfId="0" applyNumberFormat="1" applyFont="1" applyAlignment="1">
      <alignment horizontal="right" vertical="top"/>
    </xf>
    <xf numFmtId="49" fontId="66" fillId="0" borderId="35" xfId="0" applyNumberFormat="1" applyFont="1" applyBorder="1" applyAlignment="1">
      <alignment horizontal="left" vertical="top" indent="5"/>
    </xf>
    <xf numFmtId="171" fontId="66" fillId="0" borderId="35" xfId="0" applyNumberFormat="1" applyFont="1" applyBorder="1" applyAlignment="1">
      <alignment horizontal="right" vertical="top"/>
    </xf>
    <xf numFmtId="170" fontId="100" fillId="0" borderId="35" xfId="0" applyNumberFormat="1" applyFont="1" applyBorder="1" applyAlignment="1">
      <alignment horizontal="right" vertical="top"/>
    </xf>
    <xf numFmtId="171" fontId="65" fillId="0" borderId="0" xfId="0" applyNumberFormat="1" applyFont="1" applyAlignment="1">
      <alignment horizontal="right" vertical="top"/>
    </xf>
    <xf numFmtId="49" fontId="66" fillId="0" borderId="0" xfId="0" applyNumberFormat="1" applyFont="1" applyAlignment="1">
      <alignment horizontal="left" vertical="top" indent="4"/>
    </xf>
    <xf numFmtId="49" fontId="66" fillId="50" borderId="0" xfId="0" applyNumberFormat="1" applyFont="1" applyFill="1" applyAlignment="1">
      <alignment horizontal="left" vertical="top" indent="2"/>
    </xf>
    <xf numFmtId="49" fontId="66" fillId="0" borderId="0" xfId="0" applyNumberFormat="1" applyFont="1" applyAlignment="1">
      <alignment horizontal="left" vertical="top" indent="2"/>
    </xf>
    <xf numFmtId="0" fontId="56" fillId="61" borderId="0" xfId="0" applyFont="1" applyFill="1"/>
    <xf numFmtId="186" fontId="66" fillId="61" borderId="0" xfId="0" applyNumberFormat="1" applyFont="1" applyFill="1" applyAlignment="1">
      <alignment horizontal="right" vertical="top"/>
    </xf>
    <xf numFmtId="185" fontId="66" fillId="0" borderId="0" xfId="0" applyNumberFormat="1" applyFont="1" applyAlignment="1">
      <alignment horizontal="right" vertical="top"/>
    </xf>
    <xf numFmtId="49" fontId="70" fillId="0" borderId="0" xfId="0" applyNumberFormat="1" applyFont="1" applyAlignment="1">
      <alignment vertical="top"/>
    </xf>
    <xf numFmtId="185" fontId="70" fillId="0" borderId="31" xfId="0" applyNumberFormat="1" applyFont="1" applyBorder="1" applyAlignment="1">
      <alignment horizontal="right" vertical="top"/>
    </xf>
    <xf numFmtId="170" fontId="66" fillId="0" borderId="31" xfId="0" applyNumberFormat="1" applyFont="1" applyBorder="1" applyAlignment="1">
      <alignment horizontal="right" vertical="top"/>
    </xf>
    <xf numFmtId="171" fontId="66" fillId="0" borderId="31" xfId="0" applyNumberFormat="1" applyFont="1" applyBorder="1" applyAlignment="1">
      <alignment horizontal="right" vertical="top"/>
    </xf>
    <xf numFmtId="49" fontId="70" fillId="0" borderId="0" xfId="0" applyNumberFormat="1" applyFont="1" applyAlignment="1">
      <alignment horizontal="left" vertical="top" indent="2"/>
    </xf>
    <xf numFmtId="185" fontId="70" fillId="0" borderId="0" xfId="0" applyNumberFormat="1" applyFont="1" applyAlignment="1">
      <alignment horizontal="right" vertical="top"/>
    </xf>
    <xf numFmtId="171" fontId="70" fillId="0" borderId="0" xfId="0" applyNumberFormat="1" applyFont="1" applyAlignment="1">
      <alignment horizontal="right" vertical="top"/>
    </xf>
    <xf numFmtId="185" fontId="70" fillId="30" borderId="0" xfId="0" applyNumberFormat="1" applyFont="1" applyFill="1" applyAlignment="1">
      <alignment horizontal="right" vertical="top"/>
    </xf>
    <xf numFmtId="49" fontId="65" fillId="0" borderId="0" xfId="0" applyNumberFormat="1" applyFont="1" applyAlignment="1">
      <alignment horizontal="left" vertical="top" indent="2"/>
    </xf>
    <xf numFmtId="185" fontId="65" fillId="0" borderId="0" xfId="0" applyNumberFormat="1" applyFont="1" applyAlignment="1">
      <alignment horizontal="right" vertical="top"/>
    </xf>
    <xf numFmtId="49" fontId="70" fillId="34" borderId="0" xfId="0" applyNumberFormat="1" applyFont="1" applyFill="1" applyAlignment="1">
      <alignment vertical="top"/>
    </xf>
    <xf numFmtId="186" fontId="70" fillId="0" borderId="31" xfId="0" applyNumberFormat="1" applyFont="1" applyBorder="1" applyAlignment="1">
      <alignment horizontal="right" vertical="top"/>
    </xf>
    <xf numFmtId="171" fontId="65" fillId="0" borderId="35" xfId="0" applyNumberFormat="1" applyFont="1" applyBorder="1" applyAlignment="1">
      <alignment horizontal="right" vertical="top"/>
    </xf>
    <xf numFmtId="170" fontId="65" fillId="0" borderId="35" xfId="0" applyNumberFormat="1" applyFont="1" applyBorder="1" applyAlignment="1">
      <alignment horizontal="right" vertical="top"/>
    </xf>
    <xf numFmtId="49" fontId="65" fillId="62" borderId="0" xfId="0" applyNumberFormat="1" applyFont="1" applyFill="1" applyAlignment="1">
      <alignment horizontal="left" vertical="top" indent="2"/>
    </xf>
    <xf numFmtId="185" fontId="65" fillId="62" borderId="31" xfId="0" applyNumberFormat="1" applyFont="1" applyFill="1" applyBorder="1" applyAlignment="1">
      <alignment horizontal="right" vertical="top"/>
    </xf>
    <xf numFmtId="170" fontId="65" fillId="62" borderId="31" xfId="0" applyNumberFormat="1" applyFont="1" applyFill="1" applyBorder="1" applyAlignment="1">
      <alignment horizontal="right" vertical="top"/>
    </xf>
    <xf numFmtId="186" fontId="65" fillId="62" borderId="31" xfId="0" applyNumberFormat="1" applyFont="1" applyFill="1" applyBorder="1" applyAlignment="1">
      <alignment horizontal="right" vertical="top"/>
    </xf>
    <xf numFmtId="49" fontId="65" fillId="0" borderId="0" xfId="0" applyNumberFormat="1" applyFont="1" applyAlignment="1">
      <alignment horizontal="left" vertical="top" indent="4"/>
    </xf>
    <xf numFmtId="186" fontId="66" fillId="0" borderId="35" xfId="0" applyNumberFormat="1" applyFont="1" applyBorder="1" applyAlignment="1">
      <alignment horizontal="right" vertical="top"/>
    </xf>
    <xf numFmtId="170" fontId="66" fillId="0" borderId="35" xfId="0" applyNumberFormat="1" applyFont="1" applyBorder="1" applyAlignment="1">
      <alignment horizontal="right" vertical="top"/>
    </xf>
    <xf numFmtId="49" fontId="66" fillId="0" borderId="0" xfId="0" applyNumberFormat="1" applyFont="1" applyAlignment="1">
      <alignment horizontal="left" vertical="top" indent="3"/>
    </xf>
    <xf numFmtId="186" fontId="66" fillId="0" borderId="31" xfId="0" applyNumberFormat="1" applyFont="1" applyBorder="1" applyAlignment="1">
      <alignment horizontal="right" vertical="top"/>
    </xf>
    <xf numFmtId="185" fontId="66" fillId="0" borderId="31" xfId="0" applyNumberFormat="1" applyFont="1" applyBorder="1" applyAlignment="1">
      <alignment horizontal="right" vertical="top"/>
    </xf>
    <xf numFmtId="185" fontId="65" fillId="0" borderId="31" xfId="0" applyNumberFormat="1" applyFont="1" applyBorder="1" applyAlignment="1">
      <alignment horizontal="right" vertical="top"/>
    </xf>
    <xf numFmtId="171" fontId="65" fillId="0" borderId="31" xfId="0" applyNumberFormat="1" applyFont="1" applyBorder="1" applyAlignment="1">
      <alignment horizontal="right" vertical="top"/>
    </xf>
    <xf numFmtId="170" fontId="65" fillId="0" borderId="31" xfId="0" applyNumberFormat="1" applyFont="1" applyBorder="1" applyAlignment="1">
      <alignment horizontal="right" vertical="top"/>
    </xf>
    <xf numFmtId="186" fontId="65" fillId="0" borderId="0" xfId="0" applyNumberFormat="1" applyFont="1" applyAlignment="1">
      <alignment horizontal="right" vertical="top"/>
    </xf>
    <xf numFmtId="171" fontId="70" fillId="0" borderId="31" xfId="0" applyNumberFormat="1" applyFont="1" applyBorder="1" applyAlignment="1">
      <alignment horizontal="right" vertical="top"/>
    </xf>
    <xf numFmtId="49" fontId="70" fillId="0" borderId="35" xfId="0" applyNumberFormat="1" applyFont="1" applyBorder="1" applyAlignment="1">
      <alignment horizontal="left" vertical="top" indent="2"/>
    </xf>
    <xf numFmtId="171" fontId="70" fillId="0" borderId="35" xfId="0" applyNumberFormat="1" applyFont="1" applyBorder="1" applyAlignment="1">
      <alignment horizontal="right" vertical="top"/>
    </xf>
    <xf numFmtId="49" fontId="101" fillId="0" borderId="0" xfId="0" applyNumberFormat="1" applyFont="1" applyAlignment="1">
      <alignment vertical="top"/>
    </xf>
    <xf numFmtId="186" fontId="101" fillId="0" borderId="31" xfId="0" applyNumberFormat="1" applyFont="1" applyBorder="1" applyAlignment="1">
      <alignment horizontal="right" vertical="top"/>
    </xf>
    <xf numFmtId="170" fontId="49" fillId="0" borderId="31" xfId="0" applyNumberFormat="1" applyFont="1" applyBorder="1" applyAlignment="1">
      <alignment horizontal="right" vertical="top"/>
    </xf>
    <xf numFmtId="171" fontId="49" fillId="0" borderId="31" xfId="0" applyNumberFormat="1" applyFont="1" applyBorder="1" applyAlignment="1">
      <alignment horizontal="right" vertical="top"/>
    </xf>
    <xf numFmtId="49" fontId="49" fillId="0" borderId="0" xfId="0" applyNumberFormat="1" applyFont="1" applyAlignment="1">
      <alignment horizontal="left" vertical="top" indent="2"/>
    </xf>
    <xf numFmtId="185" fontId="49" fillId="0" borderId="0" xfId="0" applyNumberFormat="1" applyFont="1" applyAlignment="1">
      <alignment horizontal="right" vertical="top"/>
    </xf>
    <xf numFmtId="170" fontId="50" fillId="0" borderId="0" xfId="0" applyNumberFormat="1" applyFont="1" applyAlignment="1">
      <alignment horizontal="right" vertical="top"/>
    </xf>
    <xf numFmtId="171" fontId="50" fillId="0" borderId="0" xfId="0" applyNumberFormat="1" applyFont="1" applyAlignment="1">
      <alignment horizontal="right" vertical="top"/>
    </xf>
    <xf numFmtId="186" fontId="49" fillId="0" borderId="0" xfId="0" applyNumberFormat="1" applyFont="1" applyAlignment="1">
      <alignment horizontal="right" vertical="top"/>
    </xf>
    <xf numFmtId="49" fontId="49" fillId="36" borderId="0" xfId="0" applyNumberFormat="1" applyFont="1" applyFill="1" applyAlignment="1">
      <alignment horizontal="left" vertical="top" indent="2"/>
    </xf>
    <xf numFmtId="186" fontId="49" fillId="36" borderId="0" xfId="0" applyNumberFormat="1" applyFont="1" applyFill="1" applyAlignment="1">
      <alignment horizontal="right" vertical="top"/>
    </xf>
    <xf numFmtId="171" fontId="50" fillId="36" borderId="0" xfId="0" applyNumberFormat="1" applyFont="1" applyFill="1" applyAlignment="1">
      <alignment horizontal="right" vertical="top"/>
    </xf>
    <xf numFmtId="0" fontId="71" fillId="36" borderId="0" xfId="0" applyFont="1" applyFill="1"/>
    <xf numFmtId="49" fontId="101" fillId="36" borderId="0" xfId="0" applyNumberFormat="1" applyFont="1" applyFill="1" applyAlignment="1">
      <alignment vertical="top"/>
    </xf>
    <xf numFmtId="186" fontId="101" fillId="36" borderId="31" xfId="0" applyNumberFormat="1" applyFont="1" applyFill="1" applyBorder="1" applyAlignment="1">
      <alignment horizontal="right" vertical="top"/>
    </xf>
    <xf numFmtId="170" fontId="49" fillId="36" borderId="31" xfId="0" applyNumberFormat="1" applyFont="1" applyFill="1" applyBorder="1" applyAlignment="1">
      <alignment horizontal="right" vertical="top"/>
    </xf>
    <xf numFmtId="170" fontId="50" fillId="36" borderId="0" xfId="0" applyNumberFormat="1" applyFont="1" applyFill="1" applyAlignment="1">
      <alignment horizontal="right" vertical="top"/>
    </xf>
    <xf numFmtId="185" fontId="49" fillId="36" borderId="0" xfId="0" applyNumberFormat="1" applyFont="1" applyFill="1" applyAlignment="1">
      <alignment horizontal="right" vertical="top"/>
    </xf>
    <xf numFmtId="49" fontId="49" fillId="36" borderId="0" xfId="0" applyNumberFormat="1" applyFont="1" applyFill="1" applyAlignment="1">
      <alignment horizontal="left" vertical="top" indent="4"/>
    </xf>
    <xf numFmtId="49" fontId="49" fillId="36" borderId="0" xfId="0" applyNumberFormat="1" applyFont="1" applyFill="1" applyAlignment="1">
      <alignment horizontal="left" vertical="top" indent="1"/>
    </xf>
    <xf numFmtId="171" fontId="49" fillId="36" borderId="0" xfId="0" applyNumberFormat="1" applyFont="1" applyFill="1" applyAlignment="1">
      <alignment horizontal="right" vertical="top"/>
    </xf>
    <xf numFmtId="49" fontId="49" fillId="36" borderId="0" xfId="0" applyNumberFormat="1" applyFont="1" applyFill="1" applyAlignment="1">
      <alignment horizontal="left" vertical="top" indent="5"/>
    </xf>
    <xf numFmtId="49" fontId="49" fillId="0" borderId="0" xfId="0" applyNumberFormat="1" applyFont="1" applyAlignment="1">
      <alignment horizontal="left" vertical="top" indent="6"/>
    </xf>
    <xf numFmtId="49" fontId="66" fillId="37" borderId="0" xfId="0" applyNumberFormat="1" applyFont="1" applyFill="1" applyAlignment="1">
      <alignment horizontal="left" vertical="top" indent="4"/>
    </xf>
    <xf numFmtId="171" fontId="66" fillId="37" borderId="0" xfId="0" applyNumberFormat="1" applyFont="1" applyFill="1" applyAlignment="1">
      <alignment horizontal="right" vertical="top"/>
    </xf>
    <xf numFmtId="170" fontId="65" fillId="37" borderId="0" xfId="0" applyNumberFormat="1" applyFont="1" applyFill="1" applyAlignment="1">
      <alignment horizontal="right" vertical="top"/>
    </xf>
    <xf numFmtId="49" fontId="66" fillId="37" borderId="0" xfId="0" applyNumberFormat="1" applyFont="1" applyFill="1" applyAlignment="1">
      <alignment horizontal="left" vertical="top" indent="5"/>
    </xf>
    <xf numFmtId="186" fontId="66" fillId="37" borderId="0" xfId="0" applyNumberFormat="1" applyFont="1" applyFill="1" applyAlignment="1">
      <alignment horizontal="right" vertical="top"/>
    </xf>
    <xf numFmtId="49" fontId="66" fillId="37" borderId="0" xfId="0" applyNumberFormat="1" applyFont="1" applyFill="1" applyAlignment="1">
      <alignment horizontal="left" vertical="top" indent="6"/>
    </xf>
    <xf numFmtId="171" fontId="65" fillId="37" borderId="0" xfId="0" applyNumberFormat="1" applyFont="1" applyFill="1" applyAlignment="1">
      <alignment horizontal="right" vertical="top"/>
    </xf>
    <xf numFmtId="171" fontId="66" fillId="37" borderId="31" xfId="0" applyNumberFormat="1" applyFont="1" applyFill="1" applyBorder="1" applyAlignment="1">
      <alignment horizontal="right" vertical="top"/>
    </xf>
    <xf numFmtId="170" fontId="66" fillId="37" borderId="31" xfId="0" applyNumberFormat="1" applyFont="1" applyFill="1" applyBorder="1" applyAlignment="1">
      <alignment horizontal="right" vertical="top"/>
    </xf>
    <xf numFmtId="185" fontId="66" fillId="37" borderId="31" xfId="0" applyNumberFormat="1" applyFont="1" applyFill="1" applyBorder="1" applyAlignment="1">
      <alignment horizontal="right" vertical="top"/>
    </xf>
    <xf numFmtId="185" fontId="66" fillId="37" borderId="0" xfId="0" applyNumberFormat="1" applyFont="1" applyFill="1" applyAlignment="1">
      <alignment horizontal="right" vertical="top"/>
    </xf>
    <xf numFmtId="186" fontId="65" fillId="30" borderId="0" xfId="0" applyNumberFormat="1" applyFont="1" applyFill="1" applyAlignment="1">
      <alignment horizontal="right" vertical="top"/>
    </xf>
    <xf numFmtId="49" fontId="49" fillId="0" borderId="0" xfId="0" applyNumberFormat="1" applyFont="1" applyAlignment="1">
      <alignment horizontal="left" vertical="top" indent="3"/>
    </xf>
    <xf numFmtId="186" fontId="50" fillId="30" borderId="0" xfId="0" applyNumberFormat="1" applyFont="1" applyFill="1" applyAlignment="1">
      <alignment horizontal="right" vertical="top"/>
    </xf>
    <xf numFmtId="171" fontId="49" fillId="0" borderId="0" xfId="0" applyNumberFormat="1" applyFont="1" applyAlignment="1">
      <alignment horizontal="right" vertical="top"/>
    </xf>
    <xf numFmtId="49" fontId="49" fillId="0" borderId="0" xfId="0" applyNumberFormat="1" applyFont="1" applyAlignment="1">
      <alignment horizontal="left" vertical="top" indent="4"/>
    </xf>
    <xf numFmtId="170" fontId="49" fillId="0" borderId="0" xfId="0" applyNumberFormat="1" applyFont="1" applyAlignment="1">
      <alignment horizontal="right" vertical="top"/>
    </xf>
    <xf numFmtId="185" fontId="101" fillId="0" borderId="31" xfId="0" applyNumberFormat="1" applyFont="1" applyBorder="1" applyAlignment="1">
      <alignment horizontal="right" vertical="top"/>
    </xf>
    <xf numFmtId="171" fontId="101" fillId="0" borderId="31" xfId="0" applyNumberFormat="1" applyFont="1" applyBorder="1" applyAlignment="1">
      <alignment horizontal="right" vertical="top"/>
    </xf>
    <xf numFmtId="49" fontId="49" fillId="0" borderId="0" xfId="0" applyNumberFormat="1" applyFont="1" applyAlignment="1">
      <alignment horizontal="left" vertical="top" indent="1"/>
    </xf>
    <xf numFmtId="49" fontId="50" fillId="0" borderId="0" xfId="0" applyNumberFormat="1" applyFont="1" applyAlignment="1">
      <alignment horizontal="left" vertical="top" indent="2"/>
    </xf>
    <xf numFmtId="185" fontId="50" fillId="0" borderId="31" xfId="0" applyNumberFormat="1" applyFont="1" applyBorder="1" applyAlignment="1">
      <alignment horizontal="right" vertical="top"/>
    </xf>
    <xf numFmtId="170" fontId="50" fillId="0" borderId="31" xfId="0" applyNumberFormat="1" applyFont="1" applyBorder="1" applyAlignment="1">
      <alignment horizontal="right" vertical="top"/>
    </xf>
    <xf numFmtId="49" fontId="50" fillId="0" borderId="0" xfId="0" applyNumberFormat="1" applyFont="1" applyAlignment="1">
      <alignment horizontal="left" vertical="top" indent="3"/>
    </xf>
    <xf numFmtId="185" fontId="49" fillId="0" borderId="35" xfId="0" applyNumberFormat="1" applyFont="1" applyBorder="1" applyAlignment="1">
      <alignment horizontal="right" vertical="top"/>
    </xf>
    <xf numFmtId="170" fontId="49" fillId="0" borderId="35" xfId="0" applyNumberFormat="1" applyFont="1" applyBorder="1" applyAlignment="1">
      <alignment horizontal="right" vertical="top"/>
    </xf>
    <xf numFmtId="49" fontId="49" fillId="0" borderId="0" xfId="0" applyNumberFormat="1" applyFont="1" applyAlignment="1">
      <alignment horizontal="left" vertical="top" indent="5"/>
    </xf>
    <xf numFmtId="185" fontId="49" fillId="0" borderId="31" xfId="0" applyNumberFormat="1" applyFont="1" applyBorder="1" applyAlignment="1">
      <alignment horizontal="right" vertical="top"/>
    </xf>
    <xf numFmtId="185" fontId="56" fillId="0" borderId="0" xfId="0" applyNumberFormat="1" applyFont="1"/>
    <xf numFmtId="185" fontId="66" fillId="30" borderId="0" xfId="0" applyNumberFormat="1" applyFont="1" applyFill="1" applyAlignment="1">
      <alignment horizontal="right" vertical="top"/>
    </xf>
    <xf numFmtId="185" fontId="66" fillId="30" borderId="31" xfId="0" applyNumberFormat="1" applyFont="1" applyFill="1" applyBorder="1" applyAlignment="1">
      <alignment horizontal="right" vertical="top"/>
    </xf>
    <xf numFmtId="49" fontId="66" fillId="30" borderId="0" xfId="0" applyNumberFormat="1" applyFont="1" applyFill="1" applyAlignment="1">
      <alignment horizontal="left" vertical="top" indent="5"/>
    </xf>
    <xf numFmtId="171" fontId="66" fillId="30" borderId="0" xfId="0" applyNumberFormat="1" applyFont="1" applyFill="1" applyAlignment="1">
      <alignment horizontal="right" vertical="top"/>
    </xf>
    <xf numFmtId="170" fontId="65" fillId="30" borderId="0" xfId="0" applyNumberFormat="1" applyFont="1" applyFill="1" applyAlignment="1">
      <alignment horizontal="right" vertical="top"/>
    </xf>
    <xf numFmtId="171" fontId="65" fillId="30" borderId="0" xfId="0" applyNumberFormat="1" applyFont="1" applyFill="1" applyAlignment="1">
      <alignment horizontal="right" vertical="top"/>
    </xf>
    <xf numFmtId="0" fontId="93" fillId="30" borderId="0" xfId="0" applyFont="1" applyFill="1"/>
    <xf numFmtId="2" fontId="43" fillId="30" borderId="0" xfId="0" applyNumberFormat="1" applyFont="1" applyFill="1"/>
    <xf numFmtId="0" fontId="55" fillId="30" borderId="0" xfId="0" applyFont="1" applyFill="1"/>
    <xf numFmtId="185" fontId="71" fillId="0" borderId="0" xfId="0" applyNumberFormat="1" applyFont="1"/>
    <xf numFmtId="2" fontId="71" fillId="0" borderId="0" xfId="0" applyNumberFormat="1" applyFont="1"/>
    <xf numFmtId="0" fontId="74" fillId="0" borderId="32" xfId="0" applyFont="1" applyBorder="1"/>
    <xf numFmtId="171" fontId="50" fillId="0" borderId="35" xfId="0" applyNumberFormat="1" applyFont="1" applyBorder="1" applyAlignment="1">
      <alignment horizontal="right" vertical="top"/>
    </xf>
    <xf numFmtId="170" fontId="50" fillId="0" borderId="35" xfId="0" applyNumberFormat="1" applyFont="1" applyBorder="1" applyAlignment="1">
      <alignment horizontal="right" vertical="top"/>
    </xf>
    <xf numFmtId="185" fontId="50" fillId="0" borderId="35" xfId="0" applyNumberFormat="1" applyFont="1" applyBorder="1" applyAlignment="1">
      <alignment horizontal="right" vertical="top"/>
    </xf>
    <xf numFmtId="0" fontId="96" fillId="0" borderId="0" xfId="0" applyFont="1" applyAlignment="1">
      <alignment horizontal="center"/>
    </xf>
    <xf numFmtId="0" fontId="0" fillId="36" borderId="0" xfId="0" applyFill="1"/>
    <xf numFmtId="49" fontId="60" fillId="36" borderId="0" xfId="0" applyNumberFormat="1" applyFont="1" applyFill="1" applyAlignment="1">
      <alignment horizontal="left" vertical="top" indent="2"/>
    </xf>
    <xf numFmtId="171" fontId="60" fillId="36" borderId="0" xfId="0" applyNumberFormat="1" applyFont="1" applyFill="1" applyAlignment="1">
      <alignment horizontal="right" vertical="top"/>
    </xf>
    <xf numFmtId="170" fontId="58" fillId="36" borderId="0" xfId="0" applyNumberFormat="1" applyFont="1" applyFill="1" applyAlignment="1">
      <alignment horizontal="right" vertical="top"/>
    </xf>
    <xf numFmtId="171" fontId="58" fillId="36" borderId="0" xfId="0" applyNumberFormat="1" applyFont="1" applyFill="1" applyAlignment="1">
      <alignment horizontal="right" vertical="top"/>
    </xf>
    <xf numFmtId="185" fontId="60" fillId="36" borderId="0" xfId="0" applyNumberFormat="1" applyFont="1" applyFill="1" applyAlignment="1">
      <alignment horizontal="right" vertical="top"/>
    </xf>
    <xf numFmtId="49" fontId="66" fillId="30" borderId="0" xfId="0" applyNumberFormat="1" applyFont="1" applyFill="1" applyAlignment="1">
      <alignment horizontal="left" vertical="top" indent="2"/>
    </xf>
    <xf numFmtId="49" fontId="58" fillId="36" borderId="0" xfId="0" applyNumberFormat="1" applyFont="1" applyFill="1" applyAlignment="1">
      <alignment horizontal="left" vertical="top" indent="2"/>
    </xf>
    <xf numFmtId="185" fontId="58" fillId="36" borderId="0" xfId="0" applyNumberFormat="1" applyFont="1" applyFill="1" applyAlignment="1">
      <alignment horizontal="right" vertical="top"/>
    </xf>
    <xf numFmtId="185" fontId="58" fillId="36" borderId="31" xfId="0" applyNumberFormat="1" applyFont="1" applyFill="1" applyBorder="1" applyAlignment="1">
      <alignment horizontal="right" vertical="top"/>
    </xf>
    <xf numFmtId="171" fontId="58" fillId="30" borderId="0" xfId="0" applyNumberFormat="1" applyFont="1" applyFill="1" applyAlignment="1">
      <alignment horizontal="right" vertical="top"/>
    </xf>
    <xf numFmtId="49" fontId="57" fillId="36" borderId="0" xfId="0" applyNumberFormat="1" applyFont="1" applyFill="1" applyAlignment="1">
      <alignment vertical="top"/>
    </xf>
    <xf numFmtId="185" fontId="57" fillId="36" borderId="31" xfId="0" applyNumberFormat="1" applyFont="1" applyFill="1" applyBorder="1" applyAlignment="1">
      <alignment horizontal="right" vertical="top"/>
    </xf>
    <xf numFmtId="170" fontId="60" fillId="36" borderId="31" xfId="0" applyNumberFormat="1" applyFont="1" applyFill="1" applyBorder="1" applyAlignment="1">
      <alignment horizontal="right" vertical="top"/>
    </xf>
    <xf numFmtId="185" fontId="58" fillId="36" borderId="35" xfId="0" applyNumberFormat="1" applyFont="1" applyFill="1" applyBorder="1" applyAlignment="1">
      <alignment horizontal="right" vertical="top"/>
    </xf>
    <xf numFmtId="170" fontId="58" fillId="36" borderId="35" xfId="0" applyNumberFormat="1" applyFont="1" applyFill="1" applyBorder="1" applyAlignment="1">
      <alignment horizontal="right" vertical="top"/>
    </xf>
    <xf numFmtId="170" fontId="60" fillId="36" borderId="0" xfId="0" applyNumberFormat="1" applyFont="1" applyFill="1" applyAlignment="1">
      <alignment horizontal="right" vertical="top"/>
    </xf>
    <xf numFmtId="170" fontId="58" fillId="36" borderId="31" xfId="0" applyNumberFormat="1" applyFont="1" applyFill="1" applyBorder="1" applyAlignment="1">
      <alignment horizontal="right" vertical="top"/>
    </xf>
    <xf numFmtId="2" fontId="0" fillId="36" borderId="0" xfId="0" applyNumberFormat="1" applyFill="1"/>
    <xf numFmtId="185" fontId="0" fillId="36" borderId="0" xfId="0" applyNumberFormat="1" applyFill="1"/>
    <xf numFmtId="0" fontId="102" fillId="30" borderId="0" xfId="0" applyFont="1" applyFill="1"/>
    <xf numFmtId="49" fontId="70" fillId="30" borderId="0" xfId="0" applyNumberFormat="1" applyFont="1" applyFill="1" applyAlignment="1">
      <alignment vertical="top"/>
    </xf>
    <xf numFmtId="185" fontId="70" fillId="30" borderId="31" xfId="0" applyNumberFormat="1" applyFont="1" applyFill="1" applyBorder="1" applyAlignment="1">
      <alignment horizontal="right" vertical="top"/>
    </xf>
    <xf numFmtId="170" fontId="66" fillId="30" borderId="31" xfId="0" applyNumberFormat="1" applyFont="1" applyFill="1" applyBorder="1" applyAlignment="1">
      <alignment horizontal="right" vertical="top"/>
    </xf>
    <xf numFmtId="186" fontId="66" fillId="30" borderId="0" xfId="0" applyNumberFormat="1" applyFont="1" applyFill="1" applyAlignment="1">
      <alignment horizontal="right" vertical="top"/>
    </xf>
    <xf numFmtId="167" fontId="6" fillId="0" borderId="0" xfId="314" applyNumberFormat="1" applyFont="1" applyFill="1"/>
    <xf numFmtId="0" fontId="6" fillId="0" borderId="0" xfId="0" applyFont="1"/>
    <xf numFmtId="169" fontId="6" fillId="0" borderId="0" xfId="314" applyNumberFormat="1" applyFont="1" applyFill="1"/>
    <xf numFmtId="167" fontId="6" fillId="0" borderId="0" xfId="0" applyNumberFormat="1" applyFont="1"/>
    <xf numFmtId="0" fontId="7" fillId="0" borderId="0" xfId="0" applyFont="1" applyAlignment="1">
      <alignment vertical="top"/>
    </xf>
    <xf numFmtId="49" fontId="101" fillId="0" borderId="33" xfId="0" applyNumberFormat="1" applyFont="1" applyBorder="1" applyAlignment="1">
      <alignment horizontal="left" vertical="top" indent="2"/>
    </xf>
    <xf numFmtId="49" fontId="101" fillId="0" borderId="4" xfId="0" applyNumberFormat="1" applyFont="1" applyBorder="1" applyAlignment="1">
      <alignment horizontal="left" vertical="top" indent="2"/>
    </xf>
    <xf numFmtId="49" fontId="101" fillId="0" borderId="53" xfId="0" applyNumberFormat="1" applyFont="1" applyBorder="1" applyAlignment="1">
      <alignment horizontal="center" vertical="top"/>
    </xf>
    <xf numFmtId="49" fontId="101" fillId="0" borderId="34" xfId="0" applyNumberFormat="1" applyFont="1" applyBorder="1" applyAlignment="1">
      <alignment horizontal="left" vertical="top" indent="2"/>
    </xf>
    <xf numFmtId="49" fontId="101" fillId="0" borderId="34" xfId="0" applyNumberFormat="1" applyFont="1" applyBorder="1" applyAlignment="1">
      <alignment horizontal="center" vertical="top"/>
    </xf>
    <xf numFmtId="49" fontId="50" fillId="0" borderId="15" xfId="0" applyNumberFormat="1" applyFont="1" applyBorder="1" applyAlignment="1">
      <alignment horizontal="center" vertical="top"/>
    </xf>
    <xf numFmtId="186" fontId="101" fillId="0" borderId="35" xfId="0" applyNumberFormat="1" applyFont="1" applyBorder="1" applyAlignment="1">
      <alignment horizontal="right" vertical="top"/>
    </xf>
    <xf numFmtId="171" fontId="49" fillId="0" borderId="35" xfId="0" applyNumberFormat="1" applyFont="1" applyBorder="1" applyAlignment="1">
      <alignment horizontal="right" vertical="top"/>
    </xf>
    <xf numFmtId="49" fontId="57" fillId="0" borderId="33" xfId="0" applyNumberFormat="1" applyFont="1" applyBorder="1" applyAlignment="1">
      <alignment horizontal="left" vertical="top" indent="3"/>
    </xf>
    <xf numFmtId="167" fontId="85" fillId="36" borderId="0" xfId="138" applyFont="1" applyFill="1"/>
    <xf numFmtId="167" fontId="96" fillId="30" borderId="0" xfId="0" applyNumberFormat="1" applyFont="1" applyFill="1"/>
    <xf numFmtId="0" fontId="96" fillId="30" borderId="0" xfId="0" applyFont="1" applyFill="1"/>
    <xf numFmtId="0" fontId="76" fillId="52" borderId="0" xfId="0" applyFont="1" applyFill="1" applyAlignment="1">
      <alignment horizontal="center"/>
    </xf>
    <xf numFmtId="0" fontId="76" fillId="53" borderId="0" xfId="0" applyFont="1" applyFill="1" applyAlignment="1">
      <alignment horizontal="center"/>
    </xf>
    <xf numFmtId="14" fontId="76" fillId="0" borderId="88" xfId="0" applyNumberFormat="1" applyFont="1" applyBorder="1" applyAlignment="1">
      <alignment horizontal="center"/>
    </xf>
    <xf numFmtId="0" fontId="76" fillId="0" borderId="88" xfId="0" applyFont="1" applyBorder="1" applyAlignment="1">
      <alignment horizontal="center"/>
    </xf>
    <xf numFmtId="187" fontId="76" fillId="0" borderId="88" xfId="141" applyNumberFormat="1" applyFont="1" applyBorder="1" applyAlignment="1">
      <alignment horizontal="center"/>
    </xf>
    <xf numFmtId="165" fontId="76" fillId="0" borderId="88" xfId="0" applyNumberFormat="1" applyFont="1" applyBorder="1" applyAlignment="1">
      <alignment horizontal="center"/>
    </xf>
    <xf numFmtId="165" fontId="76" fillId="0" borderId="24" xfId="0" applyNumberFormat="1" applyFont="1" applyBorder="1" applyAlignment="1">
      <alignment horizontal="center"/>
    </xf>
    <xf numFmtId="165" fontId="76" fillId="0" borderId="0" xfId="0" applyNumberFormat="1" applyFont="1" applyAlignment="1">
      <alignment horizontal="center"/>
    </xf>
    <xf numFmtId="0" fontId="76" fillId="54" borderId="15" xfId="0" applyFont="1" applyFill="1" applyBorder="1" applyAlignment="1">
      <alignment horizontal="center" vertical="center" wrapText="1"/>
    </xf>
    <xf numFmtId="187" fontId="76" fillId="54" borderId="15" xfId="141" applyNumberFormat="1" applyFont="1" applyFill="1" applyBorder="1" applyAlignment="1">
      <alignment horizontal="center" vertical="center" wrapText="1"/>
    </xf>
    <xf numFmtId="165" fontId="76" fillId="54" borderId="15" xfId="0" applyNumberFormat="1" applyFont="1" applyFill="1" applyBorder="1" applyAlignment="1">
      <alignment horizontal="center" vertical="center" wrapText="1"/>
    </xf>
    <xf numFmtId="187" fontId="76" fillId="54" borderId="88" xfId="141" applyNumberFormat="1" applyFont="1" applyFill="1" applyBorder="1" applyAlignment="1">
      <alignment horizontal="center" vertical="center" wrapText="1"/>
    </xf>
    <xf numFmtId="187" fontId="76" fillId="54" borderId="0" xfId="141" applyNumberFormat="1" applyFont="1" applyFill="1" applyBorder="1" applyAlignment="1">
      <alignment horizontal="center" vertical="center" wrapText="1"/>
    </xf>
    <xf numFmtId="0" fontId="104" fillId="0" borderId="88" xfId="0" applyFont="1" applyBorder="1"/>
    <xf numFmtId="0" fontId="76" fillId="0" borderId="37" xfId="0" applyFont="1" applyBorder="1"/>
    <xf numFmtId="175" fontId="96" fillId="30" borderId="0" xfId="0" applyNumberFormat="1" applyFont="1" applyFill="1" applyAlignment="1">
      <alignment horizontal="right"/>
    </xf>
    <xf numFmtId="2" fontId="76" fillId="33" borderId="4" xfId="0" applyNumberFormat="1" applyFont="1" applyFill="1" applyBorder="1"/>
    <xf numFmtId="187" fontId="76" fillId="0" borderId="24" xfId="0" applyNumberFormat="1" applyFont="1" applyBorder="1"/>
    <xf numFmtId="43" fontId="76" fillId="0" borderId="24" xfId="0" applyNumberFormat="1" applyFont="1" applyBorder="1"/>
    <xf numFmtId="0" fontId="76" fillId="0" borderId="34" xfId="0" applyFont="1" applyBorder="1"/>
    <xf numFmtId="187" fontId="76" fillId="0" borderId="20" xfId="0" applyNumberFormat="1" applyFont="1" applyBorder="1"/>
    <xf numFmtId="187" fontId="78" fillId="0" borderId="24" xfId="0" applyNumberFormat="1" applyFont="1" applyBorder="1"/>
    <xf numFmtId="187" fontId="76" fillId="0" borderId="24" xfId="141" applyNumberFormat="1" applyFont="1" applyFill="1" applyBorder="1"/>
    <xf numFmtId="167" fontId="108" fillId="36" borderId="0" xfId="138" applyFont="1" applyFill="1" applyBorder="1" applyAlignment="1"/>
    <xf numFmtId="168" fontId="105" fillId="36" borderId="48" xfId="143" applyFont="1" applyFill="1" applyBorder="1" applyAlignment="1">
      <alignment horizontal="center" vertical="center" wrapText="1"/>
    </xf>
    <xf numFmtId="167" fontId="105" fillId="36" borderId="70" xfId="138" applyFont="1" applyFill="1" applyBorder="1" applyAlignment="1">
      <alignment horizontal="center" vertical="center" wrapText="1"/>
    </xf>
    <xf numFmtId="168" fontId="106" fillId="36" borderId="76" xfId="143" applyFont="1" applyFill="1" applyBorder="1"/>
    <xf numFmtId="168" fontId="106" fillId="36" borderId="76" xfId="143" applyFont="1" applyFill="1" applyBorder="1" applyAlignment="1">
      <alignment horizontal="right"/>
    </xf>
    <xf numFmtId="167" fontId="106" fillId="36" borderId="76" xfId="138" applyFont="1" applyFill="1" applyBorder="1" applyAlignment="1">
      <alignment horizontal="right"/>
    </xf>
    <xf numFmtId="0" fontId="106" fillId="36" borderId="4" xfId="143" applyNumberFormat="1" applyFont="1" applyFill="1" applyBorder="1" applyAlignment="1">
      <alignment horizontal="left"/>
    </xf>
    <xf numFmtId="175" fontId="106" fillId="36" borderId="4" xfId="143" applyNumberFormat="1" applyFont="1" applyFill="1" applyBorder="1" applyAlignment="1">
      <alignment horizontal="right"/>
    </xf>
    <xf numFmtId="175" fontId="106" fillId="36" borderId="4" xfId="138" applyNumberFormat="1" applyFont="1" applyFill="1" applyBorder="1" applyAlignment="1">
      <alignment horizontal="right"/>
    </xf>
    <xf numFmtId="0" fontId="105" fillId="36" borderId="4" xfId="143" applyNumberFormat="1" applyFont="1" applyFill="1" applyBorder="1" applyAlignment="1">
      <alignment horizontal="left"/>
    </xf>
    <xf numFmtId="175" fontId="106" fillId="36" borderId="75" xfId="143" applyNumberFormat="1" applyFont="1" applyFill="1" applyBorder="1" applyAlignment="1">
      <alignment horizontal="right"/>
    </xf>
    <xf numFmtId="175" fontId="106" fillId="36" borderId="75" xfId="138" applyNumberFormat="1" applyFont="1" applyFill="1" applyBorder="1" applyAlignment="1">
      <alignment horizontal="right"/>
    </xf>
    <xf numFmtId="168" fontId="110" fillId="0" borderId="70" xfId="143" applyFont="1" applyFill="1" applyBorder="1" applyAlignment="1">
      <alignment horizontal="center" vertical="center" wrapText="1"/>
    </xf>
    <xf numFmtId="168" fontId="110" fillId="0" borderId="76" xfId="143" applyFont="1" applyFill="1" applyBorder="1"/>
    <xf numFmtId="168" fontId="110" fillId="0" borderId="76" xfId="143" applyFont="1" applyFill="1" applyBorder="1" applyAlignment="1">
      <alignment horizontal="right"/>
    </xf>
    <xf numFmtId="0" fontId="110" fillId="0" borderId="4" xfId="143" applyNumberFormat="1" applyFont="1" applyFill="1" applyBorder="1" applyAlignment="1">
      <alignment horizontal="left"/>
    </xf>
    <xf numFmtId="175" fontId="110" fillId="0" borderId="4" xfId="143" applyNumberFormat="1" applyFont="1" applyFill="1" applyBorder="1" applyAlignment="1">
      <alignment horizontal="right"/>
    </xf>
    <xf numFmtId="168" fontId="110" fillId="0" borderId="34" xfId="143" applyFont="1" applyFill="1" applyBorder="1" applyAlignment="1">
      <alignment horizontal="right"/>
    </xf>
    <xf numFmtId="175" fontId="110" fillId="0" borderId="34" xfId="143" applyNumberFormat="1" applyFont="1" applyFill="1" applyBorder="1" applyAlignment="1">
      <alignment horizontal="right"/>
    </xf>
    <xf numFmtId="175" fontId="110" fillId="0" borderId="24" xfId="157" applyNumberFormat="1" applyFont="1" applyBorder="1" applyAlignment="1">
      <alignment horizontal="center"/>
    </xf>
    <xf numFmtId="43" fontId="96" fillId="30" borderId="0" xfId="0" applyNumberFormat="1" applyFont="1" applyFill="1" applyAlignment="1">
      <alignment vertical="center" wrapText="1"/>
    </xf>
    <xf numFmtId="0" fontId="96" fillId="0" borderId="63" xfId="0" applyFont="1" applyBorder="1" applyAlignment="1">
      <alignment horizontal="center" vertical="center"/>
    </xf>
    <xf numFmtId="168" fontId="96" fillId="0" borderId="63" xfId="143" applyFont="1" applyFill="1" applyBorder="1" applyAlignment="1">
      <alignment horizontal="center" vertical="center"/>
    </xf>
    <xf numFmtId="14" fontId="96" fillId="0" borderId="63" xfId="143" applyNumberFormat="1" applyFont="1" applyFill="1" applyBorder="1" applyAlignment="1">
      <alignment horizontal="center" vertical="center"/>
    </xf>
    <xf numFmtId="168" fontId="96" fillId="0" borderId="63" xfId="143" applyFont="1" applyFill="1" applyBorder="1" applyAlignment="1">
      <alignment horizontal="center" vertical="center" wrapText="1"/>
    </xf>
    <xf numFmtId="10" fontId="96" fillId="0" borderId="63" xfId="314" applyNumberFormat="1" applyFont="1" applyFill="1" applyBorder="1" applyAlignment="1">
      <alignment horizontal="center" vertical="center"/>
    </xf>
    <xf numFmtId="0" fontId="96" fillId="0" borderId="0" xfId="0" applyFont="1" applyAlignment="1">
      <alignment vertical="center" wrapText="1"/>
    </xf>
    <xf numFmtId="175" fontId="96" fillId="0" borderId="0" xfId="0" applyNumberFormat="1" applyFont="1" applyAlignment="1">
      <alignment vertical="center" wrapText="1"/>
    </xf>
    <xf numFmtId="0" fontId="96" fillId="0" borderId="0" xfId="0" applyFont="1" applyAlignment="1">
      <alignment horizontal="center" vertical="center" wrapText="1"/>
    </xf>
    <xf numFmtId="167" fontId="96" fillId="0" borderId="0" xfId="138" applyFont="1" applyFill="1" applyBorder="1"/>
    <xf numFmtId="168" fontId="94" fillId="0" borderId="0" xfId="143" applyFont="1" applyFill="1" applyBorder="1" applyAlignment="1">
      <alignment horizontal="center"/>
    </xf>
    <xf numFmtId="0" fontId="94" fillId="0" borderId="0" xfId="0" applyFont="1" applyAlignment="1">
      <alignment horizontal="center"/>
    </xf>
    <xf numFmtId="175" fontId="94" fillId="0" borderId="0" xfId="0" applyNumberFormat="1" applyFont="1" applyAlignment="1">
      <alignment horizontal="center"/>
    </xf>
    <xf numFmtId="43" fontId="94" fillId="0" borderId="0" xfId="0" applyNumberFormat="1" applyFont="1" applyAlignment="1">
      <alignment horizontal="center"/>
    </xf>
    <xf numFmtId="49" fontId="57" fillId="0" borderId="31" xfId="0" applyNumberFormat="1" applyFont="1" applyBorder="1" applyAlignment="1">
      <alignment horizontal="left" vertical="top" indent="2"/>
    </xf>
    <xf numFmtId="170" fontId="57" fillId="0" borderId="18" xfId="0" applyNumberFormat="1" applyFont="1" applyBorder="1" applyAlignment="1">
      <alignment horizontal="right" vertical="top"/>
    </xf>
    <xf numFmtId="49" fontId="57" fillId="0" borderId="53" xfId="0" applyNumberFormat="1" applyFont="1" applyBorder="1" applyAlignment="1">
      <alignment vertical="top"/>
    </xf>
    <xf numFmtId="171" fontId="57" fillId="0" borderId="19" xfId="0" applyNumberFormat="1" applyFont="1" applyBorder="1" applyAlignment="1">
      <alignment horizontal="right" vertical="top"/>
    </xf>
    <xf numFmtId="49" fontId="58" fillId="0" borderId="4" xfId="0" applyNumberFormat="1" applyFont="1" applyBorder="1" applyAlignment="1">
      <alignment horizontal="left" vertical="top" indent="2"/>
    </xf>
    <xf numFmtId="170" fontId="57" fillId="0" borderId="19" xfId="0" applyNumberFormat="1" applyFont="1" applyBorder="1" applyAlignment="1">
      <alignment horizontal="right" vertical="top"/>
    </xf>
    <xf numFmtId="49" fontId="60" fillId="0" borderId="4" xfId="0" applyNumberFormat="1" applyFont="1" applyBorder="1" applyAlignment="1">
      <alignment horizontal="left" vertical="top" indent="2"/>
    </xf>
    <xf numFmtId="49" fontId="57" fillId="0" borderId="4" xfId="0" applyNumberFormat="1" applyFont="1" applyBorder="1" applyAlignment="1">
      <alignment vertical="top"/>
    </xf>
    <xf numFmtId="49" fontId="62" fillId="0" borderId="35" xfId="0" applyNumberFormat="1" applyFont="1" applyBorder="1" applyAlignment="1">
      <alignment horizontal="left" vertical="top" indent="2"/>
    </xf>
    <xf numFmtId="171" fontId="112" fillId="0" borderId="35" xfId="0" applyNumberFormat="1" applyFont="1" applyBorder="1" applyAlignment="1">
      <alignment horizontal="right" vertical="top"/>
    </xf>
    <xf numFmtId="170" fontId="62" fillId="0" borderId="22" xfId="0" applyNumberFormat="1" applyFont="1" applyBorder="1" applyAlignment="1">
      <alignment horizontal="right" vertical="top"/>
    </xf>
    <xf numFmtId="49" fontId="62" fillId="0" borderId="1" xfId="0" applyNumberFormat="1" applyFont="1" applyBorder="1" applyAlignment="1">
      <alignment horizontal="left" vertical="top" indent="2"/>
    </xf>
    <xf numFmtId="49" fontId="57" fillId="0" borderId="53" xfId="0" applyNumberFormat="1" applyFont="1" applyBorder="1" applyAlignment="1">
      <alignment horizontal="left" vertical="top" indent="3"/>
    </xf>
    <xf numFmtId="49" fontId="62" fillId="0" borderId="31" xfId="0" applyNumberFormat="1" applyFont="1" applyBorder="1" applyAlignment="1">
      <alignment horizontal="left" vertical="top" indent="3"/>
    </xf>
    <xf numFmtId="49" fontId="62" fillId="0" borderId="34" xfId="0" applyNumberFormat="1" applyFont="1" applyBorder="1" applyAlignment="1">
      <alignment horizontal="left" vertical="top" indent="3"/>
    </xf>
    <xf numFmtId="171" fontId="60" fillId="0" borderId="33" xfId="0" applyNumberFormat="1" applyFont="1" applyBorder="1" applyAlignment="1">
      <alignment horizontal="right" vertical="top"/>
    </xf>
    <xf numFmtId="49" fontId="64" fillId="0" borderId="4" xfId="0" applyNumberFormat="1" applyFont="1" applyBorder="1" applyAlignment="1">
      <alignment vertical="top"/>
    </xf>
    <xf numFmtId="49" fontId="64" fillId="0" borderId="0" xfId="0" applyNumberFormat="1" applyFont="1" applyAlignment="1">
      <alignment vertical="top"/>
    </xf>
    <xf numFmtId="170" fontId="64" fillId="0" borderId="19" xfId="0" applyNumberFormat="1" applyFont="1" applyBorder="1" applyAlignment="1">
      <alignment horizontal="right" vertical="top"/>
    </xf>
    <xf numFmtId="170" fontId="57" fillId="0" borderId="22" xfId="0" applyNumberFormat="1" applyFont="1" applyBorder="1" applyAlignment="1">
      <alignment horizontal="right" vertical="top"/>
    </xf>
    <xf numFmtId="49" fontId="57" fillId="0" borderId="1" xfId="0" applyNumberFormat="1" applyFont="1" applyBorder="1" applyAlignment="1">
      <alignment horizontal="left" vertical="top" indent="2"/>
    </xf>
    <xf numFmtId="169" fontId="42" fillId="0" borderId="88" xfId="138" applyNumberFormat="1" applyFont="1" applyFill="1" applyBorder="1" applyAlignment="1">
      <alignment vertical="top"/>
    </xf>
    <xf numFmtId="169" fontId="42" fillId="0" borderId="24" xfId="138" applyNumberFormat="1" applyFont="1" applyFill="1" applyBorder="1" applyAlignment="1">
      <alignment vertical="top"/>
    </xf>
    <xf numFmtId="169" fontId="42" fillId="0" borderId="0" xfId="138" applyNumberFormat="1" applyFont="1" applyFill="1" applyBorder="1" applyAlignment="1">
      <alignment vertical="top"/>
    </xf>
    <xf numFmtId="192" fontId="0" fillId="0" borderId="0" xfId="0" applyNumberFormat="1"/>
    <xf numFmtId="0" fontId="42" fillId="0" borderId="32" xfId="0" applyFont="1" applyBorder="1" applyAlignment="1">
      <alignment vertical="top"/>
    </xf>
    <xf numFmtId="0" fontId="113" fillId="0" borderId="32" xfId="0" applyFont="1" applyBorder="1" applyAlignment="1">
      <alignment vertical="top"/>
    </xf>
    <xf numFmtId="0" fontId="42" fillId="0" borderId="19" xfId="228" applyFont="1" applyBorder="1" applyAlignment="1">
      <alignment vertical="top"/>
    </xf>
    <xf numFmtId="0" fontId="42" fillId="0" borderId="32" xfId="0" applyFont="1" applyBorder="1" applyAlignment="1">
      <alignment horizontal="left" vertical="top" indent="1"/>
    </xf>
    <xf numFmtId="0" fontId="42" fillId="0" borderId="32" xfId="0" applyFont="1" applyBorder="1" applyAlignment="1">
      <alignment horizontal="left" vertical="top" indent="2"/>
    </xf>
    <xf numFmtId="0" fontId="80" fillId="0" borderId="32" xfId="0" applyFont="1" applyBorder="1" applyAlignment="1">
      <alignment vertical="top"/>
    </xf>
    <xf numFmtId="0" fontId="43" fillId="0" borderId="32" xfId="0" applyFont="1" applyBorder="1" applyAlignment="1">
      <alignment vertical="top"/>
    </xf>
    <xf numFmtId="0" fontId="42" fillId="0" borderId="19" xfId="228" applyFont="1" applyBorder="1" applyAlignment="1">
      <alignment horizontal="left" vertical="top"/>
    </xf>
    <xf numFmtId="0" fontId="42" fillId="36" borderId="32" xfId="0" applyFont="1" applyFill="1" applyBorder="1" applyAlignment="1">
      <alignment horizontal="left" vertical="top" indent="1"/>
    </xf>
    <xf numFmtId="49" fontId="58" fillId="36" borderId="15" xfId="0" applyNumberFormat="1" applyFont="1" applyFill="1" applyBorder="1" applyAlignment="1">
      <alignment horizontal="center" vertical="top"/>
    </xf>
    <xf numFmtId="0" fontId="63" fillId="36" borderId="15" xfId="0" applyFont="1" applyFill="1" applyBorder="1" applyAlignment="1">
      <alignment vertical="top"/>
    </xf>
    <xf numFmtId="0" fontId="0" fillId="36" borderId="15" xfId="0" applyFill="1" applyBorder="1"/>
    <xf numFmtId="49" fontId="57" fillId="36" borderId="15" xfId="0" applyNumberFormat="1" applyFont="1" applyFill="1" applyBorder="1" applyAlignment="1">
      <alignment horizontal="left" vertical="top" indent="3"/>
    </xf>
    <xf numFmtId="49" fontId="57" fillId="36" borderId="15" xfId="0" applyNumberFormat="1" applyFont="1" applyFill="1" applyBorder="1" applyAlignment="1">
      <alignment horizontal="center" vertical="top"/>
    </xf>
    <xf numFmtId="0" fontId="55" fillId="36" borderId="15" xfId="0" applyFont="1" applyFill="1" applyBorder="1"/>
    <xf numFmtId="49" fontId="57" fillId="36" borderId="15" xfId="0" applyNumberFormat="1" applyFont="1" applyFill="1" applyBorder="1" applyAlignment="1">
      <alignment vertical="top"/>
    </xf>
    <xf numFmtId="186" fontId="57" fillId="36" borderId="15" xfId="0" applyNumberFormat="1" applyFont="1" applyFill="1" applyBorder="1" applyAlignment="1">
      <alignment horizontal="right" vertical="top"/>
    </xf>
    <xf numFmtId="171" fontId="60" fillId="36" borderId="15" xfId="0" applyNumberFormat="1" applyFont="1" applyFill="1" applyBorder="1" applyAlignment="1">
      <alignment horizontal="right" vertical="top"/>
    </xf>
    <xf numFmtId="49" fontId="60" fillId="36" borderId="15" xfId="0" applyNumberFormat="1" applyFont="1" applyFill="1" applyBorder="1" applyAlignment="1">
      <alignment horizontal="left" vertical="top" indent="2"/>
    </xf>
    <xf numFmtId="186" fontId="60" fillId="36" borderId="15" xfId="0" applyNumberFormat="1" applyFont="1" applyFill="1" applyBorder="1" applyAlignment="1">
      <alignment horizontal="right" vertical="top"/>
    </xf>
    <xf numFmtId="171" fontId="58" fillId="36" borderId="15" xfId="0" applyNumberFormat="1" applyFont="1" applyFill="1" applyBorder="1" applyAlignment="1">
      <alignment horizontal="right" vertical="top"/>
    </xf>
    <xf numFmtId="0" fontId="56" fillId="36" borderId="15" xfId="0" applyFont="1" applyFill="1" applyBorder="1"/>
    <xf numFmtId="170" fontId="60" fillId="36" borderId="15" xfId="0" applyNumberFormat="1" applyFont="1" applyFill="1" applyBorder="1" applyAlignment="1">
      <alignment horizontal="right" vertical="top"/>
    </xf>
    <xf numFmtId="49" fontId="58" fillId="36" borderId="15" xfId="0" applyNumberFormat="1" applyFont="1" applyFill="1" applyBorder="1" applyAlignment="1">
      <alignment horizontal="left" vertical="top" indent="3"/>
    </xf>
    <xf numFmtId="170" fontId="58" fillId="36" borderId="15" xfId="0" applyNumberFormat="1" applyFont="1" applyFill="1" applyBorder="1" applyAlignment="1">
      <alignment horizontal="right" vertical="top"/>
    </xf>
    <xf numFmtId="49" fontId="58" fillId="36" borderId="15" xfId="0" applyNumberFormat="1" applyFont="1" applyFill="1" applyBorder="1" applyAlignment="1">
      <alignment horizontal="left" vertical="top" indent="2"/>
    </xf>
    <xf numFmtId="186" fontId="58" fillId="36" borderId="15" xfId="0" applyNumberFormat="1" applyFont="1" applyFill="1" applyBorder="1" applyAlignment="1">
      <alignment horizontal="right" vertical="top"/>
    </xf>
    <xf numFmtId="49" fontId="62" fillId="36" borderId="15" xfId="0" applyNumberFormat="1" applyFont="1" applyFill="1" applyBorder="1" applyAlignment="1">
      <alignment horizontal="left" vertical="top" indent="4"/>
    </xf>
    <xf numFmtId="49" fontId="60" fillId="36" borderId="15" xfId="0" applyNumberFormat="1" applyFont="1" applyFill="1" applyBorder="1" applyAlignment="1">
      <alignment horizontal="left" vertical="top" indent="6"/>
    </xf>
    <xf numFmtId="49" fontId="60" fillId="36" borderId="15" xfId="0" applyNumberFormat="1" applyFont="1" applyFill="1" applyBorder="1" applyAlignment="1">
      <alignment horizontal="left" vertical="top" indent="5"/>
    </xf>
    <xf numFmtId="49" fontId="60" fillId="36" borderId="15" xfId="0" applyNumberFormat="1" applyFont="1" applyFill="1" applyBorder="1" applyAlignment="1">
      <alignment horizontal="left" vertical="top" indent="7"/>
    </xf>
    <xf numFmtId="185" fontId="60" fillId="36" borderId="15" xfId="0" applyNumberFormat="1" applyFont="1" applyFill="1" applyBorder="1" applyAlignment="1">
      <alignment horizontal="right" vertical="top"/>
    </xf>
    <xf numFmtId="49" fontId="60" fillId="36" borderId="15" xfId="0" applyNumberFormat="1" applyFont="1" applyFill="1" applyBorder="1" applyAlignment="1">
      <alignment horizontal="left" vertical="top" indent="3"/>
    </xf>
    <xf numFmtId="2" fontId="0" fillId="36" borderId="15" xfId="0" applyNumberFormat="1" applyFill="1" applyBorder="1"/>
    <xf numFmtId="49" fontId="60" fillId="36" borderId="15" xfId="0" applyNumberFormat="1" applyFont="1" applyFill="1" applyBorder="1" applyAlignment="1">
      <alignment horizontal="left" vertical="top" indent="4"/>
    </xf>
    <xf numFmtId="176" fontId="0" fillId="36" borderId="15" xfId="0" applyNumberFormat="1" applyFill="1" applyBorder="1"/>
    <xf numFmtId="2" fontId="82" fillId="36" borderId="15" xfId="0" applyNumberFormat="1" applyFont="1" applyFill="1" applyBorder="1"/>
    <xf numFmtId="2" fontId="93" fillId="36" borderId="15" xfId="0" applyNumberFormat="1" applyFont="1" applyFill="1" applyBorder="1"/>
    <xf numFmtId="185" fontId="64" fillId="36" borderId="15" xfId="0" applyNumberFormat="1" applyFont="1" applyFill="1" applyBorder="1" applyAlignment="1">
      <alignment horizontal="right" vertical="top"/>
    </xf>
    <xf numFmtId="170" fontId="64" fillId="36" borderId="15" xfId="0" applyNumberFormat="1" applyFont="1" applyFill="1" applyBorder="1" applyAlignment="1">
      <alignment horizontal="right" vertical="top"/>
    </xf>
    <xf numFmtId="186" fontId="64" fillId="36" borderId="15" xfId="0" applyNumberFormat="1" applyFont="1" applyFill="1" applyBorder="1" applyAlignment="1">
      <alignment horizontal="right" vertical="top"/>
    </xf>
    <xf numFmtId="185" fontId="57" fillId="36" borderId="15" xfId="0" applyNumberFormat="1" applyFont="1" applyFill="1" applyBorder="1" applyAlignment="1">
      <alignment horizontal="right" vertical="top"/>
    </xf>
    <xf numFmtId="185" fontId="58" fillId="36" borderId="15" xfId="0" applyNumberFormat="1" applyFont="1" applyFill="1" applyBorder="1" applyAlignment="1">
      <alignment horizontal="right" vertical="top"/>
    </xf>
    <xf numFmtId="171" fontId="0" fillId="36" borderId="15" xfId="0" applyNumberFormat="1" applyFill="1" applyBorder="1"/>
    <xf numFmtId="171" fontId="57" fillId="36" borderId="15" xfId="0" applyNumberFormat="1" applyFont="1" applyFill="1" applyBorder="1" applyAlignment="1">
      <alignment horizontal="right" vertical="top"/>
    </xf>
    <xf numFmtId="49" fontId="58" fillId="36" borderId="15" xfId="0" applyNumberFormat="1" applyFont="1" applyFill="1" applyBorder="1" applyAlignment="1">
      <alignment horizontal="left" vertical="top" indent="4"/>
    </xf>
    <xf numFmtId="0" fontId="71" fillId="36" borderId="15" xfId="0" applyFont="1" applyFill="1" applyBorder="1"/>
    <xf numFmtId="49" fontId="58" fillId="36" borderId="15" xfId="0" applyNumberFormat="1" applyFont="1" applyFill="1" applyBorder="1" applyAlignment="1">
      <alignment vertical="top"/>
    </xf>
    <xf numFmtId="0" fontId="7" fillId="0" borderId="0" xfId="0" applyFont="1" applyAlignment="1">
      <alignment horizontal="right" vertical="top"/>
    </xf>
    <xf numFmtId="0" fontId="115" fillId="0" borderId="0" xfId="0" applyFont="1" applyAlignment="1">
      <alignment horizontal="center" vertical="top"/>
    </xf>
    <xf numFmtId="0" fontId="7" fillId="0" borderId="0" xfId="0" applyFont="1" applyAlignment="1">
      <alignment horizontal="center" vertical="top"/>
    </xf>
    <xf numFmtId="0" fontId="6" fillId="36" borderId="0" xfId="0" applyFont="1" applyFill="1"/>
    <xf numFmtId="167" fontId="6" fillId="36" borderId="0" xfId="138" applyFont="1" applyFill="1"/>
    <xf numFmtId="169" fontId="6" fillId="36" borderId="0" xfId="138" applyNumberFormat="1" applyFont="1" applyFill="1"/>
    <xf numFmtId="169" fontId="6" fillId="36" borderId="45" xfId="138" applyNumberFormat="1" applyFont="1" applyFill="1" applyBorder="1"/>
    <xf numFmtId="169" fontId="6" fillId="36" borderId="19" xfId="138" applyNumberFormat="1" applyFont="1" applyFill="1" applyBorder="1" applyAlignment="1">
      <alignment horizontal="center" vertical="center"/>
    </xf>
    <xf numFmtId="167" fontId="6" fillId="36" borderId="0" xfId="0" applyNumberFormat="1" applyFont="1" applyFill="1"/>
    <xf numFmtId="169" fontId="6" fillId="36" borderId="19" xfId="138" applyNumberFormat="1" applyFont="1" applyFill="1" applyBorder="1"/>
    <xf numFmtId="167" fontId="6" fillId="36" borderId="0" xfId="314" applyNumberFormat="1" applyFont="1" applyFill="1"/>
    <xf numFmtId="169" fontId="6" fillId="36" borderId="0" xfId="0" applyNumberFormat="1" applyFont="1" applyFill="1"/>
    <xf numFmtId="167" fontId="36" fillId="36" borderId="0" xfId="0" applyNumberFormat="1" applyFont="1" applyFill="1"/>
    <xf numFmtId="169" fontId="36" fillId="36" borderId="81" xfId="138" applyNumberFormat="1" applyFont="1" applyFill="1" applyBorder="1"/>
    <xf numFmtId="168" fontId="36" fillId="36" borderId="0" xfId="0" applyNumberFormat="1" applyFont="1" applyFill="1"/>
    <xf numFmtId="0" fontId="36" fillId="36" borderId="0" xfId="0" applyFont="1" applyFill="1"/>
    <xf numFmtId="170" fontId="49" fillId="36" borderId="0" xfId="0" applyNumberFormat="1" applyFont="1" applyFill="1" applyAlignment="1">
      <alignment horizontal="right" vertical="top"/>
    </xf>
    <xf numFmtId="43" fontId="6" fillId="36" borderId="0" xfId="0" applyNumberFormat="1" applyFont="1" applyFill="1"/>
    <xf numFmtId="181" fontId="6" fillId="36" borderId="0" xfId="0" applyNumberFormat="1" applyFont="1" applyFill="1"/>
    <xf numFmtId="169" fontId="36" fillId="36" borderId="0" xfId="0" applyNumberFormat="1" applyFont="1" applyFill="1"/>
    <xf numFmtId="167" fontId="6" fillId="36" borderId="0" xfId="314" applyNumberFormat="1" applyFont="1" applyFill="1" applyBorder="1"/>
    <xf numFmtId="170" fontId="115" fillId="36" borderId="0" xfId="0" applyNumberFormat="1" applyFont="1" applyFill="1" applyAlignment="1">
      <alignment horizontal="right" vertical="top"/>
    </xf>
    <xf numFmtId="168" fontId="6" fillId="36" borderId="0" xfId="0" applyNumberFormat="1" applyFont="1" applyFill="1"/>
    <xf numFmtId="167" fontId="36" fillId="36" borderId="0" xfId="138" applyFont="1" applyFill="1"/>
    <xf numFmtId="175" fontId="6" fillId="36" borderId="0" xfId="0" applyNumberFormat="1" applyFont="1" applyFill="1"/>
    <xf numFmtId="3" fontId="6" fillId="36" borderId="0" xfId="138" applyNumberFormat="1" applyFont="1" applyFill="1" applyBorder="1" applyAlignment="1">
      <alignment horizontal="right"/>
    </xf>
    <xf numFmtId="0" fontId="42" fillId="36" borderId="0" xfId="0" applyFont="1" applyFill="1"/>
    <xf numFmtId="169" fontId="42" fillId="36" borderId="0" xfId="138" applyNumberFormat="1" applyFont="1" applyFill="1"/>
    <xf numFmtId="0" fontId="43" fillId="36" borderId="32" xfId="0" applyFont="1" applyFill="1" applyBorder="1"/>
    <xf numFmtId="169" fontId="42" fillId="36" borderId="0" xfId="138" applyNumberFormat="1" applyFont="1" applyFill="1" applyBorder="1"/>
    <xf numFmtId="0" fontId="42" fillId="36" borderId="32" xfId="0" applyFont="1" applyFill="1" applyBorder="1"/>
    <xf numFmtId="190" fontId="42" fillId="36" borderId="0" xfId="0" applyNumberFormat="1" applyFont="1" applyFill="1"/>
    <xf numFmtId="43" fontId="42" fillId="36" borderId="0" xfId="0" applyNumberFormat="1" applyFont="1" applyFill="1"/>
    <xf numFmtId="0" fontId="43" fillId="36" borderId="0" xfId="0" applyFont="1" applyFill="1"/>
    <xf numFmtId="169" fontId="42" fillId="36" borderId="0" xfId="0" applyNumberFormat="1" applyFont="1" applyFill="1"/>
    <xf numFmtId="167" fontId="42" fillId="36" borderId="0" xfId="138" applyFont="1" applyFill="1" applyBorder="1"/>
    <xf numFmtId="9" fontId="42" fillId="36" borderId="0" xfId="314" applyFont="1" applyFill="1"/>
    <xf numFmtId="167" fontId="42" fillId="36" borderId="0" xfId="314" applyNumberFormat="1" applyFont="1" applyFill="1" applyBorder="1"/>
    <xf numFmtId="167" fontId="42" fillId="36" borderId="0" xfId="0" applyNumberFormat="1" applyFont="1" applyFill="1"/>
    <xf numFmtId="168" fontId="42" fillId="36" borderId="0" xfId="0" applyNumberFormat="1" applyFont="1" applyFill="1"/>
    <xf numFmtId="2" fontId="42" fillId="36" borderId="0" xfId="0" applyNumberFormat="1" applyFont="1" applyFill="1"/>
    <xf numFmtId="0" fontId="42" fillId="36" borderId="32" xfId="0" applyFont="1" applyFill="1" applyBorder="1" applyAlignment="1">
      <alignment horizontal="left"/>
    </xf>
    <xf numFmtId="0" fontId="73" fillId="36" borderId="0" xfId="0" applyFont="1" applyFill="1"/>
    <xf numFmtId="0" fontId="117" fillId="36" borderId="0" xfId="0" applyFont="1" applyFill="1"/>
    <xf numFmtId="0" fontId="80" fillId="36" borderId="0" xfId="0" applyFont="1" applyFill="1"/>
    <xf numFmtId="169" fontId="42" fillId="36" borderId="0" xfId="138" applyNumberFormat="1" applyFont="1" applyFill="1" applyBorder="1" applyAlignment="1">
      <alignment horizontal="center" vertical="center" wrapText="1"/>
    </xf>
    <xf numFmtId="0" fontId="118" fillId="36" borderId="0" xfId="0" applyFont="1" applyFill="1"/>
    <xf numFmtId="9" fontId="80" fillId="36" borderId="0" xfId="314" applyFont="1" applyFill="1" applyBorder="1"/>
    <xf numFmtId="167" fontId="42" fillId="36" borderId="38" xfId="138" applyFont="1" applyFill="1" applyBorder="1"/>
    <xf numFmtId="0" fontId="43" fillId="36" borderId="78" xfId="0" applyFont="1" applyFill="1" applyBorder="1"/>
    <xf numFmtId="2" fontId="114" fillId="36" borderId="38" xfId="0" applyNumberFormat="1" applyFont="1" applyFill="1" applyBorder="1"/>
    <xf numFmtId="2" fontId="73" fillId="36" borderId="38" xfId="0" applyNumberFormat="1" applyFont="1" applyFill="1" applyBorder="1"/>
    <xf numFmtId="2" fontId="73" fillId="36" borderId="65" xfId="0" applyNumberFormat="1" applyFont="1" applyFill="1" applyBorder="1"/>
    <xf numFmtId="9" fontId="42" fillId="36" borderId="0" xfId="314" applyFont="1" applyFill="1" applyBorder="1"/>
    <xf numFmtId="167" fontId="42" fillId="36" borderId="0" xfId="138" applyFont="1" applyFill="1"/>
    <xf numFmtId="0" fontId="119" fillId="36" borderId="0" xfId="0" applyFont="1" applyFill="1"/>
    <xf numFmtId="0" fontId="119" fillId="36" borderId="15" xfId="0" applyFont="1" applyFill="1" applyBorder="1"/>
    <xf numFmtId="0" fontId="120" fillId="36" borderId="0" xfId="0" applyFont="1" applyFill="1"/>
    <xf numFmtId="0" fontId="42" fillId="36" borderId="0" xfId="0" applyFont="1" applyFill="1" applyAlignment="1">
      <alignment vertical="center"/>
    </xf>
    <xf numFmtId="0" fontId="122" fillId="36" borderId="0" xfId="0" applyFont="1" applyFill="1"/>
    <xf numFmtId="167" fontId="122" fillId="36" borderId="0" xfId="0" applyNumberFormat="1" applyFont="1" applyFill="1"/>
    <xf numFmtId="2" fontId="42" fillId="36" borderId="0" xfId="314" applyNumberFormat="1" applyFont="1" applyFill="1" applyBorder="1"/>
    <xf numFmtId="169" fontId="122" fillId="36" borderId="0" xfId="0" applyNumberFormat="1" applyFont="1" applyFill="1"/>
    <xf numFmtId="9" fontId="122" fillId="36" borderId="0" xfId="314" applyFont="1" applyFill="1" applyBorder="1"/>
    <xf numFmtId="49" fontId="42" fillId="36" borderId="32" xfId="0" applyNumberFormat="1" applyFont="1" applyFill="1" applyBorder="1" applyAlignment="1">
      <alignment vertical="top"/>
    </xf>
    <xf numFmtId="167" fontId="122" fillId="36" borderId="0" xfId="138" applyFont="1" applyFill="1" applyBorder="1"/>
    <xf numFmtId="0" fontId="122" fillId="36" borderId="44" xfId="0" applyFont="1" applyFill="1" applyBorder="1"/>
    <xf numFmtId="0" fontId="122" fillId="36" borderId="38" xfId="0" applyFont="1" applyFill="1" applyBorder="1"/>
    <xf numFmtId="0" fontId="42" fillId="36" borderId="0" xfId="0" applyFont="1" applyFill="1" applyAlignment="1">
      <alignment horizontal="left"/>
    </xf>
    <xf numFmtId="167" fontId="43" fillId="36" borderId="0" xfId="314" applyNumberFormat="1" applyFont="1" applyFill="1" applyBorder="1"/>
    <xf numFmtId="0" fontId="122" fillId="36" borderId="89" xfId="0" applyFont="1" applyFill="1" applyBorder="1"/>
    <xf numFmtId="0" fontId="122" fillId="36" borderId="19" xfId="0" applyFont="1" applyFill="1" applyBorder="1"/>
    <xf numFmtId="0" fontId="42" fillId="36" borderId="19" xfId="0" applyFont="1" applyFill="1" applyBorder="1"/>
    <xf numFmtId="0" fontId="122" fillId="36" borderId="38" xfId="0" applyFont="1" applyFill="1" applyBorder="1" applyAlignment="1">
      <alignment horizontal="left"/>
    </xf>
    <xf numFmtId="167" fontId="42" fillId="36" borderId="0" xfId="0" applyNumberFormat="1" applyFont="1" applyFill="1" applyAlignment="1">
      <alignment horizontal="left"/>
    </xf>
    <xf numFmtId="0" fontId="122" fillId="36" borderId="38" xfId="0" applyFont="1" applyFill="1" applyBorder="1" applyAlignment="1">
      <alignment horizontal="right"/>
    </xf>
    <xf numFmtId="43" fontId="122" fillId="36" borderId="65" xfId="0" applyNumberFormat="1" applyFont="1" applyFill="1" applyBorder="1"/>
    <xf numFmtId="169" fontId="122" fillId="36" borderId="65" xfId="0" applyNumberFormat="1" applyFont="1" applyFill="1" applyBorder="1"/>
    <xf numFmtId="0" fontId="122" fillId="36" borderId="65" xfId="0" applyFont="1" applyFill="1" applyBorder="1"/>
    <xf numFmtId="169" fontId="42" fillId="36" borderId="0" xfId="314" applyNumberFormat="1" applyFont="1" applyFill="1" applyBorder="1"/>
    <xf numFmtId="3" fontId="6" fillId="36" borderId="0" xfId="138" applyNumberFormat="1" applyFont="1" applyFill="1" applyBorder="1" applyAlignment="1">
      <alignment horizontal="right" vertical="center"/>
    </xf>
    <xf numFmtId="3" fontId="36" fillId="36" borderId="0" xfId="138" applyNumberFormat="1" applyFont="1" applyFill="1" applyBorder="1" applyAlignment="1">
      <alignment horizontal="right" vertical="center"/>
    </xf>
    <xf numFmtId="14" fontId="6" fillId="36" borderId="0" xfId="0" applyNumberFormat="1" applyFont="1" applyFill="1" applyAlignment="1">
      <alignment horizontal="left"/>
    </xf>
    <xf numFmtId="3" fontId="6" fillId="36" borderId="43" xfId="138" applyNumberFormat="1" applyFont="1" applyFill="1" applyBorder="1" applyAlignment="1">
      <alignment horizontal="right"/>
    </xf>
    <xf numFmtId="3" fontId="6" fillId="36" borderId="31" xfId="138" applyNumberFormat="1" applyFont="1" applyFill="1" applyBorder="1" applyAlignment="1">
      <alignment horizontal="right" vertical="center"/>
    </xf>
    <xf numFmtId="3" fontId="71" fillId="36" borderId="31" xfId="138" applyNumberFormat="1" applyFont="1" applyFill="1" applyBorder="1" applyAlignment="1">
      <alignment horizontal="right"/>
    </xf>
    <xf numFmtId="3" fontId="6" fillId="36" borderId="33" xfId="138" applyNumberFormat="1" applyFont="1" applyFill="1" applyBorder="1" applyAlignment="1">
      <alignment horizontal="right" vertical="center"/>
    </xf>
    <xf numFmtId="37" fontId="6" fillId="36" borderId="31" xfId="138" applyNumberFormat="1" applyFont="1" applyFill="1" applyBorder="1" applyAlignment="1">
      <alignment horizontal="right" vertical="center"/>
    </xf>
    <xf numFmtId="0" fontId="7" fillId="36" borderId="38" xfId="0" applyFont="1" applyFill="1" applyBorder="1" applyAlignment="1">
      <alignment horizontal="center" vertical="top"/>
    </xf>
    <xf numFmtId="0" fontId="116" fillId="0" borderId="0" xfId="300" applyFont="1"/>
    <xf numFmtId="167" fontId="116" fillId="0" borderId="0" xfId="142" applyFont="1" applyFill="1"/>
    <xf numFmtId="0" fontId="114" fillId="0" borderId="17" xfId="300" applyFont="1" applyBorder="1" applyAlignment="1">
      <alignment vertical="center"/>
    </xf>
    <xf numFmtId="0" fontId="114" fillId="0" borderId="17" xfId="300" applyFont="1" applyBorder="1"/>
    <xf numFmtId="0" fontId="114" fillId="0" borderId="0" xfId="300" applyFont="1" applyAlignment="1">
      <alignment horizontal="center"/>
    </xf>
    <xf numFmtId="167" fontId="116" fillId="0" borderId="0" xfId="300" applyNumberFormat="1" applyFont="1"/>
    <xf numFmtId="167" fontId="116" fillId="0" borderId="0" xfId="142" applyFont="1" applyFill="1" applyBorder="1"/>
    <xf numFmtId="0" fontId="116" fillId="0" borderId="0" xfId="300" applyFont="1" applyAlignment="1">
      <alignment horizontal="center"/>
    </xf>
    <xf numFmtId="0" fontId="36" fillId="0" borderId="0" xfId="0" applyFont="1" applyAlignment="1">
      <alignment horizontal="right" vertical="top"/>
    </xf>
    <xf numFmtId="0" fontId="114" fillId="0" borderId="0" xfId="0" applyFont="1" applyAlignment="1">
      <alignment horizontal="right" vertical="top"/>
    </xf>
    <xf numFmtId="167" fontId="6" fillId="0" borderId="0" xfId="138" applyFont="1" applyFill="1" applyBorder="1" applyAlignment="1">
      <alignment horizontal="right"/>
    </xf>
    <xf numFmtId="0" fontId="6" fillId="0" borderId="0" xfId="0" applyFont="1" applyAlignment="1">
      <alignment horizontal="right" vertical="top"/>
    </xf>
    <xf numFmtId="0" fontId="6" fillId="0" borderId="0" xfId="0" applyFont="1" applyAlignment="1">
      <alignment horizontal="right"/>
    </xf>
    <xf numFmtId="0" fontId="116" fillId="0" borderId="26" xfId="300" applyFont="1" applyBorder="1"/>
    <xf numFmtId="0" fontId="6" fillId="0" borderId="26" xfId="0" applyFont="1" applyBorder="1" applyAlignment="1">
      <alignment horizontal="right"/>
    </xf>
    <xf numFmtId="0" fontId="42" fillId="0" borderId="0" xfId="228" applyFont="1" applyAlignment="1">
      <alignment vertical="top"/>
    </xf>
    <xf numFmtId="0" fontId="43" fillId="0" borderId="36" xfId="0" applyFont="1" applyBorder="1" applyAlignment="1">
      <alignment horizontal="center" vertical="top"/>
    </xf>
    <xf numFmtId="0" fontId="43" fillId="0" borderId="20" xfId="0" applyFont="1" applyBorder="1" applyAlignment="1">
      <alignment horizontal="center" vertical="top"/>
    </xf>
    <xf numFmtId="187" fontId="42" fillId="0" borderId="37" xfId="228" applyNumberFormat="1" applyFont="1" applyBorder="1" applyAlignment="1">
      <alignment vertical="top"/>
    </xf>
    <xf numFmtId="187" fontId="42" fillId="0" borderId="50" xfId="228" applyNumberFormat="1" applyFont="1" applyBorder="1" applyAlignment="1">
      <alignment vertical="top"/>
    </xf>
    <xf numFmtId="167" fontId="42" fillId="0" borderId="0" xfId="228" applyNumberFormat="1" applyFont="1" applyAlignment="1">
      <alignment vertical="top"/>
    </xf>
    <xf numFmtId="169" fontId="42" fillId="0" borderId="27" xfId="138" applyNumberFormat="1" applyFont="1" applyFill="1" applyBorder="1" applyAlignment="1">
      <alignment vertical="top"/>
    </xf>
    <xf numFmtId="43" fontId="42" fillId="0" borderId="0" xfId="228" applyNumberFormat="1" applyFont="1" applyAlignment="1">
      <alignment vertical="top"/>
    </xf>
    <xf numFmtId="169" fontId="42" fillId="0" borderId="88" xfId="138" applyNumberFormat="1" applyFont="1" applyFill="1" applyBorder="1" applyAlignment="1">
      <alignment horizontal="right" vertical="top" indent="2"/>
    </xf>
    <xf numFmtId="169" fontId="42" fillId="0" borderId="47" xfId="138" applyNumberFormat="1" applyFont="1" applyFill="1" applyBorder="1" applyAlignment="1">
      <alignment vertical="top"/>
    </xf>
    <xf numFmtId="169" fontId="42" fillId="0" borderId="50" xfId="138" applyNumberFormat="1" applyFont="1" applyFill="1" applyBorder="1" applyAlignment="1">
      <alignment vertical="top"/>
    </xf>
    <xf numFmtId="169" fontId="43" fillId="0" borderId="88" xfId="138" applyNumberFormat="1" applyFont="1" applyFill="1" applyBorder="1" applyAlignment="1">
      <alignment horizontal="center" vertical="top"/>
    </xf>
    <xf numFmtId="169" fontId="43" fillId="0" borderId="47" xfId="138" applyNumberFormat="1" applyFont="1" applyFill="1" applyBorder="1" applyAlignment="1">
      <alignment vertical="top"/>
    </xf>
    <xf numFmtId="39" fontId="42" fillId="0" borderId="0" xfId="228" applyNumberFormat="1" applyFont="1" applyAlignment="1">
      <alignment vertical="top"/>
    </xf>
    <xf numFmtId="169" fontId="42" fillId="0" borderId="29" xfId="138" applyNumberFormat="1" applyFont="1" applyFill="1" applyBorder="1" applyAlignment="1">
      <alignment vertical="top"/>
    </xf>
    <xf numFmtId="169" fontId="42" fillId="0" borderId="51" xfId="138" applyNumberFormat="1" applyFont="1" applyFill="1" applyBorder="1" applyAlignment="1">
      <alignment vertical="top"/>
    </xf>
    <xf numFmtId="169" fontId="42" fillId="0" borderId="4" xfId="138" applyNumberFormat="1" applyFont="1" applyFill="1" applyBorder="1" applyAlignment="1">
      <alignment vertical="top"/>
    </xf>
    <xf numFmtId="169" fontId="42" fillId="0" borderId="19" xfId="138" applyNumberFormat="1" applyFont="1" applyFill="1" applyBorder="1" applyAlignment="1">
      <alignment vertical="top"/>
    </xf>
    <xf numFmtId="169" fontId="42" fillId="0" borderId="38" xfId="138" applyNumberFormat="1" applyFont="1" applyFill="1" applyBorder="1" applyAlignment="1">
      <alignment vertical="top"/>
    </xf>
    <xf numFmtId="169" fontId="43" fillId="0" borderId="15" xfId="138" applyNumberFormat="1" applyFont="1" applyFill="1" applyBorder="1" applyAlignment="1">
      <alignment horizontal="center" vertical="center"/>
    </xf>
    <xf numFmtId="169" fontId="43" fillId="0" borderId="16" xfId="138" applyNumberFormat="1" applyFont="1" applyFill="1" applyBorder="1" applyAlignment="1">
      <alignment horizontal="center" vertical="center"/>
    </xf>
    <xf numFmtId="0" fontId="42" fillId="0" borderId="19" xfId="0" applyFont="1" applyBorder="1" applyAlignment="1">
      <alignment vertical="top" wrapText="1"/>
    </xf>
    <xf numFmtId="169" fontId="43" fillId="0" borderId="24" xfId="138" applyNumberFormat="1" applyFont="1" applyFill="1" applyBorder="1" applyAlignment="1">
      <alignment vertical="top"/>
    </xf>
    <xf numFmtId="169" fontId="43" fillId="0" borderId="88" xfId="138" applyNumberFormat="1" applyFont="1" applyFill="1" applyBorder="1" applyAlignment="1">
      <alignment vertical="top"/>
    </xf>
    <xf numFmtId="169" fontId="43" fillId="0" borderId="27" xfId="138" applyNumberFormat="1" applyFont="1" applyFill="1" applyBorder="1" applyAlignment="1">
      <alignment vertical="top"/>
    </xf>
    <xf numFmtId="0" fontId="42" fillId="0" borderId="32" xfId="228" applyFont="1" applyBorder="1" applyAlignment="1">
      <alignment vertical="top"/>
    </xf>
    <xf numFmtId="0" fontId="43" fillId="0" borderId="40" xfId="0" applyFont="1" applyBorder="1" applyAlignment="1">
      <alignment horizontal="center" vertical="top"/>
    </xf>
    <xf numFmtId="0" fontId="43" fillId="0" borderId="41" xfId="0" applyFont="1" applyBorder="1" applyAlignment="1">
      <alignment horizontal="center" vertical="top"/>
    </xf>
    <xf numFmtId="169" fontId="43" fillId="0" borderId="29" xfId="138" applyNumberFormat="1" applyFont="1" applyFill="1" applyBorder="1" applyAlignment="1">
      <alignment horizontal="center" vertical="center"/>
    </xf>
    <xf numFmtId="169" fontId="43" fillId="0" borderId="51" xfId="138" applyNumberFormat="1" applyFont="1" applyFill="1" applyBorder="1" applyAlignment="1">
      <alignment horizontal="center" vertical="center"/>
    </xf>
    <xf numFmtId="0" fontId="43" fillId="0" borderId="42" xfId="0" applyFont="1" applyBorder="1" applyAlignment="1">
      <alignment vertical="top"/>
    </xf>
    <xf numFmtId="0" fontId="42" fillId="0" borderId="45" xfId="228" applyFont="1" applyBorder="1" applyAlignment="1">
      <alignment vertical="top"/>
    </xf>
    <xf numFmtId="169" fontId="42" fillId="0" borderId="46" xfId="138" applyNumberFormat="1" applyFont="1" applyFill="1" applyBorder="1" applyAlignment="1">
      <alignment vertical="top"/>
    </xf>
    <xf numFmtId="169" fontId="42" fillId="0" borderId="52" xfId="138" applyNumberFormat="1" applyFont="1" applyFill="1" applyBorder="1" applyAlignment="1">
      <alignment vertical="top"/>
    </xf>
    <xf numFmtId="169" fontId="43" fillId="0" borderId="19" xfId="138" applyNumberFormat="1" applyFont="1" applyFill="1" applyBorder="1" applyAlignment="1">
      <alignment horizontal="center" vertical="top"/>
    </xf>
    <xf numFmtId="169" fontId="43" fillId="0" borderId="48" xfId="138" applyNumberFormat="1" applyFont="1" applyFill="1" applyBorder="1" applyAlignment="1">
      <alignment vertical="top"/>
    </xf>
    <xf numFmtId="169" fontId="43" fillId="0" borderId="19" xfId="138" applyNumberFormat="1" applyFont="1" applyFill="1" applyBorder="1" applyAlignment="1">
      <alignment vertical="top"/>
    </xf>
    <xf numFmtId="169" fontId="43" fillId="0" borderId="39" xfId="138" applyNumberFormat="1" applyFont="1" applyFill="1" applyBorder="1" applyAlignment="1">
      <alignment vertical="top"/>
    </xf>
    <xf numFmtId="169" fontId="43" fillId="0" borderId="37" xfId="138" applyNumberFormat="1" applyFont="1" applyFill="1" applyBorder="1" applyAlignment="1">
      <alignment vertical="top"/>
    </xf>
    <xf numFmtId="169" fontId="43" fillId="0" borderId="50" xfId="138" applyNumberFormat="1" applyFont="1" applyFill="1" applyBorder="1" applyAlignment="1">
      <alignment vertical="top"/>
    </xf>
    <xf numFmtId="43" fontId="42" fillId="0" borderId="0" xfId="166" applyFont="1" applyFill="1" applyAlignment="1">
      <alignment vertical="top"/>
    </xf>
    <xf numFmtId="0" fontId="42" fillId="0" borderId="32" xfId="0" quotePrefix="1" applyFont="1" applyBorder="1" applyAlignment="1">
      <alignment vertical="top"/>
    </xf>
    <xf numFmtId="0" fontId="42" fillId="0" borderId="40" xfId="0" applyFont="1" applyBorder="1" applyAlignment="1">
      <alignment vertical="top"/>
    </xf>
    <xf numFmtId="0" fontId="42" fillId="0" borderId="41" xfId="228" applyFont="1" applyBorder="1" applyAlignment="1">
      <alignment vertical="top"/>
    </xf>
    <xf numFmtId="167" fontId="42" fillId="0" borderId="0" xfId="138" applyFont="1" applyFill="1" applyAlignment="1">
      <alignment vertical="top"/>
    </xf>
    <xf numFmtId="0" fontId="42" fillId="0" borderId="43" xfId="228" applyFont="1" applyBorder="1" applyAlignment="1">
      <alignment vertical="top"/>
    </xf>
    <xf numFmtId="43" fontId="42" fillId="0" borderId="43" xfId="166" applyFont="1" applyFill="1" applyBorder="1" applyAlignment="1">
      <alignment vertical="top"/>
    </xf>
    <xf numFmtId="43" fontId="42" fillId="0" borderId="44" xfId="166" applyFont="1" applyFill="1" applyBorder="1" applyAlignment="1">
      <alignment vertical="top"/>
    </xf>
    <xf numFmtId="177" fontId="42" fillId="0" borderId="38" xfId="228" applyNumberFormat="1" applyFont="1" applyBorder="1" applyAlignment="1">
      <alignment vertical="top"/>
    </xf>
    <xf numFmtId="0" fontId="43" fillId="0" borderId="32" xfId="0" applyFont="1" applyBorder="1" applyAlignment="1">
      <alignment horizontal="left" vertical="top"/>
    </xf>
    <xf numFmtId="178" fontId="42" fillId="0" borderId="0" xfId="168" applyFont="1" applyFill="1" applyBorder="1" applyAlignment="1" applyProtection="1">
      <alignment vertical="top"/>
    </xf>
    <xf numFmtId="178" fontId="43" fillId="0" borderId="0" xfId="168" applyFont="1" applyFill="1" applyBorder="1" applyAlignment="1" applyProtection="1">
      <alignment horizontal="center" vertical="top"/>
    </xf>
    <xf numFmtId="0" fontId="42" fillId="0" borderId="38" xfId="228" applyFont="1" applyBorder="1" applyAlignment="1">
      <alignment vertical="top"/>
    </xf>
    <xf numFmtId="178" fontId="42" fillId="0" borderId="32" xfId="168" applyFont="1" applyFill="1" applyBorder="1" applyAlignment="1" applyProtection="1">
      <alignment vertical="top"/>
    </xf>
    <xf numFmtId="0" fontId="43" fillId="0" borderId="32" xfId="0" applyFont="1" applyBorder="1"/>
    <xf numFmtId="178" fontId="43" fillId="0" borderId="0" xfId="168" applyFont="1" applyFill="1" applyBorder="1" applyAlignment="1" applyProtection="1">
      <alignment vertical="top"/>
    </xf>
    <xf numFmtId="0" fontId="42" fillId="0" borderId="32" xfId="0" applyFont="1" applyBorder="1"/>
    <xf numFmtId="178" fontId="43" fillId="0" borderId="0" xfId="168" applyFont="1" applyFill="1" applyBorder="1" applyAlignment="1" applyProtection="1">
      <alignment vertical="top" wrapText="1"/>
    </xf>
    <xf numFmtId="0" fontId="42" fillId="0" borderId="32" xfId="0" applyFont="1" applyBorder="1" applyAlignment="1">
      <alignment horizontal="left"/>
    </xf>
    <xf numFmtId="15" fontId="42" fillId="0" borderId="32" xfId="0" applyNumberFormat="1" applyFont="1" applyBorder="1" applyAlignment="1">
      <alignment horizontal="left"/>
    </xf>
    <xf numFmtId="178" fontId="42" fillId="0" borderId="0" xfId="168" applyFont="1" applyFill="1" applyBorder="1" applyAlignment="1" applyProtection="1">
      <alignment horizontal="right" vertical="top"/>
    </xf>
    <xf numFmtId="14" fontId="42" fillId="0" borderId="40" xfId="0" applyNumberFormat="1" applyFont="1" applyBorder="1" applyAlignment="1">
      <alignment vertical="top"/>
    </xf>
    <xf numFmtId="15" fontId="42" fillId="0" borderId="32" xfId="0" applyNumberFormat="1" applyFont="1" applyBorder="1" applyAlignment="1">
      <alignment vertical="top"/>
    </xf>
    <xf numFmtId="0" fontId="6" fillId="0" borderId="0" xfId="300" applyFont="1"/>
    <xf numFmtId="0" fontId="36" fillId="0" borderId="92" xfId="300" applyFont="1" applyBorder="1"/>
    <xf numFmtId="0" fontId="36" fillId="0" borderId="4" xfId="300" applyFont="1" applyBorder="1"/>
    <xf numFmtId="169" fontId="36" fillId="0" borderId="4" xfId="138" applyNumberFormat="1" applyFont="1" applyFill="1" applyBorder="1"/>
    <xf numFmtId="169" fontId="36" fillId="0" borderId="4" xfId="300" applyNumberFormat="1" applyFont="1" applyBorder="1"/>
    <xf numFmtId="167" fontId="36" fillId="0" borderId="4" xfId="300" applyNumberFormat="1" applyFont="1" applyBorder="1"/>
    <xf numFmtId="169" fontId="6" fillId="0" borderId="0" xfId="142" applyNumberFormat="1" applyFont="1" applyFill="1" applyBorder="1"/>
    <xf numFmtId="167" fontId="36" fillId="0" borderId="93" xfId="300" applyNumberFormat="1" applyFont="1" applyBorder="1"/>
    <xf numFmtId="0" fontId="36" fillId="0" borderId="0" xfId="300" applyFont="1" applyAlignment="1">
      <alignment horizontal="center"/>
    </xf>
    <xf numFmtId="0" fontId="36" fillId="0" borderId="28" xfId="300" applyFont="1" applyBorder="1"/>
    <xf numFmtId="0" fontId="36" fillId="0" borderId="88" xfId="300" applyFont="1" applyBorder="1"/>
    <xf numFmtId="0" fontId="36" fillId="0" borderId="88" xfId="300" applyFont="1" applyBorder="1" applyAlignment="1">
      <alignment horizontal="center"/>
    </xf>
    <xf numFmtId="0" fontId="36" fillId="0" borderId="26" xfId="300" applyFont="1" applyBorder="1"/>
    <xf numFmtId="0" fontId="36" fillId="0" borderId="30" xfId="300" applyFont="1" applyBorder="1"/>
    <xf numFmtId="0" fontId="6" fillId="0" borderId="21" xfId="300" applyFont="1" applyBorder="1"/>
    <xf numFmtId="169" fontId="36" fillId="0" borderId="88" xfId="300" applyNumberFormat="1" applyFont="1" applyBorder="1"/>
    <xf numFmtId="0" fontId="125" fillId="0" borderId="88" xfId="0" applyFont="1" applyBorder="1"/>
    <xf numFmtId="14" fontId="6" fillId="0" borderId="0" xfId="300" applyNumberFormat="1" applyFont="1"/>
    <xf numFmtId="0" fontId="6" fillId="0" borderId="88" xfId="300" applyFont="1" applyBorder="1"/>
    <xf numFmtId="0" fontId="6" fillId="0" borderId="26" xfId="300" applyFont="1" applyBorder="1" applyAlignment="1">
      <alignment horizontal="center"/>
    </xf>
    <xf numFmtId="0" fontId="6" fillId="0" borderId="30" xfId="300" applyFont="1" applyBorder="1" applyAlignment="1">
      <alignment horizontal="center"/>
    </xf>
    <xf numFmtId="0" fontId="6" fillId="0" borderId="17" xfId="300" applyFont="1" applyBorder="1"/>
    <xf numFmtId="0" fontId="6" fillId="0" borderId="17" xfId="300" applyFont="1" applyBorder="1" applyAlignment="1">
      <alignment horizontal="left"/>
    </xf>
    <xf numFmtId="0" fontId="6" fillId="0" borderId="0" xfId="300" applyFont="1" applyAlignment="1">
      <alignment horizontal="center"/>
    </xf>
    <xf numFmtId="169" fontId="6" fillId="0" borderId="0" xfId="300" applyNumberFormat="1" applyFont="1"/>
    <xf numFmtId="167" fontId="116" fillId="0" borderId="0" xfId="138" applyFont="1" applyFill="1"/>
    <xf numFmtId="0" fontId="36" fillId="0" borderId="94" xfId="300" applyFont="1" applyBorder="1" applyAlignment="1">
      <alignment horizontal="left" vertical="center"/>
    </xf>
    <xf numFmtId="0" fontId="114" fillId="0" borderId="95" xfId="300" applyFont="1" applyBorder="1" applyAlignment="1">
      <alignment vertical="center"/>
    </xf>
    <xf numFmtId="0" fontId="114" fillId="0" borderId="96" xfId="300" applyFont="1" applyBorder="1" applyAlignment="1">
      <alignment horizontal="left" vertical="center"/>
    </xf>
    <xf numFmtId="43" fontId="36" fillId="0" borderId="38" xfId="141" applyFont="1" applyFill="1" applyBorder="1" applyAlignment="1">
      <alignment horizontal="left" vertical="center" wrapText="1"/>
    </xf>
    <xf numFmtId="0" fontId="114" fillId="0" borderId="96" xfId="300" applyFont="1" applyBorder="1"/>
    <xf numFmtId="169" fontId="6" fillId="0" borderId="38" xfId="300" applyNumberFormat="1" applyFont="1" applyBorder="1"/>
    <xf numFmtId="169" fontId="116" fillId="0" borderId="38" xfId="300" applyNumberFormat="1" applyFont="1" applyBorder="1" applyAlignment="1">
      <alignment horizontal="left"/>
    </xf>
    <xf numFmtId="169" fontId="116" fillId="0" borderId="38" xfId="300" applyNumberFormat="1" applyFont="1" applyBorder="1"/>
    <xf numFmtId="0" fontId="39" fillId="0" borderId="32" xfId="300" applyFont="1" applyBorder="1"/>
    <xf numFmtId="169" fontId="6" fillId="0" borderId="98" xfId="300" applyNumberFormat="1" applyFont="1" applyBorder="1"/>
    <xf numFmtId="0" fontId="6" fillId="0" borderId="32" xfId="300" applyFont="1" applyBorder="1"/>
    <xf numFmtId="169" fontId="36" fillId="0" borderId="27" xfId="300" applyNumberFormat="1" applyFont="1" applyBorder="1"/>
    <xf numFmtId="0" fontId="36" fillId="0" borderId="32" xfId="300" applyFont="1" applyBorder="1"/>
    <xf numFmtId="169" fontId="36" fillId="0" borderId="50" xfId="300" applyNumberFormat="1" applyFont="1" applyBorder="1"/>
    <xf numFmtId="0" fontId="6" fillId="0" borderId="32" xfId="300" quotePrefix="1" applyFont="1" applyBorder="1" applyAlignment="1">
      <alignment horizontal="left"/>
    </xf>
    <xf numFmtId="0" fontId="6" fillId="0" borderId="32" xfId="300" applyFont="1" applyBorder="1" applyAlignment="1">
      <alignment horizontal="left"/>
    </xf>
    <xf numFmtId="169" fontId="36" fillId="0" borderId="47" xfId="300" applyNumberFormat="1" applyFont="1" applyBorder="1"/>
    <xf numFmtId="169" fontId="36" fillId="0" borderId="99" xfId="300" applyNumberFormat="1" applyFont="1" applyBorder="1"/>
    <xf numFmtId="169" fontId="36" fillId="0" borderId="100" xfId="300" applyNumberFormat="1" applyFont="1" applyBorder="1"/>
    <xf numFmtId="169" fontId="36" fillId="0" borderId="103" xfId="300" applyNumberFormat="1" applyFont="1" applyBorder="1" applyAlignment="1">
      <alignment horizontal="center"/>
    </xf>
    <xf numFmtId="169" fontId="36" fillId="0" borderId="38" xfId="300" applyNumberFormat="1" applyFont="1" applyBorder="1" applyAlignment="1">
      <alignment horizontal="center"/>
    </xf>
    <xf numFmtId="0" fontId="36" fillId="0" borderId="32" xfId="300" applyFont="1" applyBorder="1" applyAlignment="1">
      <alignment horizontal="center"/>
    </xf>
    <xf numFmtId="169" fontId="36" fillId="0" borderId="44" xfId="300" applyNumberFormat="1" applyFont="1" applyBorder="1"/>
    <xf numFmtId="0" fontId="6" fillId="0" borderId="104" xfId="300" applyFont="1" applyBorder="1"/>
    <xf numFmtId="169" fontId="36" fillId="0" borderId="105" xfId="300" applyNumberFormat="1" applyFont="1" applyBorder="1"/>
    <xf numFmtId="0" fontId="6" fillId="0" borderId="106" xfId="300" applyFont="1" applyBorder="1"/>
    <xf numFmtId="169" fontId="36" fillId="0" borderId="98" xfId="142" applyNumberFormat="1" applyFont="1" applyFill="1" applyBorder="1"/>
    <xf numFmtId="169" fontId="36" fillId="0" borderId="27" xfId="142" applyNumberFormat="1" applyFont="1" applyFill="1" applyBorder="1"/>
    <xf numFmtId="169" fontId="36" fillId="0" borderId="52" xfId="142" applyNumberFormat="1" applyFont="1" applyFill="1" applyBorder="1"/>
    <xf numFmtId="169" fontId="36" fillId="0" borderId="52" xfId="138" applyNumberFormat="1" applyFont="1" applyFill="1" applyBorder="1"/>
    <xf numFmtId="169" fontId="36" fillId="0" borderId="51" xfId="142" applyNumberFormat="1" applyFont="1" applyFill="1" applyBorder="1"/>
    <xf numFmtId="169" fontId="36" fillId="0" borderId="47" xfId="142" applyNumberFormat="1" applyFont="1" applyFill="1" applyBorder="1"/>
    <xf numFmtId="169" fontId="6" fillId="0" borderId="50" xfId="142" applyNumberFormat="1" applyFont="1" applyFill="1" applyBorder="1"/>
    <xf numFmtId="169" fontId="36" fillId="36" borderId="47" xfId="142" applyNumberFormat="1" applyFont="1" applyFill="1" applyBorder="1"/>
    <xf numFmtId="169" fontId="36" fillId="0" borderId="27" xfId="142" applyNumberFormat="1" applyFont="1" applyFill="1" applyBorder="1" applyAlignment="1">
      <alignment horizontal="center"/>
    </xf>
    <xf numFmtId="169" fontId="6" fillId="0" borderId="51" xfId="142" applyNumberFormat="1" applyFont="1" applyFill="1" applyBorder="1"/>
    <xf numFmtId="169" fontId="36" fillId="0" borderId="107" xfId="142" applyNumberFormat="1" applyFont="1" applyFill="1" applyBorder="1" applyAlignment="1">
      <alignment horizontal="center"/>
    </xf>
    <xf numFmtId="0" fontId="116" fillId="0" borderId="32" xfId="300" applyFont="1" applyBorder="1"/>
    <xf numFmtId="0" fontId="116" fillId="0" borderId="38" xfId="300" applyFont="1" applyBorder="1" applyAlignment="1">
      <alignment horizontal="center"/>
    </xf>
    <xf numFmtId="0" fontId="114" fillId="0" borderId="38" xfId="300" applyFont="1" applyBorder="1" applyAlignment="1">
      <alignment horizontal="right"/>
    </xf>
    <xf numFmtId="169" fontId="116" fillId="0" borderId="38" xfId="300" applyNumberFormat="1" applyFont="1" applyBorder="1" applyAlignment="1">
      <alignment horizontal="center"/>
    </xf>
    <xf numFmtId="0" fontId="116" fillId="0" borderId="38" xfId="300" applyFont="1" applyBorder="1"/>
    <xf numFmtId="169" fontId="6" fillId="0" borderId="38" xfId="138" applyNumberFormat="1" applyFont="1" applyFill="1" applyBorder="1" applyAlignment="1">
      <alignment horizontal="right"/>
    </xf>
    <xf numFmtId="0" fontId="114" fillId="0" borderId="38" xfId="0" applyFont="1" applyBorder="1" applyAlignment="1">
      <alignment horizontal="center"/>
    </xf>
    <xf numFmtId="0" fontId="6" fillId="0" borderId="38" xfId="0" applyFont="1" applyBorder="1" applyAlignment="1">
      <alignment horizontal="center" vertical="top"/>
    </xf>
    <xf numFmtId="15" fontId="116" fillId="0" borderId="32" xfId="300" applyNumberFormat="1" applyFont="1" applyBorder="1"/>
    <xf numFmtId="15" fontId="116" fillId="0" borderId="104" xfId="300" applyNumberFormat="1" applyFont="1" applyBorder="1"/>
    <xf numFmtId="0" fontId="116" fillId="0" borderId="105" xfId="300" applyFont="1" applyBorder="1"/>
    <xf numFmtId="0" fontId="116" fillId="0" borderId="106" xfId="300" applyFont="1" applyBorder="1"/>
    <xf numFmtId="0" fontId="115" fillId="0" borderId="38" xfId="0" applyFont="1" applyBorder="1" applyAlignment="1">
      <alignment horizontal="center"/>
    </xf>
    <xf numFmtId="14" fontId="116" fillId="0" borderId="32" xfId="300" applyNumberFormat="1" applyFont="1" applyBorder="1"/>
    <xf numFmtId="14" fontId="116" fillId="0" borderId="40" xfId="300" applyNumberFormat="1" applyFont="1" applyBorder="1"/>
    <xf numFmtId="0" fontId="6" fillId="0" borderId="6" xfId="300" applyFont="1" applyBorder="1" applyAlignment="1">
      <alignment horizontal="center"/>
    </xf>
    <xf numFmtId="0" fontId="7" fillId="0" borderId="6" xfId="0" applyFont="1" applyBorder="1" applyAlignment="1">
      <alignment horizontal="right" vertical="top"/>
    </xf>
    <xf numFmtId="0" fontId="6" fillId="0" borderId="65" xfId="300" applyFont="1" applyBorder="1"/>
    <xf numFmtId="0" fontId="43" fillId="36" borderId="5" xfId="0" applyFont="1" applyFill="1" applyBorder="1"/>
    <xf numFmtId="0" fontId="114" fillId="36" borderId="0" xfId="0" applyFont="1" applyFill="1"/>
    <xf numFmtId="43" fontId="114" fillId="36" borderId="6" xfId="0" applyNumberFormat="1" applyFont="1" applyFill="1" applyBorder="1"/>
    <xf numFmtId="0" fontId="119" fillId="36" borderId="22" xfId="0" applyFont="1" applyFill="1" applyBorder="1"/>
    <xf numFmtId="0" fontId="122" fillId="36" borderId="43" xfId="0" applyFont="1" applyFill="1" applyBorder="1"/>
    <xf numFmtId="0" fontId="122" fillId="36" borderId="0" xfId="0" applyFont="1" applyFill="1" applyAlignment="1">
      <alignment horizontal="left" indent="3"/>
    </xf>
    <xf numFmtId="0" fontId="122" fillId="36" borderId="0" xfId="0" applyFont="1" applyFill="1" applyAlignment="1">
      <alignment horizontal="left" indent="2"/>
    </xf>
    <xf numFmtId="0" fontId="122" fillId="36" borderId="0" xfId="0" applyFont="1" applyFill="1" applyAlignment="1">
      <alignment horizontal="left"/>
    </xf>
    <xf numFmtId="0" fontId="117" fillId="36" borderId="6" xfId="0" applyFont="1" applyFill="1" applyBorder="1"/>
    <xf numFmtId="169" fontId="122" fillId="36" borderId="6" xfId="314" applyNumberFormat="1" applyFont="1" applyFill="1" applyBorder="1"/>
    <xf numFmtId="0" fontId="117" fillId="36" borderId="43" xfId="0" applyFont="1" applyFill="1" applyBorder="1"/>
    <xf numFmtId="0" fontId="42" fillId="36" borderId="32" xfId="0" applyFont="1" applyFill="1" applyBorder="1" applyAlignment="1">
      <alignment horizontal="center"/>
    </xf>
    <xf numFmtId="0" fontId="105" fillId="36" borderId="0" xfId="0" applyFont="1" applyFill="1" applyAlignment="1">
      <alignment horizontal="center" vertical="top" wrapText="1"/>
    </xf>
    <xf numFmtId="167" fontId="106" fillId="36" borderId="0" xfId="138" applyFont="1" applyFill="1" applyBorder="1"/>
    <xf numFmtId="186" fontId="58" fillId="30" borderId="15" xfId="0" applyNumberFormat="1" applyFont="1" applyFill="1" applyBorder="1" applyAlignment="1">
      <alignment horizontal="right" vertical="top"/>
    </xf>
    <xf numFmtId="3" fontId="0" fillId="36" borderId="15" xfId="0" applyNumberFormat="1" applyFill="1" applyBorder="1"/>
    <xf numFmtId="185" fontId="58" fillId="30" borderId="15" xfId="0" applyNumberFormat="1" applyFont="1" applyFill="1" applyBorder="1" applyAlignment="1">
      <alignment horizontal="right" vertical="top"/>
    </xf>
    <xf numFmtId="185" fontId="58" fillId="54" borderId="15" xfId="0" applyNumberFormat="1" applyFont="1" applyFill="1" applyBorder="1" applyAlignment="1">
      <alignment horizontal="right" vertical="top"/>
    </xf>
    <xf numFmtId="49" fontId="60" fillId="0" borderId="15" xfId="0" applyNumberFormat="1" applyFont="1" applyBorder="1" applyAlignment="1">
      <alignment horizontal="left" vertical="top" indent="5"/>
    </xf>
    <xf numFmtId="171" fontId="58" fillId="0" borderId="15" xfId="0" applyNumberFormat="1" applyFont="1" applyBorder="1" applyAlignment="1">
      <alignment horizontal="right" vertical="top"/>
    </xf>
    <xf numFmtId="170" fontId="60" fillId="0" borderId="15" xfId="0" applyNumberFormat="1" applyFont="1" applyBorder="1" applyAlignment="1">
      <alignment horizontal="right" vertical="top"/>
    </xf>
    <xf numFmtId="185" fontId="58" fillId="0" borderId="15" xfId="0" applyNumberFormat="1" applyFont="1" applyBorder="1" applyAlignment="1">
      <alignment horizontal="right" vertical="top"/>
    </xf>
    <xf numFmtId="49" fontId="57" fillId="0" borderId="15" xfId="0" applyNumberFormat="1" applyFont="1" applyBorder="1" applyAlignment="1">
      <alignment vertical="top"/>
    </xf>
    <xf numFmtId="186" fontId="57" fillId="0" borderId="15" xfId="0" applyNumberFormat="1" applyFont="1" applyBorder="1" applyAlignment="1">
      <alignment horizontal="right" vertical="top"/>
    </xf>
    <xf numFmtId="0" fontId="71" fillId="0" borderId="15" xfId="0" applyFont="1" applyBorder="1"/>
    <xf numFmtId="2" fontId="0" fillId="0" borderId="15" xfId="0" applyNumberFormat="1" applyBorder="1"/>
    <xf numFmtId="49" fontId="60" fillId="62" borderId="15" xfId="0" applyNumberFormat="1" applyFont="1" applyFill="1" applyBorder="1" applyAlignment="1">
      <alignment horizontal="left" vertical="top" indent="5"/>
    </xf>
    <xf numFmtId="171" fontId="58" fillId="62" borderId="15" xfId="0" applyNumberFormat="1" applyFont="1" applyFill="1" applyBorder="1" applyAlignment="1">
      <alignment horizontal="right" vertical="top"/>
    </xf>
    <xf numFmtId="170" fontId="60" fillId="62" borderId="15" xfId="0" applyNumberFormat="1" applyFont="1" applyFill="1" applyBorder="1" applyAlignment="1">
      <alignment horizontal="right" vertical="top"/>
    </xf>
    <xf numFmtId="186" fontId="58" fillId="62" borderId="15" xfId="0" applyNumberFormat="1" applyFont="1" applyFill="1" applyBorder="1" applyAlignment="1">
      <alignment horizontal="right" vertical="top"/>
    </xf>
    <xf numFmtId="0" fontId="0" fillId="62" borderId="15" xfId="0" applyFill="1" applyBorder="1"/>
    <xf numFmtId="2" fontId="0" fillId="62" borderId="15" xfId="0" applyNumberFormat="1" applyFill="1" applyBorder="1"/>
    <xf numFmtId="49" fontId="60" fillId="62" borderId="15" xfId="0" applyNumberFormat="1" applyFont="1" applyFill="1" applyBorder="1" applyAlignment="1">
      <alignment horizontal="left" vertical="top" indent="3"/>
    </xf>
    <xf numFmtId="171" fontId="60" fillId="62" borderId="15" xfId="0" applyNumberFormat="1" applyFont="1" applyFill="1" applyBorder="1" applyAlignment="1">
      <alignment horizontal="right" vertical="top"/>
    </xf>
    <xf numFmtId="170" fontId="58" fillId="62" borderId="15" xfId="0" applyNumberFormat="1" applyFont="1" applyFill="1" applyBorder="1" applyAlignment="1">
      <alignment horizontal="right" vertical="top"/>
    </xf>
    <xf numFmtId="185" fontId="60" fillId="62" borderId="15" xfId="0" applyNumberFormat="1" applyFont="1" applyFill="1" applyBorder="1" applyAlignment="1">
      <alignment horizontal="right" vertical="top"/>
    </xf>
    <xf numFmtId="49" fontId="58" fillId="62" borderId="15" xfId="0" applyNumberFormat="1" applyFont="1" applyFill="1" applyBorder="1" applyAlignment="1">
      <alignment horizontal="left" vertical="top" indent="2"/>
    </xf>
    <xf numFmtId="185" fontId="58" fillId="62" borderId="15" xfId="0" applyNumberFormat="1" applyFont="1" applyFill="1" applyBorder="1" applyAlignment="1">
      <alignment horizontal="right" vertical="top"/>
    </xf>
    <xf numFmtId="2" fontId="0" fillId="62" borderId="0" xfId="0" applyNumberFormat="1" applyFill="1"/>
    <xf numFmtId="0" fontId="127" fillId="0" borderId="0" xfId="0" applyFont="1"/>
    <xf numFmtId="43" fontId="127" fillId="0" borderId="0" xfId="141" applyFont="1"/>
    <xf numFmtId="49" fontId="126" fillId="0" borderId="0" xfId="0" applyNumberFormat="1" applyFont="1" applyAlignment="1">
      <alignment horizontal="left" vertical="top" indent="2"/>
    </xf>
    <xf numFmtId="49" fontId="127" fillId="0" borderId="0" xfId="0" applyNumberFormat="1" applyFont="1" applyAlignment="1">
      <alignment horizontal="center" vertical="top"/>
    </xf>
    <xf numFmtId="49" fontId="127" fillId="0" borderId="0" xfId="0" applyNumberFormat="1" applyFont="1" applyAlignment="1">
      <alignment vertical="top"/>
    </xf>
    <xf numFmtId="170" fontId="127" fillId="0" borderId="0" xfId="0" applyNumberFormat="1" applyFont="1" applyAlignment="1">
      <alignment horizontal="right" vertical="top"/>
    </xf>
    <xf numFmtId="43" fontId="126" fillId="0" borderId="49" xfId="141" applyFont="1" applyBorder="1"/>
    <xf numFmtId="0" fontId="126" fillId="0" borderId="0" xfId="0" applyFont="1"/>
    <xf numFmtId="0" fontId="127" fillId="0" borderId="0" xfId="0" applyFont="1" applyAlignment="1">
      <alignment horizontal="right"/>
    </xf>
    <xf numFmtId="2" fontId="127" fillId="0" borderId="0" xfId="0" applyNumberFormat="1" applyFont="1"/>
    <xf numFmtId="2" fontId="126" fillId="0" borderId="49" xfId="0" applyNumberFormat="1" applyFont="1" applyBorder="1"/>
    <xf numFmtId="2" fontId="126" fillId="0" borderId="0" xfId="0" applyNumberFormat="1" applyFont="1"/>
    <xf numFmtId="0" fontId="126" fillId="0" borderId="49" xfId="0" applyFont="1" applyBorder="1"/>
    <xf numFmtId="0" fontId="127" fillId="0" borderId="49" xfId="0" applyFont="1" applyBorder="1"/>
    <xf numFmtId="17" fontId="127" fillId="0" borderId="0" xfId="0" applyNumberFormat="1" applyFont="1" applyAlignment="1">
      <alignment horizontal="left"/>
    </xf>
    <xf numFmtId="0" fontId="127" fillId="0" borderId="31" xfId="0" applyFont="1" applyBorder="1"/>
    <xf numFmtId="187" fontId="127" fillId="0" borderId="0" xfId="0" applyNumberFormat="1" applyFont="1"/>
    <xf numFmtId="0" fontId="0" fillId="63" borderId="0" xfId="0" applyFill="1"/>
    <xf numFmtId="0" fontId="128" fillId="63" borderId="0" xfId="0" applyFont="1" applyFill="1" applyAlignment="1">
      <alignment vertical="center" wrapText="1"/>
    </xf>
    <xf numFmtId="167" fontId="124" fillId="0" borderId="24" xfId="166" applyNumberFormat="1" applyFont="1" applyFill="1" applyBorder="1" applyAlignment="1">
      <alignment horizontal="center" vertical="center"/>
    </xf>
    <xf numFmtId="167" fontId="124" fillId="0" borderId="47" xfId="166" applyNumberFormat="1" applyFont="1" applyFill="1" applyBorder="1" applyAlignment="1">
      <alignment horizontal="center" vertical="center"/>
    </xf>
    <xf numFmtId="43" fontId="129" fillId="36" borderId="0" xfId="0" applyNumberFormat="1" applyFont="1" applyFill="1"/>
    <xf numFmtId="0" fontId="42" fillId="0" borderId="19" xfId="0" applyFont="1" applyBorder="1" applyAlignment="1">
      <alignment horizontal="left" vertical="top" wrapText="1"/>
    </xf>
    <xf numFmtId="0" fontId="43" fillId="0" borderId="32" xfId="0" applyFont="1" applyBorder="1" applyAlignment="1">
      <alignment horizontal="left" vertical="top" wrapText="1"/>
    </xf>
    <xf numFmtId="0" fontId="43" fillId="0" borderId="19" xfId="0" applyFont="1" applyBorder="1" applyAlignment="1">
      <alignment horizontal="left" vertical="top" wrapText="1"/>
    </xf>
    <xf numFmtId="0" fontId="6" fillId="0" borderId="32" xfId="300" applyFont="1" applyBorder="1" applyAlignment="1">
      <alignment horizontal="left" vertical="center"/>
    </xf>
    <xf numFmtId="0" fontId="43" fillId="0" borderId="32" xfId="228" applyFont="1" applyBorder="1" applyAlignment="1">
      <alignment horizontal="center" vertical="top" wrapText="1"/>
    </xf>
    <xf numFmtId="0" fontId="43" fillId="0" borderId="38" xfId="228" applyFont="1" applyBorder="1" applyAlignment="1">
      <alignment horizontal="center" vertical="top" wrapText="1"/>
    </xf>
    <xf numFmtId="0" fontId="42" fillId="0" borderId="32" xfId="0" applyFont="1" applyBorder="1" applyAlignment="1">
      <alignment horizontal="right" vertical="top"/>
    </xf>
    <xf numFmtId="49" fontId="60" fillId="64" borderId="15" xfId="0" applyNumberFormat="1" applyFont="1" applyFill="1" applyBorder="1" applyAlignment="1">
      <alignment horizontal="left" vertical="top" indent="6"/>
    </xf>
    <xf numFmtId="186" fontId="60" fillId="64" borderId="15" xfId="0" applyNumberFormat="1" applyFont="1" applyFill="1" applyBorder="1" applyAlignment="1">
      <alignment horizontal="right" vertical="top"/>
    </xf>
    <xf numFmtId="171" fontId="58" fillId="64" borderId="15" xfId="0" applyNumberFormat="1" applyFont="1" applyFill="1" applyBorder="1" applyAlignment="1">
      <alignment horizontal="right" vertical="top"/>
    </xf>
    <xf numFmtId="0" fontId="0" fillId="64" borderId="15" xfId="0" applyFill="1" applyBorder="1"/>
    <xf numFmtId="49" fontId="60" fillId="64" borderId="15" xfId="0" applyNumberFormat="1" applyFont="1" applyFill="1" applyBorder="1" applyAlignment="1">
      <alignment horizontal="left" vertical="top" indent="7"/>
    </xf>
    <xf numFmtId="49" fontId="60" fillId="64" borderId="15" xfId="0" applyNumberFormat="1" applyFont="1" applyFill="1" applyBorder="1" applyAlignment="1">
      <alignment horizontal="left" vertical="top" indent="5"/>
    </xf>
    <xf numFmtId="49" fontId="60" fillId="64" borderId="15" xfId="0" applyNumberFormat="1" applyFont="1" applyFill="1" applyBorder="1" applyAlignment="1">
      <alignment horizontal="left" vertical="top" indent="2"/>
    </xf>
    <xf numFmtId="1" fontId="0" fillId="36" borderId="15" xfId="0" applyNumberFormat="1" applyFill="1" applyBorder="1"/>
    <xf numFmtId="169" fontId="0" fillId="36" borderId="15" xfId="138" applyNumberFormat="1" applyFont="1" applyFill="1" applyBorder="1"/>
    <xf numFmtId="169" fontId="36" fillId="0" borderId="4" xfId="138" applyNumberFormat="1" applyFont="1" applyFill="1" applyBorder="1" applyAlignment="1">
      <alignment horizontal="right"/>
    </xf>
    <xf numFmtId="169" fontId="36" fillId="0" borderId="4" xfId="142" applyNumberFormat="1" applyFont="1" applyFill="1" applyBorder="1"/>
    <xf numFmtId="3" fontId="0" fillId="0" borderId="0" xfId="0" applyNumberFormat="1"/>
    <xf numFmtId="0" fontId="55" fillId="0" borderId="0" xfId="0" applyFont="1" applyAlignment="1">
      <alignment horizontal="center"/>
    </xf>
    <xf numFmtId="49" fontId="131" fillId="0" borderId="0" xfId="0" applyNumberFormat="1" applyFont="1" applyAlignment="1">
      <alignment horizontal="left"/>
    </xf>
    <xf numFmtId="49" fontId="60" fillId="0" borderId="0" xfId="0" applyNumberFormat="1" applyFont="1" applyAlignment="1">
      <alignment horizontal="left"/>
    </xf>
    <xf numFmtId="49" fontId="62" fillId="0" borderId="0" xfId="0" applyNumberFormat="1" applyFont="1" applyAlignment="1">
      <alignment horizontal="left"/>
    </xf>
    <xf numFmtId="0" fontId="55" fillId="0" borderId="0" xfId="0" applyFont="1" applyAlignment="1">
      <alignment vertical="top"/>
    </xf>
    <xf numFmtId="0" fontId="0" fillId="0" borderId="0" xfId="0" applyAlignment="1">
      <alignment vertical="top"/>
    </xf>
    <xf numFmtId="0" fontId="0" fillId="0" borderId="0" xfId="0" applyAlignment="1">
      <alignment horizontal="right"/>
    </xf>
    <xf numFmtId="49" fontId="60" fillId="0" borderId="0" xfId="0" applyNumberFormat="1" applyFont="1" applyAlignment="1">
      <alignment vertical="top"/>
    </xf>
    <xf numFmtId="49" fontId="60" fillId="0" borderId="0" xfId="0" applyNumberFormat="1" applyFont="1" applyAlignment="1">
      <alignment horizontal="left" vertical="top"/>
    </xf>
    <xf numFmtId="2" fontId="60" fillId="0" borderId="0" xfId="0" applyNumberFormat="1" applyFont="1" applyAlignment="1">
      <alignment vertical="top"/>
    </xf>
    <xf numFmtId="187" fontId="0" fillId="0" borderId="0" xfId="141" applyNumberFormat="1" applyFont="1"/>
    <xf numFmtId="0" fontId="133" fillId="0" borderId="0" xfId="0" applyFont="1"/>
    <xf numFmtId="0" fontId="134" fillId="67" borderId="108" xfId="0" applyFont="1" applyFill="1" applyBorder="1" applyAlignment="1">
      <alignment vertical="center"/>
    </xf>
    <xf numFmtId="0" fontId="134" fillId="67" borderId="108" xfId="0" applyFont="1" applyFill="1" applyBorder="1" applyAlignment="1">
      <alignment horizontal="center" vertical="center" wrapText="1"/>
    </xf>
    <xf numFmtId="0" fontId="134" fillId="67" borderId="108" xfId="0" applyFont="1" applyFill="1" applyBorder="1" applyAlignment="1">
      <alignment horizontal="center" vertical="center"/>
    </xf>
    <xf numFmtId="0" fontId="135" fillId="66" borderId="32" xfId="0" applyFont="1" applyFill="1" applyBorder="1"/>
    <xf numFmtId="169" fontId="133" fillId="0" borderId="0" xfId="0" applyNumberFormat="1" applyFont="1"/>
    <xf numFmtId="43" fontId="133" fillId="0" borderId="0" xfId="0" applyNumberFormat="1" applyFont="1"/>
    <xf numFmtId="0" fontId="133" fillId="0" borderId="0" xfId="0" applyFont="1" applyAlignment="1">
      <alignment wrapText="1"/>
    </xf>
    <xf numFmtId="0" fontId="133" fillId="0" borderId="38" xfId="0" applyFont="1" applyBorder="1"/>
    <xf numFmtId="0" fontId="133" fillId="0" borderId="32" xfId="0" applyFont="1" applyBorder="1"/>
    <xf numFmtId="169" fontId="133" fillId="0" borderId="0" xfId="141" applyNumberFormat="1" applyFont="1" applyFill="1" applyBorder="1" applyAlignment="1">
      <alignment horizontal="center"/>
    </xf>
    <xf numFmtId="187" fontId="133" fillId="0" borderId="0" xfId="141" applyNumberFormat="1" applyFont="1" applyFill="1" applyBorder="1"/>
    <xf numFmtId="43" fontId="133" fillId="0" borderId="0" xfId="314" applyNumberFormat="1" applyFont="1" applyFill="1" applyBorder="1"/>
    <xf numFmtId="193" fontId="135" fillId="0" borderId="38" xfId="314" applyNumberFormat="1" applyFont="1" applyFill="1" applyBorder="1"/>
    <xf numFmtId="43" fontId="133" fillId="0" borderId="0" xfId="141" applyFont="1" applyFill="1" applyBorder="1"/>
    <xf numFmtId="187" fontId="133" fillId="0" borderId="0" xfId="0" applyNumberFormat="1" applyFont="1"/>
    <xf numFmtId="43" fontId="135" fillId="0" borderId="0" xfId="0" applyNumberFormat="1" applyFont="1"/>
    <xf numFmtId="0" fontId="135" fillId="0" borderId="32" xfId="0" applyFont="1" applyBorder="1"/>
    <xf numFmtId="0" fontId="136" fillId="0" borderId="32" xfId="0" applyFont="1" applyBorder="1"/>
    <xf numFmtId="187" fontId="136" fillId="0" borderId="0" xfId="141" applyNumberFormat="1" applyFont="1" applyFill="1" applyBorder="1"/>
    <xf numFmtId="193" fontId="136" fillId="0" borderId="0" xfId="314" applyNumberFormat="1" applyFont="1" applyFill="1" applyBorder="1"/>
    <xf numFmtId="9" fontId="133" fillId="0" borderId="0" xfId="314" applyFont="1" applyFill="1" applyBorder="1"/>
    <xf numFmtId="43" fontId="136" fillId="0" borderId="0" xfId="0" applyNumberFormat="1" applyFont="1"/>
    <xf numFmtId="169" fontId="136" fillId="0" borderId="0" xfId="141" applyNumberFormat="1" applyFont="1" applyFill="1" applyBorder="1" applyAlignment="1">
      <alignment horizontal="center" vertical="center" wrapText="1"/>
    </xf>
    <xf numFmtId="169" fontId="136" fillId="0" borderId="0" xfId="141" applyNumberFormat="1" applyFont="1" applyFill="1" applyBorder="1"/>
    <xf numFmtId="187" fontId="136" fillId="0" borderId="0" xfId="141" applyNumberFormat="1" applyFont="1" applyFill="1" applyBorder="1" applyAlignment="1"/>
    <xf numFmtId="10" fontId="133" fillId="0" borderId="0" xfId="314" applyNumberFormat="1" applyFont="1" applyFill="1" applyBorder="1"/>
    <xf numFmtId="0" fontId="137" fillId="0" borderId="32" xfId="0" applyFont="1" applyBorder="1"/>
    <xf numFmtId="187" fontId="136" fillId="0" borderId="0" xfId="0" applyNumberFormat="1" applyFont="1"/>
    <xf numFmtId="10" fontId="136" fillId="0" borderId="0" xfId="314" applyNumberFormat="1" applyFont="1" applyFill="1" applyBorder="1"/>
    <xf numFmtId="193" fontId="133" fillId="0" borderId="0" xfId="314" applyNumberFormat="1" applyFont="1" applyFill="1" applyBorder="1"/>
    <xf numFmtId="0" fontId="135" fillId="33" borderId="108" xfId="0" applyFont="1" applyFill="1" applyBorder="1"/>
    <xf numFmtId="169" fontId="135" fillId="33" borderId="108" xfId="0" applyNumberFormat="1" applyFont="1" applyFill="1" applyBorder="1"/>
    <xf numFmtId="9" fontId="135" fillId="33" borderId="108" xfId="314" applyFont="1" applyFill="1" applyBorder="1"/>
    <xf numFmtId="187" fontId="135" fillId="33" borderId="108" xfId="141" applyNumberFormat="1" applyFont="1" applyFill="1" applyBorder="1"/>
    <xf numFmtId="0" fontId="134" fillId="32" borderId="40" xfId="0" applyFont="1" applyFill="1" applyBorder="1"/>
    <xf numFmtId="43" fontId="134" fillId="32" borderId="6" xfId="0" applyNumberFormat="1" applyFont="1" applyFill="1" applyBorder="1"/>
    <xf numFmtId="0" fontId="133" fillId="0" borderId="6" xfId="0" applyFont="1" applyBorder="1"/>
    <xf numFmtId="0" fontId="133" fillId="0" borderId="65" xfId="0" applyFont="1" applyBorder="1"/>
    <xf numFmtId="0" fontId="139" fillId="67" borderId="32" xfId="0" applyFont="1" applyFill="1" applyBorder="1" applyAlignment="1">
      <alignment horizontal="center" vertical="center"/>
    </xf>
    <xf numFmtId="0" fontId="139" fillId="67" borderId="0" xfId="0" applyFont="1" applyFill="1" applyAlignment="1">
      <alignment horizontal="center" wrapText="1"/>
    </xf>
    <xf numFmtId="0" fontId="139" fillId="67" borderId="0" xfId="0" applyFont="1" applyFill="1" applyAlignment="1">
      <alignment horizontal="center" vertical="center" wrapText="1"/>
    </xf>
    <xf numFmtId="0" fontId="139" fillId="67" borderId="0" xfId="0" applyFont="1" applyFill="1" applyAlignment="1">
      <alignment horizontal="center" vertical="center"/>
    </xf>
    <xf numFmtId="0" fontId="139" fillId="67" borderId="38" xfId="0" applyFont="1" applyFill="1" applyBorder="1" applyAlignment="1">
      <alignment horizontal="center" vertical="center"/>
    </xf>
    <xf numFmtId="0" fontId="133" fillId="0" borderId="32" xfId="0" applyFont="1" applyBorder="1" applyAlignment="1">
      <alignment horizontal="left" vertical="center"/>
    </xf>
    <xf numFmtId="43" fontId="133" fillId="0" borderId="0" xfId="0" applyNumberFormat="1" applyFont="1" applyAlignment="1">
      <alignment horizontal="center" wrapText="1"/>
    </xf>
    <xf numFmtId="0" fontId="133" fillId="0" borderId="0" xfId="0" applyFont="1" applyAlignment="1">
      <alignment horizontal="center" vertical="center" wrapText="1"/>
    </xf>
    <xf numFmtId="43" fontId="133" fillId="0" borderId="0" xfId="0" applyNumberFormat="1" applyFont="1" applyAlignment="1">
      <alignment horizontal="center" vertical="center"/>
    </xf>
    <xf numFmtId="0" fontId="133" fillId="0" borderId="38" xfId="0" applyFont="1" applyBorder="1" applyAlignment="1">
      <alignment horizontal="center" vertical="center"/>
    </xf>
    <xf numFmtId="0" fontId="133" fillId="0" borderId="32" xfId="0" applyFont="1" applyBorder="1" applyAlignment="1">
      <alignment horizontal="center" vertical="center"/>
    </xf>
    <xf numFmtId="0" fontId="133" fillId="0" borderId="0" xfId="0" applyFont="1" applyAlignment="1">
      <alignment horizontal="center" wrapText="1"/>
    </xf>
    <xf numFmtId="0" fontId="133" fillId="0" borderId="0" xfId="0" applyFont="1" applyAlignment="1">
      <alignment horizontal="center" vertical="center"/>
    </xf>
    <xf numFmtId="0" fontId="140" fillId="0" borderId="32" xfId="0" applyFont="1" applyBorder="1"/>
    <xf numFmtId="43" fontId="135" fillId="0" borderId="38" xfId="0" applyNumberFormat="1" applyFont="1" applyBorder="1"/>
    <xf numFmtId="0" fontId="141" fillId="0" borderId="32" xfId="0" applyFont="1" applyBorder="1"/>
    <xf numFmtId="43" fontId="133" fillId="0" borderId="38" xfId="0" applyNumberFormat="1" applyFont="1" applyBorder="1"/>
    <xf numFmtId="0" fontId="139" fillId="68" borderId="32" xfId="0" applyFont="1" applyFill="1" applyBorder="1"/>
    <xf numFmtId="0" fontId="139" fillId="68" borderId="0" xfId="0" applyFont="1" applyFill="1"/>
    <xf numFmtId="43" fontId="134" fillId="68" borderId="0" xfId="0" applyNumberFormat="1" applyFont="1" applyFill="1"/>
    <xf numFmtId="43" fontId="137" fillId="30" borderId="38" xfId="0" applyNumberFormat="1" applyFont="1" applyFill="1" applyBorder="1"/>
    <xf numFmtId="0" fontId="133" fillId="0" borderId="40" xfId="0" applyFont="1" applyBorder="1"/>
    <xf numFmtId="0" fontId="133" fillId="42" borderId="44" xfId="0" applyFont="1" applyFill="1" applyBorder="1"/>
    <xf numFmtId="0" fontId="133" fillId="42" borderId="38" xfId="0" applyFont="1" applyFill="1" applyBorder="1"/>
    <xf numFmtId="0" fontId="134" fillId="67" borderId="32" xfId="0" applyFont="1" applyFill="1" applyBorder="1"/>
    <xf numFmtId="0" fontId="134" fillId="67" borderId="0" xfId="0" applyFont="1" applyFill="1"/>
    <xf numFmtId="0" fontId="134" fillId="67" borderId="38" xfId="0" applyFont="1" applyFill="1" applyBorder="1"/>
    <xf numFmtId="187" fontId="133" fillId="0" borderId="38" xfId="141" applyNumberFormat="1" applyFont="1" applyFill="1" applyBorder="1"/>
    <xf numFmtId="169" fontId="59" fillId="0" borderId="62" xfId="141" applyNumberFormat="1" applyFont="1" applyFill="1" applyBorder="1" applyAlignment="1">
      <alignment horizontal="center"/>
    </xf>
    <xf numFmtId="187" fontId="133" fillId="0" borderId="38" xfId="0" applyNumberFormat="1" applyFont="1" applyBorder="1"/>
    <xf numFmtId="169" fontId="59" fillId="0" borderId="47" xfId="141" applyNumberFormat="1" applyFont="1" applyFill="1" applyBorder="1" applyAlignment="1">
      <alignment horizontal="center"/>
    </xf>
    <xf numFmtId="0" fontId="135" fillId="0" borderId="40" xfId="0" applyFont="1" applyBorder="1"/>
    <xf numFmtId="43" fontId="135" fillId="0" borderId="67" xfId="0" applyNumberFormat="1" applyFont="1" applyBorder="1"/>
    <xf numFmtId="187" fontId="135" fillId="0" borderId="68" xfId="0" applyNumberFormat="1" applyFont="1" applyBorder="1"/>
    <xf numFmtId="0" fontId="133" fillId="67" borderId="32" xfId="0" applyFont="1" applyFill="1" applyBorder="1" applyAlignment="1">
      <alignment horizontal="center"/>
    </xf>
    <xf numFmtId="0" fontId="135" fillId="0" borderId="0" xfId="0" applyFont="1" applyAlignment="1">
      <alignment horizontal="center" wrapText="1"/>
    </xf>
    <xf numFmtId="0" fontId="135" fillId="0" borderId="38" xfId="0" applyFont="1" applyBorder="1" applyAlignment="1">
      <alignment horizontal="center" wrapText="1"/>
    </xf>
    <xf numFmtId="187" fontId="135" fillId="0" borderId="0" xfId="141" applyNumberFormat="1" applyFont="1" applyFill="1" applyBorder="1" applyAlignment="1">
      <alignment horizontal="center" wrapText="1"/>
    </xf>
    <xf numFmtId="187" fontId="135" fillId="0" borderId="38" xfId="141" applyNumberFormat="1" applyFont="1" applyFill="1" applyBorder="1" applyAlignment="1">
      <alignment horizontal="right" wrapText="1"/>
    </xf>
    <xf numFmtId="43" fontId="135" fillId="0" borderId="0" xfId="141" applyFont="1" applyFill="1" applyBorder="1"/>
    <xf numFmtId="187" fontId="135" fillId="0" borderId="38" xfId="141" applyNumberFormat="1" applyFont="1" applyFill="1" applyBorder="1"/>
    <xf numFmtId="0" fontId="133" fillId="0" borderId="32" xfId="0" applyFont="1" applyBorder="1" applyAlignment="1">
      <alignment horizontal="right"/>
    </xf>
    <xf numFmtId="0" fontId="143" fillId="65" borderId="32" xfId="344" applyFont="1" applyBorder="1"/>
    <xf numFmtId="187" fontId="143" fillId="65" borderId="0" xfId="344" applyNumberFormat="1" applyFont="1" applyBorder="1"/>
    <xf numFmtId="187" fontId="143" fillId="65" borderId="38" xfId="344" applyNumberFormat="1" applyFont="1" applyBorder="1"/>
    <xf numFmtId="187" fontId="59" fillId="0" borderId="31" xfId="141" applyNumberFormat="1" applyFont="1" applyFill="1" applyBorder="1" applyAlignment="1">
      <alignment horizontal="center"/>
    </xf>
    <xf numFmtId="1" fontId="133" fillId="0" borderId="20" xfId="0" applyNumberFormat="1" applyFont="1" applyBorder="1"/>
    <xf numFmtId="187" fontId="133" fillId="0" borderId="0" xfId="0" applyNumberFormat="1" applyFont="1" applyAlignment="1">
      <alignment horizontal="right"/>
    </xf>
    <xf numFmtId="0" fontId="144" fillId="0" borderId="32" xfId="300" applyFont="1" applyBorder="1"/>
    <xf numFmtId="186" fontId="58" fillId="0" borderId="15" xfId="0" applyNumberFormat="1" applyFont="1" applyBorder="1" applyAlignment="1">
      <alignment horizontal="right" vertical="top"/>
    </xf>
    <xf numFmtId="0" fontId="132" fillId="0" borderId="0" xfId="0" applyFont="1" applyAlignment="1">
      <alignment vertical="center"/>
    </xf>
    <xf numFmtId="49" fontId="57" fillId="0" borderId="4" xfId="0" applyNumberFormat="1" applyFont="1" applyBorder="1" applyAlignment="1">
      <alignment horizontal="left" vertical="top" indent="3"/>
    </xf>
    <xf numFmtId="49" fontId="57" fillId="0" borderId="34" xfId="0" applyNumberFormat="1" applyFont="1" applyBorder="1" applyAlignment="1">
      <alignment horizontal="left" vertical="top" indent="3"/>
    </xf>
    <xf numFmtId="2" fontId="60" fillId="0" borderId="0" xfId="0" applyNumberFormat="1" applyFont="1" applyAlignment="1">
      <alignment horizontal="right" vertical="top"/>
    </xf>
    <xf numFmtId="2" fontId="60" fillId="62" borderId="0" xfId="0" applyNumberFormat="1" applyFont="1" applyFill="1" applyAlignment="1">
      <alignment horizontal="right" vertical="top"/>
    </xf>
    <xf numFmtId="0" fontId="0" fillId="0" borderId="42" xfId="0" applyBorder="1"/>
    <xf numFmtId="0" fontId="0" fillId="0" borderId="44" xfId="0" applyBorder="1"/>
    <xf numFmtId="0" fontId="0" fillId="62" borderId="32" xfId="0" applyFill="1" applyBorder="1"/>
    <xf numFmtId="0" fontId="55" fillId="0" borderId="38" xfId="0" applyFont="1" applyBorder="1"/>
    <xf numFmtId="0" fontId="0" fillId="0" borderId="40" xfId="0" applyBorder="1"/>
    <xf numFmtId="0" fontId="0" fillId="0" borderId="65" xfId="0" applyBorder="1"/>
    <xf numFmtId="0" fontId="133" fillId="55" borderId="0" xfId="0" applyFont="1" applyFill="1"/>
    <xf numFmtId="0" fontId="133" fillId="69" borderId="0" xfId="0" applyFont="1" applyFill="1"/>
    <xf numFmtId="43" fontId="135" fillId="55" borderId="38" xfId="0" applyNumberFormat="1" applyFont="1" applyFill="1" applyBorder="1"/>
    <xf numFmtId="187" fontId="135" fillId="69" borderId="38" xfId="0" applyNumberFormat="1" applyFont="1" applyFill="1" applyBorder="1"/>
    <xf numFmtId="0" fontId="133" fillId="30" borderId="6" xfId="0" applyFont="1" applyFill="1" applyBorder="1"/>
    <xf numFmtId="187" fontId="133" fillId="30" borderId="65" xfId="0" applyNumberFormat="1" applyFont="1" applyFill="1" applyBorder="1"/>
    <xf numFmtId="49" fontId="60" fillId="34" borderId="15" xfId="0" applyNumberFormat="1" applyFont="1" applyFill="1" applyBorder="1" applyAlignment="1">
      <alignment horizontal="left" vertical="top" indent="6"/>
    </xf>
    <xf numFmtId="186" fontId="60" fillId="34" borderId="15" xfId="0" applyNumberFormat="1" applyFont="1" applyFill="1" applyBorder="1" applyAlignment="1">
      <alignment horizontal="right" vertical="top"/>
    </xf>
    <xf numFmtId="171" fontId="58" fillId="34" borderId="15" xfId="0" applyNumberFormat="1" applyFont="1" applyFill="1" applyBorder="1" applyAlignment="1">
      <alignment horizontal="right" vertical="top"/>
    </xf>
    <xf numFmtId="0" fontId="0" fillId="34" borderId="15" xfId="0" applyFill="1" applyBorder="1"/>
    <xf numFmtId="49" fontId="60" fillId="34" borderId="15" xfId="0" applyNumberFormat="1" applyFont="1" applyFill="1" applyBorder="1" applyAlignment="1">
      <alignment horizontal="left" vertical="top" indent="7"/>
    </xf>
    <xf numFmtId="49" fontId="60" fillId="34" borderId="15" xfId="0" applyNumberFormat="1" applyFont="1" applyFill="1" applyBorder="1" applyAlignment="1">
      <alignment horizontal="left" vertical="top" indent="5"/>
    </xf>
    <xf numFmtId="171" fontId="60" fillId="34" borderId="15" xfId="0" applyNumberFormat="1" applyFont="1" applyFill="1" applyBorder="1" applyAlignment="1">
      <alignment horizontal="right" vertical="top"/>
    </xf>
    <xf numFmtId="170" fontId="58" fillId="34" borderId="15" xfId="0" applyNumberFormat="1" applyFont="1" applyFill="1" applyBorder="1" applyAlignment="1">
      <alignment horizontal="right" vertical="top"/>
    </xf>
    <xf numFmtId="0" fontId="42" fillId="0" borderId="0" xfId="228" applyFont="1" applyAlignment="1">
      <alignment horizontal="center" vertical="top"/>
    </xf>
    <xf numFmtId="169" fontId="42" fillId="0" borderId="0" xfId="228" applyNumberFormat="1" applyFont="1" applyAlignment="1">
      <alignment vertical="top"/>
    </xf>
    <xf numFmtId="0" fontId="43" fillId="0" borderId="54" xfId="228" applyFont="1" applyBorder="1" applyAlignment="1">
      <alignment horizontal="center" vertical="top"/>
    </xf>
    <xf numFmtId="0" fontId="42" fillId="0" borderId="6" xfId="228" applyFont="1" applyBorder="1" applyAlignment="1">
      <alignment horizontal="left" vertical="top"/>
    </xf>
    <xf numFmtId="0" fontId="42" fillId="0" borderId="6" xfId="228" applyFont="1" applyBorder="1" applyAlignment="1">
      <alignment horizontal="center" vertical="top"/>
    </xf>
    <xf numFmtId="0" fontId="42" fillId="0" borderId="6" xfId="228" quotePrefix="1" applyFont="1" applyBorder="1" applyAlignment="1">
      <alignment horizontal="left" vertical="top" wrapText="1"/>
    </xf>
    <xf numFmtId="0" fontId="42" fillId="0" borderId="6" xfId="228" applyFont="1" applyBorder="1" applyAlignment="1">
      <alignment vertical="top"/>
    </xf>
    <xf numFmtId="38" fontId="42" fillId="0" borderId="6" xfId="0" applyNumberFormat="1" applyFont="1" applyBorder="1"/>
    <xf numFmtId="0" fontId="42" fillId="0" borderId="55" xfId="228" applyFont="1" applyBorder="1" applyAlignment="1">
      <alignment horizontal="center" vertical="top"/>
    </xf>
    <xf numFmtId="0" fontId="42" fillId="0" borderId="56" xfId="228" applyFont="1" applyBorder="1" applyAlignment="1">
      <alignment horizontal="left" vertical="top"/>
    </xf>
    <xf numFmtId="0" fontId="43" fillId="0" borderId="57" xfId="228" quotePrefix="1" applyFont="1" applyBorder="1" applyAlignment="1">
      <alignment horizontal="center" vertical="top"/>
    </xf>
    <xf numFmtId="0" fontId="43" fillId="0" borderId="58" xfId="228" applyFont="1" applyBorder="1" applyAlignment="1">
      <alignment horizontal="justify" vertical="justify"/>
    </xf>
    <xf numFmtId="0" fontId="43" fillId="0" borderId="59" xfId="228" applyFont="1" applyBorder="1" applyAlignment="1">
      <alignment horizontal="center" vertical="justify"/>
    </xf>
    <xf numFmtId="0" fontId="43" fillId="0" borderId="56" xfId="228" applyFont="1" applyBorder="1" applyAlignment="1">
      <alignment horizontal="justify" vertical="justify"/>
    </xf>
    <xf numFmtId="0" fontId="43" fillId="0" borderId="57" xfId="228" applyFont="1" applyBorder="1" applyAlignment="1">
      <alignment horizontal="center" vertical="justify"/>
    </xf>
    <xf numFmtId="0" fontId="42" fillId="0" borderId="4" xfId="228" applyFont="1" applyBorder="1" applyAlignment="1">
      <alignment horizontal="justify" vertical="justify" wrapText="1"/>
    </xf>
    <xf numFmtId="0" fontId="42" fillId="0" borderId="0" xfId="228" quotePrefix="1" applyFont="1" applyAlignment="1">
      <alignment horizontal="justify" vertical="justify" wrapText="1"/>
    </xf>
    <xf numFmtId="0" fontId="42" fillId="0" borderId="38" xfId="228" quotePrefix="1" applyFont="1" applyBorder="1" applyAlignment="1">
      <alignment horizontal="justify" vertical="justify" wrapText="1"/>
    </xf>
    <xf numFmtId="0" fontId="43" fillId="0" borderId="56" xfId="228" applyFont="1" applyBorder="1" applyAlignment="1">
      <alignment horizontal="justify" vertical="justify" wrapText="1"/>
    </xf>
    <xf numFmtId="0" fontId="43" fillId="0" borderId="57" xfId="228" applyFont="1" applyBorder="1" applyAlignment="1">
      <alignment horizontal="center" vertical="justify" wrapText="1"/>
    </xf>
    <xf numFmtId="0" fontId="42" fillId="0" borderId="0" xfId="228" applyFont="1" applyAlignment="1">
      <alignment vertical="top" wrapText="1"/>
    </xf>
    <xf numFmtId="0" fontId="42" fillId="0" borderId="56" xfId="228" applyFont="1" applyBorder="1" applyAlignment="1">
      <alignment horizontal="justify" vertical="justify"/>
    </xf>
    <xf numFmtId="0" fontId="43" fillId="0" borderId="57" xfId="228" quotePrefix="1" applyFont="1" applyBorder="1" applyAlignment="1">
      <alignment horizontal="center" vertical="justify"/>
    </xf>
    <xf numFmtId="0" fontId="43" fillId="29" borderId="58" xfId="0" applyFont="1" applyFill="1" applyBorder="1" applyAlignment="1">
      <alignment horizontal="justify" vertical="justify"/>
    </xf>
    <xf numFmtId="0" fontId="43" fillId="29" borderId="59" xfId="166" applyNumberFormat="1" applyFont="1" applyFill="1" applyBorder="1" applyAlignment="1">
      <alignment horizontal="center" vertical="justify"/>
    </xf>
    <xf numFmtId="0" fontId="42" fillId="29" borderId="60" xfId="228" quotePrefix="1" applyFont="1" applyFill="1" applyBorder="1" applyAlignment="1">
      <alignment horizontal="justify" vertical="justify" wrapText="1"/>
    </xf>
    <xf numFmtId="0" fontId="42" fillId="0" borderId="0" xfId="228" applyFont="1" applyAlignment="1">
      <alignment horizontal="justify" vertical="justify"/>
    </xf>
    <xf numFmtId="0" fontId="42" fillId="0" borderId="38" xfId="228" applyFont="1" applyBorder="1" applyAlignment="1">
      <alignment horizontal="justify" vertical="justify"/>
    </xf>
    <xf numFmtId="0" fontId="43" fillId="29" borderId="61" xfId="0" applyFont="1" applyFill="1" applyBorder="1" applyAlignment="1">
      <alignment horizontal="justify" vertical="justify"/>
    </xf>
    <xf numFmtId="0" fontId="43" fillId="29" borderId="55" xfId="166" applyNumberFormat="1" applyFont="1" applyFill="1" applyBorder="1" applyAlignment="1">
      <alignment horizontal="center" vertical="justify"/>
    </xf>
    <xf numFmtId="0" fontId="42" fillId="29" borderId="62" xfId="228" quotePrefix="1" applyFont="1" applyFill="1" applyBorder="1" applyAlignment="1">
      <alignment horizontal="justify" vertical="justify" wrapText="1"/>
    </xf>
    <xf numFmtId="0" fontId="43" fillId="0" borderId="57" xfId="166" applyNumberFormat="1" applyFont="1" applyFill="1" applyBorder="1" applyAlignment="1">
      <alignment horizontal="center" vertical="justify"/>
    </xf>
    <xf numFmtId="176" fontId="43" fillId="0" borderId="57" xfId="166" applyNumberFormat="1" applyFont="1" applyFill="1" applyBorder="1" applyAlignment="1">
      <alignment horizontal="center" vertical="justify"/>
    </xf>
    <xf numFmtId="0" fontId="42" fillId="0" borderId="63" xfId="228" applyFont="1" applyBorder="1" applyAlignment="1">
      <alignment horizontal="justify" vertical="justify"/>
    </xf>
    <xf numFmtId="0" fontId="43" fillId="0" borderId="64" xfId="166" applyNumberFormat="1" applyFont="1" applyFill="1" applyBorder="1" applyAlignment="1">
      <alignment horizontal="center" vertical="justify"/>
    </xf>
    <xf numFmtId="0" fontId="42" fillId="0" borderId="65" xfId="228" quotePrefix="1" applyFont="1" applyBorder="1" applyAlignment="1">
      <alignment horizontal="justify" vertical="justify" wrapText="1"/>
    </xf>
    <xf numFmtId="0" fontId="42" fillId="0" borderId="32" xfId="228" applyFont="1" applyBorder="1" applyAlignment="1">
      <alignment horizontal="justify" vertical="justify"/>
    </xf>
    <xf numFmtId="0" fontId="43" fillId="0" borderId="0" xfId="166" applyNumberFormat="1" applyFont="1" applyFill="1" applyBorder="1" applyAlignment="1">
      <alignment horizontal="center" vertical="justify"/>
    </xf>
    <xf numFmtId="0" fontId="43" fillId="0" borderId="0" xfId="228" quotePrefix="1" applyFont="1" applyAlignment="1">
      <alignment horizontal="center" vertical="justify"/>
    </xf>
    <xf numFmtId="0" fontId="42" fillId="0" borderId="0" xfId="228" applyFont="1" applyAlignment="1">
      <alignment horizontal="center" vertical="justify"/>
    </xf>
    <xf numFmtId="0" fontId="43" fillId="0" borderId="54" xfId="228" applyFont="1" applyBorder="1" applyAlignment="1">
      <alignment horizontal="center" vertical="justify"/>
    </xf>
    <xf numFmtId="0" fontId="43" fillId="0" borderId="44" xfId="228" quotePrefix="1" applyFont="1" applyBorder="1" applyAlignment="1">
      <alignment horizontal="justify" vertical="justify" wrapText="1"/>
    </xf>
    <xf numFmtId="0" fontId="42" fillId="0" borderId="55" xfId="228" applyFont="1" applyBorder="1" applyAlignment="1">
      <alignment horizontal="center" vertical="justify"/>
    </xf>
    <xf numFmtId="0" fontId="42" fillId="0" borderId="62" xfId="228" quotePrefix="1" applyFont="1" applyBorder="1" applyAlignment="1">
      <alignment horizontal="justify" vertical="justify" wrapText="1"/>
    </xf>
    <xf numFmtId="0" fontId="42" fillId="0" borderId="57" xfId="228" applyFont="1" applyBorder="1" applyAlignment="1">
      <alignment horizontal="center" vertical="justify"/>
    </xf>
    <xf numFmtId="0" fontId="43" fillId="0" borderId="6" xfId="166" applyNumberFormat="1" applyFont="1" applyFill="1" applyBorder="1" applyAlignment="1">
      <alignment horizontal="center" vertical="justify"/>
    </xf>
    <xf numFmtId="176" fontId="43" fillId="0" borderId="54" xfId="166" applyNumberFormat="1" applyFont="1" applyFill="1" applyBorder="1" applyAlignment="1">
      <alignment horizontal="center" vertical="justify"/>
    </xf>
    <xf numFmtId="0" fontId="42" fillId="0" borderId="56" xfId="228" applyFont="1" applyBorder="1" applyAlignment="1">
      <alignment horizontal="justify" vertical="justify" wrapText="1"/>
    </xf>
    <xf numFmtId="0" fontId="42" fillId="36" borderId="4" xfId="228" quotePrefix="1" applyFont="1" applyFill="1" applyBorder="1" applyAlignment="1">
      <alignment horizontal="justify" wrapText="1"/>
    </xf>
    <xf numFmtId="0" fontId="42" fillId="36" borderId="0" xfId="228" quotePrefix="1" applyFont="1" applyFill="1" applyAlignment="1">
      <alignment horizontal="justify" wrapText="1"/>
    </xf>
    <xf numFmtId="0" fontId="42" fillId="36" borderId="38" xfId="228" quotePrefix="1" applyFont="1" applyFill="1" applyBorder="1" applyAlignment="1">
      <alignment horizontal="justify" wrapText="1"/>
    </xf>
    <xf numFmtId="0" fontId="42" fillId="0" borderId="32" xfId="228" applyFont="1" applyBorder="1" applyAlignment="1">
      <alignment horizontal="justify" vertical="justify" wrapText="1"/>
    </xf>
    <xf numFmtId="0" fontId="42" fillId="0" borderId="88" xfId="228" applyFont="1" applyBorder="1" applyAlignment="1">
      <alignment horizontal="center" vertical="justify"/>
    </xf>
    <xf numFmtId="0" fontId="43" fillId="0" borderId="32" xfId="228" applyFont="1" applyBorder="1" applyAlignment="1">
      <alignment horizontal="justify" vertical="justify"/>
    </xf>
    <xf numFmtId="0" fontId="42" fillId="0" borderId="42" xfId="228" applyFont="1" applyBorder="1" applyAlignment="1">
      <alignment horizontal="justify" vertical="justify"/>
    </xf>
    <xf numFmtId="0" fontId="43" fillId="0" borderId="88" xfId="166" applyNumberFormat="1" applyFont="1" applyFill="1" applyBorder="1" applyAlignment="1">
      <alignment horizontal="center" vertical="justify"/>
    </xf>
    <xf numFmtId="0" fontId="43" fillId="0" borderId="0" xfId="228" applyFont="1" applyAlignment="1">
      <alignment vertical="top"/>
    </xf>
    <xf numFmtId="0" fontId="43" fillId="0" borderId="38" xfId="228" quotePrefix="1" applyFont="1" applyBorder="1" applyAlignment="1">
      <alignment horizontal="justify" vertical="justify" wrapText="1"/>
    </xf>
    <xf numFmtId="0" fontId="113" fillId="0" borderId="38" xfId="228" quotePrefix="1" applyFont="1" applyBorder="1" applyAlignment="1">
      <alignment horizontal="justify" vertical="justify" wrapText="1"/>
    </xf>
    <xf numFmtId="2" fontId="43" fillId="0" borderId="57" xfId="166" applyNumberFormat="1" applyFont="1" applyFill="1" applyBorder="1" applyAlignment="1">
      <alignment horizontal="center" vertical="justify"/>
    </xf>
    <xf numFmtId="0" fontId="42" fillId="0" borderId="32" xfId="228" applyFont="1" applyBorder="1" applyAlignment="1">
      <alignment horizontal="left" vertical="top"/>
    </xf>
    <xf numFmtId="0" fontId="42" fillId="0" borderId="0" xfId="228" applyFont="1" applyAlignment="1">
      <alignment horizontal="left" vertical="top" wrapText="1"/>
    </xf>
    <xf numFmtId="0" fontId="43" fillId="0" borderId="0" xfId="303" applyNumberFormat="1" applyFont="1" applyBorder="1" applyAlignment="1"/>
    <xf numFmtId="0" fontId="42" fillId="0" borderId="66" xfId="228" applyFont="1" applyBorder="1" applyAlignment="1">
      <alignment horizontal="justify" vertical="justify"/>
    </xf>
    <xf numFmtId="2" fontId="43" fillId="0" borderId="57" xfId="166" applyNumberFormat="1" applyFont="1" applyFill="1" applyBorder="1" applyAlignment="1">
      <alignment horizontal="center"/>
    </xf>
    <xf numFmtId="0" fontId="42" fillId="0" borderId="4" xfId="228" quotePrefix="1" applyFont="1" applyBorder="1" applyAlignment="1">
      <alignment horizontal="justify" vertical="justify" wrapText="1"/>
    </xf>
    <xf numFmtId="0" fontId="42" fillId="0" borderId="63" xfId="228" applyFont="1" applyBorder="1" applyAlignment="1">
      <alignment horizontal="justify" vertical="justify" wrapText="1"/>
    </xf>
    <xf numFmtId="2" fontId="43" fillId="0" borderId="57" xfId="166" applyNumberFormat="1" applyFont="1" applyFill="1" applyBorder="1" applyAlignment="1">
      <alignment horizontal="center" vertical="top"/>
    </xf>
    <xf numFmtId="0" fontId="43" fillId="0" borderId="57" xfId="166" applyNumberFormat="1" applyFont="1" applyFill="1" applyBorder="1" applyAlignment="1">
      <alignment horizontal="center" vertical="top"/>
    </xf>
    <xf numFmtId="0" fontId="43" fillId="0" borderId="4" xfId="228" quotePrefix="1" applyFont="1" applyBorder="1" applyAlignment="1">
      <alignment horizontal="left" vertical="top" wrapText="1"/>
    </xf>
    <xf numFmtId="0" fontId="43" fillId="0" borderId="63" xfId="228" applyFont="1" applyBorder="1" applyAlignment="1">
      <alignment horizontal="justify" vertical="justify"/>
    </xf>
    <xf numFmtId="0" fontId="42" fillId="0" borderId="54" xfId="228" applyFont="1" applyBorder="1" applyAlignment="1">
      <alignment horizontal="center" vertical="justify"/>
    </xf>
    <xf numFmtId="0" fontId="42" fillId="0" borderId="43" xfId="228" quotePrefix="1" applyFont="1" applyBorder="1" applyAlignment="1">
      <alignment horizontal="justify" vertical="justify" wrapText="1"/>
    </xf>
    <xf numFmtId="0" fontId="42" fillId="0" borderId="43" xfId="228" applyFont="1" applyBorder="1" applyAlignment="1">
      <alignment horizontal="justify" vertical="justify"/>
    </xf>
    <xf numFmtId="0" fontId="42" fillId="0" borderId="44" xfId="228" applyFont="1" applyBorder="1" applyAlignment="1">
      <alignment horizontal="justify" vertical="justify"/>
    </xf>
    <xf numFmtId="0" fontId="42" fillId="0" borderId="66" xfId="228" applyFont="1" applyBorder="1" applyAlignment="1">
      <alignment horizontal="justify" vertical="justify" wrapText="1"/>
    </xf>
    <xf numFmtId="2" fontId="43" fillId="0" borderId="57" xfId="166" quotePrefix="1" applyNumberFormat="1" applyFont="1" applyFill="1" applyBorder="1" applyAlignment="1">
      <alignment horizontal="center" vertical="justify"/>
    </xf>
    <xf numFmtId="0" fontId="43" fillId="0" borderId="0" xfId="228" applyFont="1" applyAlignment="1">
      <alignment horizontal="justify" vertical="justify"/>
    </xf>
    <xf numFmtId="0" fontId="43" fillId="0" borderId="38" xfId="228" applyFont="1" applyBorder="1" applyAlignment="1">
      <alignment horizontal="justify" vertical="justify"/>
    </xf>
    <xf numFmtId="0" fontId="42" fillId="0" borderId="56" xfId="228" applyFont="1" applyBorder="1" applyAlignment="1">
      <alignment horizontal="left" vertical="top" wrapText="1"/>
    </xf>
    <xf numFmtId="0" fontId="43" fillId="0" borderId="38" xfId="228" quotePrefix="1" applyFont="1" applyBorder="1" applyAlignment="1">
      <alignment horizontal="left" vertical="top" wrapText="1"/>
    </xf>
    <xf numFmtId="0" fontId="42" fillId="0" borderId="38" xfId="228" quotePrefix="1" applyFont="1" applyBorder="1" applyAlignment="1">
      <alignment horizontal="left" vertical="top" wrapText="1"/>
    </xf>
    <xf numFmtId="0" fontId="42" fillId="0" borderId="38" xfId="228" quotePrefix="1" applyFont="1" applyBorder="1" applyAlignment="1">
      <alignment horizontal="justify" vertical="top" wrapText="1"/>
    </xf>
    <xf numFmtId="2" fontId="43" fillId="0" borderId="57" xfId="166" quotePrefix="1" applyNumberFormat="1" applyFont="1" applyFill="1" applyBorder="1" applyAlignment="1">
      <alignment horizontal="center" vertical="top"/>
    </xf>
    <xf numFmtId="0" fontId="42" fillId="0" borderId="63" xfId="228" applyFont="1" applyBorder="1" applyAlignment="1">
      <alignment horizontal="left" vertical="top" wrapText="1"/>
    </xf>
    <xf numFmtId="0" fontId="43" fillId="0" borderId="64" xfId="166" applyNumberFormat="1" applyFont="1" applyFill="1" applyBorder="1" applyAlignment="1">
      <alignment horizontal="center" vertical="top"/>
    </xf>
    <xf numFmtId="0" fontId="42" fillId="0" borderId="65" xfId="228" quotePrefix="1" applyFont="1" applyBorder="1" applyAlignment="1">
      <alignment horizontal="justify" vertical="top" wrapText="1"/>
    </xf>
    <xf numFmtId="0" fontId="43" fillId="0" borderId="0" xfId="166" applyNumberFormat="1" applyFont="1" applyFill="1" applyBorder="1" applyAlignment="1">
      <alignment horizontal="center" vertical="top"/>
    </xf>
    <xf numFmtId="0" fontId="42" fillId="0" borderId="0" xfId="228" quotePrefix="1" applyFont="1" applyAlignment="1">
      <alignment horizontal="left" vertical="top" wrapText="1"/>
    </xf>
    <xf numFmtId="0" fontId="42" fillId="0" borderId="43" xfId="228" applyFont="1" applyBorder="1" applyAlignment="1">
      <alignment horizontal="center" vertical="top"/>
    </xf>
    <xf numFmtId="0" fontId="42" fillId="0" borderId="43" xfId="228" applyFont="1" applyBorder="1" applyAlignment="1">
      <alignment horizontal="left" vertical="top" wrapText="1"/>
    </xf>
    <xf numFmtId="0" fontId="43" fillId="0" borderId="15" xfId="228" quotePrefix="1" applyFont="1" applyBorder="1" applyAlignment="1">
      <alignment horizontal="left" vertical="top" wrapText="1"/>
    </xf>
    <xf numFmtId="0" fontId="42" fillId="0" borderId="65" xfId="228" applyFont="1" applyBorder="1" applyAlignment="1">
      <alignment vertical="top"/>
    </xf>
    <xf numFmtId="0" fontId="0" fillId="0" borderId="32" xfId="0" applyBorder="1"/>
    <xf numFmtId="0" fontId="43" fillId="0" borderId="42" xfId="228" applyFont="1" applyBorder="1" applyAlignment="1">
      <alignment horizontal="center" vertical="top"/>
    </xf>
    <xf numFmtId="0" fontId="42" fillId="0" borderId="40" xfId="228" applyFont="1" applyBorder="1" applyAlignment="1">
      <alignment horizontal="center" vertical="top"/>
    </xf>
    <xf numFmtId="0" fontId="43" fillId="0" borderId="32" xfId="228" applyFont="1" applyBorder="1" applyAlignment="1">
      <alignment horizontal="center" vertical="justify"/>
    </xf>
    <xf numFmtId="0" fontId="43" fillId="0" borderId="32" xfId="228" applyFont="1" applyBorder="1" applyAlignment="1">
      <alignment horizontal="center" vertical="justify" wrapText="1"/>
    </xf>
    <xf numFmtId="0" fontId="43" fillId="0" borderId="32" xfId="228" quotePrefix="1" applyFont="1" applyBorder="1" applyAlignment="1">
      <alignment horizontal="center" vertical="justify"/>
    </xf>
    <xf numFmtId="0" fontId="43" fillId="29" borderId="73" xfId="166" applyNumberFormat="1" applyFont="1" applyFill="1" applyBorder="1" applyAlignment="1">
      <alignment horizontal="center" vertical="justify"/>
    </xf>
    <xf numFmtId="0" fontId="43" fillId="29" borderId="36" xfId="166" applyNumberFormat="1" applyFont="1" applyFill="1" applyBorder="1" applyAlignment="1">
      <alignment horizontal="center" vertical="justify"/>
    </xf>
    <xf numFmtId="0" fontId="43" fillId="0" borderId="32" xfId="166" applyNumberFormat="1" applyFont="1" applyFill="1" applyBorder="1" applyAlignment="1">
      <alignment horizontal="center" vertical="justify"/>
    </xf>
    <xf numFmtId="176" fontId="43" fillId="0" borderId="32" xfId="166" applyNumberFormat="1" applyFont="1" applyFill="1" applyBorder="1" applyAlignment="1">
      <alignment horizontal="center" vertical="justify"/>
    </xf>
    <xf numFmtId="0" fontId="42" fillId="29" borderId="50" xfId="228" quotePrefix="1" applyFont="1" applyFill="1" applyBorder="1" applyAlignment="1">
      <alignment horizontal="justify" vertical="justify" wrapText="1"/>
    </xf>
    <xf numFmtId="0" fontId="42" fillId="29" borderId="47" xfId="228" quotePrefix="1" applyFont="1" applyFill="1" applyBorder="1" applyAlignment="1">
      <alignment horizontal="justify" vertical="justify" wrapText="1"/>
    </xf>
    <xf numFmtId="0" fontId="43" fillId="0" borderId="80" xfId="228" quotePrefix="1" applyFont="1" applyBorder="1" applyAlignment="1">
      <alignment horizontal="center" vertical="top"/>
    </xf>
    <xf numFmtId="0" fontId="43" fillId="0" borderId="15" xfId="228" applyFont="1" applyBorder="1" applyAlignment="1">
      <alignment vertical="top" wrapText="1"/>
    </xf>
    <xf numFmtId="0" fontId="43" fillId="0" borderId="15" xfId="228" applyFont="1" applyBorder="1" applyAlignment="1">
      <alignment horizontal="center" vertical="top" wrapText="1"/>
    </xf>
    <xf numFmtId="169" fontId="94" fillId="0" borderId="0" xfId="228" applyNumberFormat="1" applyFont="1" applyAlignment="1">
      <alignment vertical="top"/>
    </xf>
    <xf numFmtId="168" fontId="106" fillId="36" borderId="43" xfId="143" applyFont="1" applyFill="1" applyBorder="1" applyAlignment="1">
      <alignment horizontal="right"/>
    </xf>
    <xf numFmtId="175" fontId="106" fillId="36" borderId="0" xfId="143" applyNumberFormat="1" applyFont="1" applyFill="1" applyBorder="1" applyAlignment="1">
      <alignment horizontal="right"/>
    </xf>
    <xf numFmtId="175" fontId="106" fillId="36" borderId="111" xfId="143" applyNumberFormat="1" applyFont="1" applyFill="1" applyBorder="1" applyAlignment="1">
      <alignment horizontal="right"/>
    </xf>
    <xf numFmtId="168" fontId="106" fillId="36" borderId="46" xfId="143" applyFont="1" applyFill="1" applyBorder="1" applyAlignment="1">
      <alignment horizontal="right"/>
    </xf>
    <xf numFmtId="175" fontId="106" fillId="36" borderId="88" xfId="143" applyNumberFormat="1" applyFont="1" applyFill="1" applyBorder="1" applyAlignment="1">
      <alignment horizontal="right"/>
    </xf>
    <xf numFmtId="175" fontId="106" fillId="36" borderId="24" xfId="143" applyNumberFormat="1" applyFont="1" applyFill="1" applyBorder="1" applyAlignment="1">
      <alignment horizontal="right"/>
    </xf>
    <xf numFmtId="167" fontId="105" fillId="36" borderId="112" xfId="138" applyFont="1" applyFill="1" applyBorder="1" applyAlignment="1">
      <alignment horizontal="center" vertical="center" wrapText="1"/>
    </xf>
    <xf numFmtId="167" fontId="106" fillId="36" borderId="42" xfId="138" applyFont="1" applyFill="1" applyBorder="1" applyAlignment="1">
      <alignment horizontal="right"/>
    </xf>
    <xf numFmtId="175" fontId="106" fillId="36" borderId="32" xfId="138" applyNumberFormat="1" applyFont="1" applyFill="1" applyBorder="1" applyAlignment="1">
      <alignment horizontal="right"/>
    </xf>
    <xf numFmtId="175" fontId="46" fillId="0" borderId="32" xfId="138" applyNumberFormat="1" applyFont="1" applyFill="1" applyBorder="1" applyAlignment="1">
      <alignment horizontal="right"/>
    </xf>
    <xf numFmtId="175" fontId="106" fillId="36" borderId="113" xfId="138" applyNumberFormat="1" applyFont="1" applyFill="1" applyBorder="1" applyAlignment="1">
      <alignment horizontal="right"/>
    </xf>
    <xf numFmtId="0" fontId="0" fillId="0" borderId="0" xfId="0" applyAlignment="1">
      <alignment wrapText="1"/>
    </xf>
    <xf numFmtId="167" fontId="0" fillId="0" borderId="0" xfId="138" applyFont="1"/>
    <xf numFmtId="49" fontId="57" fillId="0" borderId="42" xfId="0" applyNumberFormat="1" applyFont="1" applyBorder="1" applyAlignment="1">
      <alignment horizontal="left" vertical="top" indent="2"/>
    </xf>
    <xf numFmtId="49" fontId="57" fillId="0" borderId="32" xfId="0" applyNumberFormat="1" applyFont="1" applyBorder="1" applyAlignment="1">
      <alignment horizontal="left" vertical="top" indent="2"/>
    </xf>
    <xf numFmtId="49" fontId="57" fillId="0" borderId="36" xfId="0" applyNumberFormat="1" applyFont="1" applyBorder="1" applyAlignment="1">
      <alignment horizontal="left" vertical="top" indent="2"/>
    </xf>
    <xf numFmtId="49" fontId="58" fillId="0" borderId="86" xfId="0" applyNumberFormat="1" applyFont="1" applyBorder="1" applyAlignment="1">
      <alignment horizontal="center" vertical="top"/>
    </xf>
    <xf numFmtId="49" fontId="58" fillId="0" borderId="16" xfId="0" applyNumberFormat="1" applyFont="1" applyBorder="1" applyAlignment="1">
      <alignment horizontal="center" vertical="top"/>
    </xf>
    <xf numFmtId="49" fontId="58" fillId="0" borderId="22" xfId="0" applyNumberFormat="1" applyFont="1" applyBorder="1" applyAlignment="1">
      <alignment horizontal="center" vertical="top"/>
    </xf>
    <xf numFmtId="49" fontId="57" fillId="0" borderId="32" xfId="0" applyNumberFormat="1" applyFont="1" applyBorder="1" applyAlignment="1">
      <alignment vertical="top"/>
    </xf>
    <xf numFmtId="171" fontId="64" fillId="0" borderId="87" xfId="0" applyNumberFormat="1" applyFont="1" applyBorder="1" applyAlignment="1">
      <alignment horizontal="right" vertical="top"/>
    </xf>
    <xf numFmtId="170" fontId="64" fillId="0" borderId="77" xfId="0" applyNumberFormat="1" applyFont="1" applyBorder="1" applyAlignment="1">
      <alignment horizontal="right" vertical="top"/>
    </xf>
    <xf numFmtId="171" fontId="58" fillId="0" borderId="87" xfId="0" applyNumberFormat="1" applyFont="1" applyBorder="1" applyAlignment="1">
      <alignment horizontal="right" vertical="top"/>
    </xf>
    <xf numFmtId="171" fontId="64" fillId="0" borderId="35" xfId="0" applyNumberFormat="1" applyFont="1" applyBorder="1" applyAlignment="1">
      <alignment horizontal="right" vertical="top"/>
    </xf>
    <xf numFmtId="49" fontId="60" fillId="0" borderId="32" xfId="0" applyNumberFormat="1" applyFont="1" applyBorder="1" applyAlignment="1">
      <alignment horizontal="left" vertical="top" indent="2"/>
    </xf>
    <xf numFmtId="171" fontId="58" fillId="0" borderId="73" xfId="0" applyNumberFormat="1" applyFont="1" applyBorder="1" applyAlignment="1">
      <alignment horizontal="right" vertical="top"/>
    </xf>
    <xf numFmtId="170" fontId="58" fillId="0" borderId="60" xfId="0" applyNumberFormat="1" applyFont="1" applyBorder="1" applyAlignment="1">
      <alignment horizontal="right" vertical="top"/>
    </xf>
    <xf numFmtId="171" fontId="60" fillId="0" borderId="73" xfId="0" applyNumberFormat="1" applyFont="1" applyBorder="1" applyAlignment="1">
      <alignment horizontal="right" vertical="top"/>
    </xf>
    <xf numFmtId="171" fontId="60" fillId="0" borderId="60" xfId="0" applyNumberFormat="1" applyFont="1" applyBorder="1" applyAlignment="1">
      <alignment horizontal="right" vertical="top"/>
    </xf>
    <xf numFmtId="171" fontId="58" fillId="0" borderId="33" xfId="0" applyNumberFormat="1" applyFont="1" applyBorder="1" applyAlignment="1">
      <alignment horizontal="right" vertical="top"/>
    </xf>
    <xf numFmtId="170" fontId="64" fillId="0" borderId="36" xfId="0" applyNumberFormat="1" applyFont="1" applyBorder="1" applyAlignment="1">
      <alignment horizontal="right" vertical="top"/>
    </xf>
    <xf numFmtId="170" fontId="64" fillId="0" borderId="62" xfId="0" applyNumberFormat="1" applyFont="1" applyBorder="1" applyAlignment="1">
      <alignment horizontal="right" vertical="top"/>
    </xf>
    <xf numFmtId="170" fontId="58" fillId="0" borderId="36" xfId="0" applyNumberFormat="1" applyFont="1" applyBorder="1" applyAlignment="1">
      <alignment horizontal="right" vertical="top"/>
    </xf>
    <xf numFmtId="170" fontId="58" fillId="0" borderId="62" xfId="0" applyNumberFormat="1" applyFont="1" applyBorder="1" applyAlignment="1">
      <alignment horizontal="right" vertical="top"/>
    </xf>
    <xf numFmtId="49" fontId="58" fillId="0" borderId="32" xfId="0" applyNumberFormat="1" applyFont="1" applyBorder="1" applyAlignment="1">
      <alignment horizontal="left" vertical="top" indent="2"/>
    </xf>
    <xf numFmtId="171" fontId="60" fillId="0" borderId="87" xfId="0" applyNumberFormat="1" applyFont="1" applyBorder="1" applyAlignment="1">
      <alignment horizontal="right" vertical="top"/>
    </xf>
    <xf numFmtId="170" fontId="60" fillId="0" borderId="87" xfId="0" applyNumberFormat="1" applyFont="1" applyBorder="1" applyAlignment="1">
      <alignment horizontal="right" vertical="top"/>
    </xf>
    <xf numFmtId="170" fontId="60" fillId="0" borderId="77" xfId="0" applyNumberFormat="1" applyFont="1" applyBorder="1" applyAlignment="1">
      <alignment horizontal="right" vertical="top"/>
    </xf>
    <xf numFmtId="49" fontId="60" fillId="0" borderId="32" xfId="0" applyNumberFormat="1" applyFont="1" applyBorder="1" applyAlignment="1">
      <alignment horizontal="left" vertical="top" indent="4"/>
    </xf>
    <xf numFmtId="170" fontId="58" fillId="0" borderId="73" xfId="0" applyNumberFormat="1" applyFont="1" applyBorder="1" applyAlignment="1">
      <alignment horizontal="right" vertical="top"/>
    </xf>
    <xf numFmtId="170" fontId="60" fillId="0" borderId="36" xfId="0" applyNumberFormat="1" applyFont="1" applyBorder="1" applyAlignment="1">
      <alignment horizontal="right" vertical="top"/>
    </xf>
    <xf numFmtId="49" fontId="58" fillId="0" borderId="32" xfId="0" applyNumberFormat="1" applyFont="1" applyBorder="1" applyAlignment="1">
      <alignment horizontal="left" vertical="top" indent="4"/>
    </xf>
    <xf numFmtId="170" fontId="58" fillId="0" borderId="87" xfId="0" applyNumberFormat="1" applyFont="1" applyBorder="1" applyAlignment="1">
      <alignment horizontal="right" vertical="top"/>
    </xf>
    <xf numFmtId="170" fontId="58" fillId="0" borderId="77" xfId="0" applyNumberFormat="1" applyFont="1" applyBorder="1" applyAlignment="1">
      <alignment horizontal="right" vertical="top"/>
    </xf>
    <xf numFmtId="49" fontId="60" fillId="0" borderId="32" xfId="0" applyNumberFormat="1" applyFont="1" applyBorder="1" applyAlignment="1">
      <alignment horizontal="left" vertical="top" indent="5"/>
    </xf>
    <xf numFmtId="171" fontId="58" fillId="0" borderId="32" xfId="0" applyNumberFormat="1" applyFont="1" applyBorder="1" applyAlignment="1">
      <alignment horizontal="right" vertical="top"/>
    </xf>
    <xf numFmtId="170" fontId="58" fillId="0" borderId="38" xfId="0" applyNumberFormat="1" applyFont="1" applyBorder="1" applyAlignment="1">
      <alignment horizontal="right" vertical="top"/>
    </xf>
    <xf numFmtId="170" fontId="60" fillId="0" borderId="32" xfId="0" applyNumberFormat="1" applyFont="1" applyBorder="1" applyAlignment="1">
      <alignment horizontal="right" vertical="top"/>
    </xf>
    <xf numFmtId="170" fontId="60" fillId="0" borderId="38" xfId="0" applyNumberFormat="1" applyFont="1" applyBorder="1" applyAlignment="1">
      <alignment horizontal="right" vertical="top"/>
    </xf>
    <xf numFmtId="171" fontId="58" fillId="0" borderId="38" xfId="0" applyNumberFormat="1" applyFont="1" applyBorder="1" applyAlignment="1">
      <alignment horizontal="right" vertical="top"/>
    </xf>
    <xf numFmtId="170" fontId="58" fillId="0" borderId="32" xfId="0" applyNumberFormat="1" applyFont="1" applyBorder="1" applyAlignment="1">
      <alignment horizontal="right" vertical="top"/>
    </xf>
    <xf numFmtId="171" fontId="60" fillId="0" borderId="38" xfId="0" applyNumberFormat="1" applyFont="1" applyBorder="1" applyAlignment="1">
      <alignment horizontal="right" vertical="top"/>
    </xf>
    <xf numFmtId="49" fontId="60" fillId="0" borderId="32" xfId="0" applyNumberFormat="1" applyFont="1" applyBorder="1" applyAlignment="1">
      <alignment horizontal="left" vertical="top" indent="3"/>
    </xf>
    <xf numFmtId="49" fontId="60" fillId="0" borderId="32" xfId="0" applyNumberFormat="1" applyFont="1" applyBorder="1" applyAlignment="1">
      <alignment horizontal="left" vertical="top" indent="6"/>
    </xf>
    <xf numFmtId="170" fontId="60" fillId="0" borderId="73" xfId="0" applyNumberFormat="1" applyFont="1" applyBorder="1" applyAlignment="1">
      <alignment horizontal="right" vertical="top"/>
    </xf>
    <xf numFmtId="170" fontId="60" fillId="0" borderId="60" xfId="0" applyNumberFormat="1" applyFont="1" applyBorder="1" applyAlignment="1">
      <alignment horizontal="right" vertical="top"/>
    </xf>
    <xf numFmtId="171" fontId="58" fillId="0" borderId="60" xfId="0" applyNumberFormat="1" applyFont="1" applyBorder="1" applyAlignment="1">
      <alignment horizontal="right" vertical="top"/>
    </xf>
    <xf numFmtId="171" fontId="60" fillId="0" borderId="32" xfId="0" applyNumberFormat="1" applyFont="1" applyBorder="1" applyAlignment="1">
      <alignment horizontal="right" vertical="top"/>
    </xf>
    <xf numFmtId="171" fontId="64" fillId="0" borderId="62" xfId="0" applyNumberFormat="1" applyFont="1" applyBorder="1" applyAlignment="1">
      <alignment horizontal="right" vertical="top"/>
    </xf>
    <xf numFmtId="170" fontId="58" fillId="0" borderId="33" xfId="0" applyNumberFormat="1" applyFont="1" applyBorder="1" applyAlignment="1">
      <alignment horizontal="right" vertical="top"/>
    </xf>
    <xf numFmtId="170" fontId="60" fillId="0" borderId="33" xfId="0" applyNumberFormat="1" applyFont="1" applyBorder="1" applyAlignment="1">
      <alignment horizontal="right" vertical="top"/>
    </xf>
    <xf numFmtId="49" fontId="58" fillId="0" borderId="32" xfId="0" applyNumberFormat="1" applyFont="1" applyBorder="1" applyAlignment="1">
      <alignment horizontal="left" vertical="top" indent="3"/>
    </xf>
    <xf numFmtId="171" fontId="58" fillId="0" borderId="62" xfId="0" applyNumberFormat="1" applyFont="1" applyBorder="1" applyAlignment="1">
      <alignment horizontal="right" vertical="top"/>
    </xf>
    <xf numFmtId="171" fontId="64" fillId="0" borderId="36" xfId="0" applyNumberFormat="1" applyFont="1" applyBorder="1" applyAlignment="1">
      <alignment horizontal="right" vertical="top"/>
    </xf>
    <xf numFmtId="49" fontId="60" fillId="0" borderId="32" xfId="0" applyNumberFormat="1" applyFont="1" applyBorder="1" applyAlignment="1">
      <alignment horizontal="left" vertical="top" indent="1"/>
    </xf>
    <xf numFmtId="171" fontId="60" fillId="0" borderId="36" xfId="0" applyNumberFormat="1" applyFont="1" applyBorder="1" applyAlignment="1">
      <alignment horizontal="right" vertical="top"/>
    </xf>
    <xf numFmtId="171" fontId="58" fillId="0" borderId="36" xfId="0" applyNumberFormat="1" applyFont="1" applyBorder="1" applyAlignment="1">
      <alignment horizontal="right" vertical="top"/>
    </xf>
    <xf numFmtId="49" fontId="57" fillId="0" borderId="112" xfId="0" applyNumberFormat="1" applyFont="1" applyBorder="1" applyAlignment="1">
      <alignment horizontal="left" vertical="top" indent="2"/>
    </xf>
    <xf numFmtId="170" fontId="64" fillId="0" borderId="112" xfId="0" applyNumberFormat="1" applyFont="1" applyBorder="1" applyAlignment="1">
      <alignment horizontal="right" vertical="top"/>
    </xf>
    <xf numFmtId="170" fontId="64" fillId="0" borderId="68" xfId="0" applyNumberFormat="1" applyFont="1" applyBorder="1" applyAlignment="1">
      <alignment horizontal="right" vertical="top"/>
    </xf>
    <xf numFmtId="170" fontId="57" fillId="0" borderId="112" xfId="0" applyNumberFormat="1" applyFont="1" applyBorder="1" applyAlignment="1">
      <alignment horizontal="right" vertical="top"/>
    </xf>
    <xf numFmtId="170" fontId="57" fillId="0" borderId="68" xfId="0" applyNumberFormat="1" applyFont="1" applyBorder="1" applyAlignment="1">
      <alignment horizontal="right" vertical="top"/>
    </xf>
    <xf numFmtId="170" fontId="64" fillId="0" borderId="67" xfId="0" applyNumberFormat="1" applyFont="1" applyBorder="1" applyAlignment="1">
      <alignment horizontal="right" vertical="top"/>
    </xf>
    <xf numFmtId="49" fontId="57" fillId="32" borderId="32" xfId="0" applyNumberFormat="1" applyFont="1" applyFill="1" applyBorder="1" applyAlignment="1">
      <alignment vertical="top"/>
    </xf>
    <xf numFmtId="170" fontId="64" fillId="32" borderId="36" xfId="0" applyNumberFormat="1" applyFont="1" applyFill="1" applyBorder="1" applyAlignment="1">
      <alignment horizontal="right" vertical="top"/>
    </xf>
    <xf numFmtId="171" fontId="64" fillId="32" borderId="62" xfId="0" applyNumberFormat="1" applyFont="1" applyFill="1" applyBorder="1" applyAlignment="1">
      <alignment horizontal="right" vertical="top"/>
    </xf>
    <xf numFmtId="170" fontId="58" fillId="32" borderId="36" xfId="0" applyNumberFormat="1" applyFont="1" applyFill="1" applyBorder="1" applyAlignment="1">
      <alignment horizontal="right" vertical="top"/>
    </xf>
    <xf numFmtId="170" fontId="58" fillId="32" borderId="62" xfId="0" applyNumberFormat="1" applyFont="1" applyFill="1" applyBorder="1" applyAlignment="1">
      <alignment horizontal="right" vertical="top"/>
    </xf>
    <xf numFmtId="170" fontId="64" fillId="32" borderId="31" xfId="0" applyNumberFormat="1" applyFont="1" applyFill="1" applyBorder="1" applyAlignment="1">
      <alignment horizontal="right" vertical="top"/>
    </xf>
    <xf numFmtId="49" fontId="60" fillId="32" borderId="32" xfId="0" applyNumberFormat="1" applyFont="1" applyFill="1" applyBorder="1" applyAlignment="1">
      <alignment horizontal="left" vertical="top" indent="2"/>
    </xf>
    <xf numFmtId="170" fontId="58" fillId="32" borderId="73" xfId="0" applyNumberFormat="1" applyFont="1" applyFill="1" applyBorder="1" applyAlignment="1">
      <alignment horizontal="right" vertical="top"/>
    </xf>
    <xf numFmtId="171" fontId="58" fillId="32" borderId="60" xfId="0" applyNumberFormat="1" applyFont="1" applyFill="1" applyBorder="1" applyAlignment="1">
      <alignment horizontal="right" vertical="top"/>
    </xf>
    <xf numFmtId="171" fontId="60" fillId="32" borderId="73" xfId="0" applyNumberFormat="1" applyFont="1" applyFill="1" applyBorder="1" applyAlignment="1">
      <alignment horizontal="right" vertical="top"/>
    </xf>
    <xf numFmtId="171" fontId="60" fillId="32" borderId="60" xfId="0" applyNumberFormat="1" applyFont="1" applyFill="1" applyBorder="1" applyAlignment="1">
      <alignment horizontal="right" vertical="top"/>
    </xf>
    <xf numFmtId="170" fontId="58" fillId="32" borderId="33" xfId="0" applyNumberFormat="1" applyFont="1" applyFill="1" applyBorder="1" applyAlignment="1">
      <alignment horizontal="right" vertical="top"/>
    </xf>
    <xf numFmtId="171" fontId="58" fillId="32" borderId="32" xfId="0" applyNumberFormat="1" applyFont="1" applyFill="1" applyBorder="1" applyAlignment="1">
      <alignment horizontal="right" vertical="top"/>
    </xf>
    <xf numFmtId="171" fontId="58" fillId="32" borderId="38" xfId="0" applyNumberFormat="1" applyFont="1" applyFill="1" applyBorder="1" applyAlignment="1">
      <alignment horizontal="right" vertical="top"/>
    </xf>
    <xf numFmtId="170" fontId="60" fillId="32" borderId="32" xfId="0" applyNumberFormat="1" applyFont="1" applyFill="1" applyBorder="1" applyAlignment="1">
      <alignment horizontal="right" vertical="top"/>
    </xf>
    <xf numFmtId="171" fontId="60" fillId="32" borderId="38" xfId="0" applyNumberFormat="1" applyFont="1" applyFill="1" applyBorder="1" applyAlignment="1">
      <alignment horizontal="right" vertical="top"/>
    </xf>
    <xf numFmtId="170" fontId="58" fillId="32" borderId="32" xfId="0" applyNumberFormat="1" applyFont="1" applyFill="1" applyBorder="1" applyAlignment="1">
      <alignment horizontal="right" vertical="top"/>
    </xf>
    <xf numFmtId="170" fontId="60" fillId="32" borderId="38" xfId="0" applyNumberFormat="1" applyFont="1" applyFill="1" applyBorder="1" applyAlignment="1">
      <alignment horizontal="right" vertical="top"/>
    </xf>
    <xf numFmtId="171" fontId="64" fillId="32" borderId="36" xfId="0" applyNumberFormat="1" applyFont="1" applyFill="1" applyBorder="1" applyAlignment="1">
      <alignment horizontal="right" vertical="top"/>
    </xf>
    <xf numFmtId="170" fontId="64" fillId="32" borderId="62" xfId="0" applyNumberFormat="1" applyFont="1" applyFill="1" applyBorder="1" applyAlignment="1">
      <alignment horizontal="right" vertical="top"/>
    </xf>
    <xf numFmtId="171" fontId="58" fillId="32" borderId="62" xfId="0" applyNumberFormat="1" applyFont="1" applyFill="1" applyBorder="1" applyAlignment="1">
      <alignment horizontal="right" vertical="top"/>
    </xf>
    <xf numFmtId="171" fontId="64" fillId="32" borderId="31" xfId="0" applyNumberFormat="1" applyFont="1" applyFill="1" applyBorder="1" applyAlignment="1">
      <alignment horizontal="right" vertical="top"/>
    </xf>
    <xf numFmtId="171" fontId="58" fillId="32" borderId="73" xfId="0" applyNumberFormat="1" applyFont="1" applyFill="1" applyBorder="1" applyAlignment="1">
      <alignment horizontal="right" vertical="top"/>
    </xf>
    <xf numFmtId="170" fontId="58" fillId="32" borderId="60" xfId="0" applyNumberFormat="1" applyFont="1" applyFill="1" applyBorder="1" applyAlignment="1">
      <alignment horizontal="right" vertical="top"/>
    </xf>
    <xf numFmtId="170" fontId="60" fillId="32" borderId="73" xfId="0" applyNumberFormat="1" applyFont="1" applyFill="1" applyBorder="1" applyAlignment="1">
      <alignment horizontal="right" vertical="top"/>
    </xf>
    <xf numFmtId="171" fontId="58" fillId="32" borderId="33" xfId="0" applyNumberFormat="1" applyFont="1" applyFill="1" applyBorder="1" applyAlignment="1">
      <alignment horizontal="right" vertical="top"/>
    </xf>
    <xf numFmtId="171" fontId="60" fillId="32" borderId="32" xfId="0" applyNumberFormat="1" applyFont="1" applyFill="1" applyBorder="1" applyAlignment="1">
      <alignment horizontal="right" vertical="top"/>
    </xf>
    <xf numFmtId="170" fontId="58" fillId="32" borderId="38" xfId="0" applyNumberFormat="1" applyFont="1" applyFill="1" applyBorder="1" applyAlignment="1">
      <alignment horizontal="right" vertical="top"/>
    </xf>
    <xf numFmtId="171" fontId="58" fillId="32" borderId="0" xfId="0" applyNumberFormat="1" applyFont="1" applyFill="1" applyAlignment="1">
      <alignment horizontal="right" vertical="top"/>
    </xf>
    <xf numFmtId="181" fontId="0" fillId="0" borderId="0" xfId="0" applyNumberFormat="1"/>
    <xf numFmtId="49" fontId="58" fillId="32" borderId="32" xfId="0" applyNumberFormat="1" applyFont="1" applyFill="1" applyBorder="1" applyAlignment="1">
      <alignment vertical="top"/>
    </xf>
    <xf numFmtId="10" fontId="0" fillId="0" borderId="0" xfId="314" applyNumberFormat="1" applyFont="1"/>
    <xf numFmtId="14" fontId="76" fillId="0" borderId="0" xfId="0" applyNumberFormat="1" applyFont="1"/>
    <xf numFmtId="187" fontId="76" fillId="0" borderId="0" xfId="141" applyNumberFormat="1" applyFont="1" applyFill="1" applyBorder="1"/>
    <xf numFmtId="10" fontId="76" fillId="0" borderId="0" xfId="0" applyNumberFormat="1" applyFont="1"/>
    <xf numFmtId="187" fontId="0" fillId="0" borderId="0" xfId="0" applyNumberFormat="1"/>
    <xf numFmtId="0" fontId="0" fillId="32" borderId="0" xfId="0" applyFill="1"/>
    <xf numFmtId="14" fontId="76" fillId="32" borderId="0" xfId="0" applyNumberFormat="1" applyFont="1" applyFill="1"/>
    <xf numFmtId="187" fontId="76" fillId="32" borderId="0" xfId="141" applyNumberFormat="1" applyFont="1" applyFill="1" applyBorder="1"/>
    <xf numFmtId="0" fontId="76" fillId="32" borderId="0" xfId="0" applyFont="1" applyFill="1"/>
    <xf numFmtId="167" fontId="0" fillId="32" borderId="0" xfId="138" applyFont="1" applyFill="1"/>
    <xf numFmtId="187" fontId="76" fillId="32" borderId="0" xfId="0" applyNumberFormat="1" applyFont="1" applyFill="1"/>
    <xf numFmtId="10" fontId="76" fillId="32" borderId="0" xfId="0" applyNumberFormat="1" applyFont="1" applyFill="1"/>
    <xf numFmtId="187" fontId="0" fillId="32" borderId="0" xfId="0" applyNumberFormat="1" applyFill="1"/>
    <xf numFmtId="14" fontId="0" fillId="32" borderId="0" xfId="0" applyNumberFormat="1" applyFill="1"/>
    <xf numFmtId="43" fontId="96" fillId="0" borderId="0" xfId="0" applyNumberFormat="1" applyFont="1" applyAlignment="1">
      <alignment horizontal="center"/>
    </xf>
    <xf numFmtId="0" fontId="55" fillId="32" borderId="0" xfId="0" applyFont="1" applyFill="1"/>
    <xf numFmtId="167" fontId="0" fillId="0" borderId="0" xfId="138" applyFont="1" applyFill="1"/>
    <xf numFmtId="0" fontId="55" fillId="0" borderId="66" xfId="0" applyFont="1" applyBorder="1"/>
    <xf numFmtId="0" fontId="55" fillId="0" borderId="56" xfId="0" applyFont="1" applyBorder="1"/>
    <xf numFmtId="0" fontId="55" fillId="0" borderId="32" xfId="0" applyFont="1" applyBorder="1"/>
    <xf numFmtId="0" fontId="0" fillId="0" borderId="56" xfId="0" applyBorder="1"/>
    <xf numFmtId="0" fontId="0" fillId="0" borderId="38" xfId="0" applyBorder="1"/>
    <xf numFmtId="43" fontId="0" fillId="0" borderId="32" xfId="141" applyFont="1" applyBorder="1"/>
    <xf numFmtId="43" fontId="0" fillId="0" borderId="0" xfId="141" applyFont="1" applyBorder="1"/>
    <xf numFmtId="43" fontId="0" fillId="0" borderId="38" xfId="141" applyFont="1" applyBorder="1"/>
    <xf numFmtId="0" fontId="0" fillId="0" borderId="63" xfId="0" applyBorder="1"/>
    <xf numFmtId="43" fontId="0" fillId="0" borderId="40" xfId="141" applyFont="1" applyBorder="1"/>
    <xf numFmtId="43" fontId="0" fillId="0" borderId="6" xfId="141" applyFont="1" applyBorder="1"/>
    <xf numFmtId="43" fontId="0" fillId="0" borderId="65" xfId="141" applyFont="1" applyBorder="1"/>
    <xf numFmtId="43" fontId="0" fillId="0" borderId="0" xfId="141" applyFont="1"/>
    <xf numFmtId="0" fontId="55" fillId="0" borderId="0" xfId="0" applyFont="1" applyAlignment="1">
      <alignment wrapText="1"/>
    </xf>
    <xf numFmtId="169" fontId="36" fillId="0" borderId="103" xfId="300" applyNumberFormat="1" applyFont="1" applyBorder="1"/>
    <xf numFmtId="167" fontId="36" fillId="0" borderId="28" xfId="300" applyNumberFormat="1" applyFont="1" applyBorder="1"/>
    <xf numFmtId="167" fontId="85" fillId="0" borderId="0" xfId="138" applyFont="1"/>
    <xf numFmtId="169" fontId="42" fillId="0" borderId="0" xfId="138" applyNumberFormat="1" applyFont="1" applyFill="1"/>
    <xf numFmtId="169" fontId="43" fillId="0" borderId="0" xfId="138" applyNumberFormat="1" applyFont="1" applyFill="1" applyBorder="1" applyAlignment="1">
      <alignment horizontal="center" wrapText="1"/>
    </xf>
    <xf numFmtId="169" fontId="42" fillId="0" borderId="0" xfId="138" applyNumberFormat="1" applyFont="1" applyFill="1" applyBorder="1"/>
    <xf numFmtId="169" fontId="42" fillId="0" borderId="31" xfId="138" applyNumberFormat="1" applyFont="1" applyFill="1" applyBorder="1" applyAlignment="1">
      <alignment horizontal="right"/>
    </xf>
    <xf numFmtId="167" fontId="42" fillId="0" borderId="0" xfId="138" applyFont="1" applyFill="1" applyBorder="1" applyAlignment="1">
      <alignment horizontal="right"/>
    </xf>
    <xf numFmtId="169" fontId="42" fillId="0" borderId="0" xfId="138" applyNumberFormat="1" applyFont="1" applyFill="1" applyBorder="1" applyAlignment="1">
      <alignment horizontal="right"/>
    </xf>
    <xf numFmtId="169" fontId="43" fillId="0" borderId="67" xfId="138" applyNumberFormat="1" applyFont="1" applyFill="1" applyBorder="1" applyAlignment="1">
      <alignment horizontal="right"/>
    </xf>
    <xf numFmtId="167" fontId="42" fillId="0" borderId="31" xfId="138" applyFont="1" applyFill="1" applyBorder="1"/>
    <xf numFmtId="169" fontId="43" fillId="0" borderId="67" xfId="138" applyNumberFormat="1" applyFont="1" applyFill="1" applyBorder="1"/>
    <xf numFmtId="167" fontId="42" fillId="0" borderId="0" xfId="138" applyFont="1" applyFill="1" applyBorder="1"/>
    <xf numFmtId="169" fontId="43" fillId="0" borderId="0" xfId="138" applyNumberFormat="1" applyFont="1" applyFill="1" applyBorder="1" applyAlignment="1">
      <alignment horizontal="center" vertical="center"/>
    </xf>
    <xf numFmtId="10" fontId="42" fillId="0" borderId="0" xfId="314" applyNumberFormat="1" applyFont="1" applyFill="1" applyBorder="1"/>
    <xf numFmtId="169" fontId="43" fillId="0" borderId="5" xfId="138" applyNumberFormat="1" applyFont="1" applyFill="1" applyBorder="1" applyAlignment="1">
      <alignment horizontal="center" vertical="center" wrapText="1"/>
    </xf>
    <xf numFmtId="169" fontId="43" fillId="0" borderId="35" xfId="138" applyNumberFormat="1" applyFont="1" applyFill="1" applyBorder="1"/>
    <xf numFmtId="169" fontId="43" fillId="0" borderId="0" xfId="138" applyNumberFormat="1" applyFont="1" applyFill="1" applyBorder="1"/>
    <xf numFmtId="169" fontId="42" fillId="0" borderId="43" xfId="138" applyNumberFormat="1" applyFont="1" applyFill="1" applyBorder="1"/>
    <xf numFmtId="169" fontId="43" fillId="0" borderId="0" xfId="138" applyNumberFormat="1" applyFont="1" applyFill="1" applyBorder="1" applyAlignment="1">
      <alignment horizontal="center" vertical="center" wrapText="1"/>
    </xf>
    <xf numFmtId="169" fontId="42" fillId="0" borderId="0" xfId="138" applyNumberFormat="1" applyFont="1" applyFill="1" applyBorder="1" applyAlignment="1">
      <alignment horizontal="center" vertical="center" wrapText="1"/>
    </xf>
    <xf numFmtId="169" fontId="42" fillId="0" borderId="82" xfId="138" applyNumberFormat="1" applyFont="1" applyFill="1" applyBorder="1"/>
    <xf numFmtId="169" fontId="42" fillId="0" borderId="35" xfId="138" applyNumberFormat="1" applyFont="1" applyFill="1" applyBorder="1"/>
    <xf numFmtId="169" fontId="42" fillId="0" borderId="31" xfId="138" applyNumberFormat="1" applyFont="1" applyFill="1" applyBorder="1"/>
    <xf numFmtId="169" fontId="43" fillId="0" borderId="67" xfId="138" applyNumberFormat="1" applyFont="1" applyFill="1" applyBorder="1" applyAlignment="1">
      <alignment vertical="center"/>
    </xf>
    <xf numFmtId="0" fontId="106" fillId="36" borderId="0" xfId="0" applyFont="1" applyFill="1" applyAlignment="1">
      <alignment horizontal="center"/>
    </xf>
    <xf numFmtId="43" fontId="0" fillId="0" borderId="0" xfId="0" applyNumberFormat="1" applyAlignment="1">
      <alignment wrapText="1"/>
    </xf>
    <xf numFmtId="0" fontId="108" fillId="36" borderId="0" xfId="0" applyFont="1" applyFill="1" applyAlignment="1">
      <alignment horizontal="center"/>
    </xf>
    <xf numFmtId="10" fontId="105" fillId="36" borderId="0" xfId="143" applyNumberFormat="1" applyFont="1" applyFill="1" applyBorder="1" applyAlignment="1">
      <alignment horizontal="center" vertical="center"/>
    </xf>
    <xf numFmtId="10" fontId="105" fillId="36" borderId="0" xfId="143" applyNumberFormat="1" applyFont="1" applyFill="1" applyBorder="1" applyAlignment="1">
      <alignment horizontal="center" vertical="center" wrapText="1"/>
    </xf>
    <xf numFmtId="168" fontId="106" fillId="36" borderId="0" xfId="143" applyFont="1" applyFill="1" applyBorder="1" applyAlignment="1">
      <alignment horizontal="center"/>
    </xf>
    <xf numFmtId="167" fontId="106" fillId="36" borderId="0" xfId="138" applyFont="1" applyFill="1" applyBorder="1" applyAlignment="1">
      <alignment horizontal="center"/>
    </xf>
    <xf numFmtId="1" fontId="106" fillId="36" borderId="0" xfId="314" applyNumberFormat="1" applyFont="1" applyFill="1" applyBorder="1" applyAlignment="1">
      <alignment horizontal="center"/>
    </xf>
    <xf numFmtId="168" fontId="105" fillId="36" borderId="0" xfId="143" applyFont="1" applyFill="1" applyBorder="1" applyAlignment="1">
      <alignment horizontal="center"/>
    </xf>
    <xf numFmtId="0" fontId="36" fillId="0" borderId="83" xfId="141" applyNumberFormat="1" applyFont="1" applyFill="1" applyBorder="1" applyAlignment="1">
      <alignment horizontal="left" vertical="center" wrapText="1"/>
    </xf>
    <xf numFmtId="0" fontId="6" fillId="0" borderId="95" xfId="301" applyFont="1" applyBorder="1" applyAlignment="1">
      <alignment horizontal="left" vertical="top" wrapText="1"/>
    </xf>
    <xf numFmtId="0" fontId="6" fillId="0" borderId="17" xfId="300" applyFont="1" applyBorder="1" applyAlignment="1">
      <alignment horizontal="left" wrapText="1"/>
    </xf>
    <xf numFmtId="0" fontId="6" fillId="0" borderId="104" xfId="300" applyFont="1" applyBorder="1" applyAlignment="1">
      <alignment horizontal="left"/>
    </xf>
    <xf numFmtId="0" fontId="74" fillId="0" borderId="32" xfId="0" applyFont="1" applyBorder="1" applyAlignment="1">
      <alignment horizontal="center"/>
    </xf>
    <xf numFmtId="0" fontId="74" fillId="0" borderId="38" xfId="0" applyFont="1" applyBorder="1" applyAlignment="1">
      <alignment horizontal="center"/>
    </xf>
    <xf numFmtId="167" fontId="74" fillId="0" borderId="0" xfId="138" applyFont="1" applyFill="1" applyBorder="1" applyAlignment="1">
      <alignment horizontal="center"/>
    </xf>
    <xf numFmtId="169" fontId="74" fillId="0" borderId="38" xfId="138" applyNumberFormat="1" applyFont="1" applyFill="1" applyBorder="1"/>
    <xf numFmtId="0" fontId="148" fillId="0" borderId="32" xfId="0" applyFont="1" applyBorder="1"/>
    <xf numFmtId="0" fontId="74" fillId="0" borderId="88" xfId="0" applyFont="1" applyBorder="1" applyAlignment="1">
      <alignment horizontal="center"/>
    </xf>
    <xf numFmtId="167" fontId="74" fillId="0" borderId="4" xfId="138" applyFont="1" applyFill="1" applyBorder="1"/>
    <xf numFmtId="167" fontId="74" fillId="0" borderId="27" xfId="138" applyFont="1" applyFill="1" applyBorder="1" applyAlignment="1">
      <alignment horizontal="center"/>
    </xf>
    <xf numFmtId="169" fontId="74" fillId="0" borderId="27" xfId="138" applyNumberFormat="1" applyFont="1" applyFill="1" applyBorder="1" applyAlignment="1">
      <alignment horizontal="center"/>
    </xf>
    <xf numFmtId="0" fontId="148" fillId="0" borderId="86" xfId="0" applyFont="1" applyBorder="1" applyAlignment="1">
      <alignment horizontal="left" vertical="top"/>
    </xf>
    <xf numFmtId="0" fontId="148" fillId="0" borderId="15" xfId="0" applyFont="1" applyBorder="1" applyAlignment="1">
      <alignment horizontal="center"/>
    </xf>
    <xf numFmtId="0" fontId="74" fillId="0" borderId="32" xfId="0" applyFont="1" applyBorder="1" applyAlignment="1">
      <alignment wrapText="1"/>
    </xf>
    <xf numFmtId="10" fontId="74" fillId="0" borderId="32" xfId="0" applyNumberFormat="1" applyFont="1" applyBorder="1"/>
    <xf numFmtId="167" fontId="74" fillId="0" borderId="88" xfId="0" applyNumberFormat="1" applyFont="1" applyBorder="1"/>
    <xf numFmtId="0" fontId="148" fillId="0" borderId="87" xfId="0" applyFont="1" applyBorder="1" applyAlignment="1">
      <alignment horizontal="left" vertical="top"/>
    </xf>
    <xf numFmtId="0" fontId="74" fillId="0" borderId="15" xfId="0" applyFont="1" applyBorder="1" applyAlignment="1">
      <alignment horizontal="center"/>
    </xf>
    <xf numFmtId="0" fontId="148" fillId="0" borderId="32" xfId="0" applyFont="1" applyBorder="1" applyAlignment="1">
      <alignment horizontal="left"/>
    </xf>
    <xf numFmtId="0" fontId="148" fillId="0" borderId="32" xfId="0" applyFont="1" applyBorder="1" applyAlignment="1">
      <alignment horizontal="left" vertical="center"/>
    </xf>
    <xf numFmtId="167" fontId="74" fillId="0" borderId="0" xfId="138" applyFont="1" applyFill="1" applyBorder="1"/>
    <xf numFmtId="0" fontId="74" fillId="0" borderId="32" xfId="0" applyFont="1" applyBorder="1" applyAlignment="1">
      <alignment horizontal="left"/>
    </xf>
    <xf numFmtId="169" fontId="42" fillId="0" borderId="0" xfId="138" applyNumberFormat="1" applyFont="1" applyFill="1" applyBorder="1" applyAlignment="1">
      <alignment horizontal="center"/>
    </xf>
    <xf numFmtId="169" fontId="148" fillId="0" borderId="27" xfId="138" applyNumberFormat="1" applyFont="1" applyFill="1" applyBorder="1" applyAlignment="1">
      <alignment horizontal="center"/>
    </xf>
    <xf numFmtId="0" fontId="74" fillId="0" borderId="32" xfId="0" applyFont="1" applyBorder="1" applyAlignment="1">
      <alignment horizontal="left" indent="7"/>
    </xf>
    <xf numFmtId="0" fontId="74" fillId="36" borderId="88" xfId="0" applyFont="1" applyFill="1" applyBorder="1" applyAlignment="1">
      <alignment horizontal="center"/>
    </xf>
    <xf numFmtId="0" fontId="74" fillId="0" borderId="4" xfId="0" applyFont="1" applyBorder="1" applyAlignment="1">
      <alignment horizontal="center"/>
    </xf>
    <xf numFmtId="0" fontId="148" fillId="0" borderId="32" xfId="0" applyFont="1" applyBorder="1" applyAlignment="1">
      <alignment horizontal="left" indent="4"/>
    </xf>
    <xf numFmtId="0" fontId="74" fillId="0" borderId="25" xfId="0" applyFont="1" applyBorder="1" applyAlignment="1">
      <alignment horizontal="center"/>
    </xf>
    <xf numFmtId="44" fontId="74" fillId="0" borderId="4" xfId="0" applyNumberFormat="1" applyFont="1" applyBorder="1"/>
    <xf numFmtId="0" fontId="148" fillId="0" borderId="32" xfId="0" applyFont="1" applyBorder="1" applyAlignment="1">
      <alignment vertical="top" wrapText="1"/>
    </xf>
    <xf numFmtId="0" fontId="74" fillId="0" borderId="32" xfId="0" applyFont="1" applyBorder="1" applyAlignment="1">
      <alignment horizontal="left" vertical="top" indent="2"/>
    </xf>
    <xf numFmtId="0" fontId="74" fillId="0" borderId="88" xfId="0" applyFont="1" applyBorder="1" applyAlignment="1">
      <alignment horizontal="center" vertical="center"/>
    </xf>
    <xf numFmtId="167" fontId="74" fillId="0" borderId="27" xfId="138" applyFont="1" applyFill="1" applyBorder="1" applyAlignment="1">
      <alignment horizontal="center" vertical="center"/>
    </xf>
    <xf numFmtId="0" fontId="74" fillId="0" borderId="40" xfId="0" applyFont="1" applyBorder="1" applyAlignment="1">
      <alignment horizontal="justify" vertical="justify" wrapText="1"/>
    </xf>
    <xf numFmtId="0" fontId="74" fillId="0" borderId="29" xfId="0" applyFont="1" applyBorder="1" applyAlignment="1">
      <alignment horizontal="center" vertical="center"/>
    </xf>
    <xf numFmtId="169" fontId="148" fillId="0" borderId="47" xfId="138" applyNumberFormat="1" applyFont="1" applyFill="1" applyBorder="1" applyAlignment="1">
      <alignment horizontal="center"/>
    </xf>
    <xf numFmtId="0" fontId="74" fillId="0" borderId="73" xfId="0" applyFont="1" applyBorder="1" applyAlignment="1">
      <alignment horizontal="left"/>
    </xf>
    <xf numFmtId="0" fontId="74" fillId="0" borderId="33" xfId="0" applyFont="1" applyBorder="1"/>
    <xf numFmtId="167" fontId="74" fillId="0" borderId="33" xfId="138" applyFont="1" applyFill="1" applyBorder="1"/>
    <xf numFmtId="0" fontId="148" fillId="0" borderId="38" xfId="0" applyFont="1" applyBorder="1" applyAlignment="1">
      <alignment horizontal="right" vertical="top"/>
    </xf>
    <xf numFmtId="167" fontId="74" fillId="0" borderId="38" xfId="138" applyFont="1" applyFill="1" applyBorder="1"/>
    <xf numFmtId="167" fontId="74" fillId="0" borderId="38" xfId="138" applyFont="1" applyFill="1" applyBorder="1" applyAlignment="1">
      <alignment horizontal="right"/>
    </xf>
    <xf numFmtId="0" fontId="72" fillId="0" borderId="38" xfId="0" applyFont="1" applyBorder="1" applyAlignment="1">
      <alignment horizontal="center"/>
    </xf>
    <xf numFmtId="0" fontId="150" fillId="0" borderId="38" xfId="0" applyFont="1" applyBorder="1" applyAlignment="1">
      <alignment horizontal="center" vertical="top"/>
    </xf>
    <xf numFmtId="169" fontId="74" fillId="0" borderId="38" xfId="138" applyNumberFormat="1" applyFont="1" applyFill="1" applyBorder="1" applyAlignment="1">
      <alignment horizontal="center"/>
    </xf>
    <xf numFmtId="15" fontId="74" fillId="0" borderId="32" xfId="0" applyNumberFormat="1" applyFont="1" applyBorder="1" applyAlignment="1">
      <alignment horizontal="left"/>
    </xf>
    <xf numFmtId="15" fontId="74" fillId="0" borderId="38" xfId="0" applyNumberFormat="1" applyFont="1" applyBorder="1" applyAlignment="1">
      <alignment horizontal="left"/>
    </xf>
    <xf numFmtId="14" fontId="74" fillId="0" borderId="40" xfId="0" applyNumberFormat="1" applyFont="1" applyBorder="1" applyAlignment="1">
      <alignment horizontal="left"/>
    </xf>
    <xf numFmtId="14" fontId="74" fillId="0" borderId="65" xfId="0" applyNumberFormat="1" applyFont="1" applyBorder="1" applyAlignment="1">
      <alignment horizontal="left"/>
    </xf>
    <xf numFmtId="0" fontId="42" fillId="36" borderId="38" xfId="0" applyFont="1" applyFill="1" applyBorder="1" applyAlignment="1">
      <alignment horizontal="center"/>
    </xf>
    <xf numFmtId="169" fontId="42" fillId="36" borderId="38" xfId="138" applyNumberFormat="1" applyFont="1" applyFill="1" applyBorder="1" applyAlignment="1">
      <alignment horizontal="center" vertical="center"/>
    </xf>
    <xf numFmtId="0" fontId="42" fillId="36" borderId="88" xfId="0" applyFont="1" applyFill="1" applyBorder="1" applyAlignment="1">
      <alignment horizontal="center" vertical="center"/>
    </xf>
    <xf numFmtId="0" fontId="43" fillId="36" borderId="32" xfId="0" applyFont="1" applyFill="1" applyBorder="1" applyAlignment="1">
      <alignment horizontal="right"/>
    </xf>
    <xf numFmtId="0" fontId="43" fillId="36" borderId="88" xfId="0" applyFont="1" applyFill="1" applyBorder="1" applyAlignment="1">
      <alignment horizontal="center" vertical="center"/>
    </xf>
    <xf numFmtId="0" fontId="42" fillId="36" borderId="88" xfId="0" applyFont="1" applyFill="1" applyBorder="1"/>
    <xf numFmtId="0" fontId="42" fillId="36" borderId="36" xfId="0" applyFont="1" applyFill="1" applyBorder="1" applyAlignment="1">
      <alignment horizontal="justify" vertical="justify" wrapText="1"/>
    </xf>
    <xf numFmtId="0" fontId="42" fillId="36" borderId="24" xfId="0" applyFont="1" applyFill="1" applyBorder="1" applyAlignment="1">
      <alignment horizontal="center" vertical="center"/>
    </xf>
    <xf numFmtId="167" fontId="42" fillId="36" borderId="62" xfId="138" applyFont="1" applyFill="1" applyBorder="1" applyAlignment="1">
      <alignment horizontal="center" vertical="center"/>
    </xf>
    <xf numFmtId="3" fontId="42" fillId="36" borderId="0" xfId="138" applyNumberFormat="1" applyFont="1" applyFill="1" applyBorder="1" applyAlignment="1">
      <alignment horizontal="right" vertical="center"/>
    </xf>
    <xf numFmtId="167" fontId="42" fillId="36" borderId="0" xfId="138" applyFont="1" applyFill="1" applyBorder="1" applyAlignment="1">
      <alignment horizontal="center" vertical="center"/>
    </xf>
    <xf numFmtId="0" fontId="43" fillId="36" borderId="38" xfId="0" applyFont="1" applyFill="1" applyBorder="1" applyAlignment="1">
      <alignment horizontal="center"/>
    </xf>
    <xf numFmtId="0" fontId="103" fillId="36" borderId="38" xfId="0" applyFont="1" applyFill="1" applyBorder="1" applyAlignment="1">
      <alignment horizontal="right" vertical="top"/>
    </xf>
    <xf numFmtId="167" fontId="42" fillId="36" borderId="38" xfId="138" applyFont="1" applyFill="1" applyBorder="1" applyAlignment="1">
      <alignment horizontal="right"/>
    </xf>
    <xf numFmtId="167" fontId="42" fillId="36" borderId="0" xfId="138" applyFont="1" applyFill="1" applyBorder="1" applyAlignment="1">
      <alignment horizontal="center"/>
    </xf>
    <xf numFmtId="15" fontId="42" fillId="36" borderId="32" xfId="0" applyNumberFormat="1" applyFont="1" applyFill="1" applyBorder="1" applyAlignment="1">
      <alignment horizontal="left"/>
    </xf>
    <xf numFmtId="14" fontId="42" fillId="36" borderId="40" xfId="0" applyNumberFormat="1" applyFont="1" applyFill="1" applyBorder="1" applyAlignment="1">
      <alignment horizontal="left"/>
    </xf>
    <xf numFmtId="0" fontId="42" fillId="36" borderId="65" xfId="0" applyFont="1" applyFill="1" applyBorder="1"/>
    <xf numFmtId="0" fontId="43" fillId="36" borderId="32" xfId="0" applyFont="1" applyFill="1" applyBorder="1" applyAlignment="1">
      <alignment wrapText="1"/>
    </xf>
    <xf numFmtId="169" fontId="42" fillId="0" borderId="38" xfId="138" applyNumberFormat="1" applyFont="1" applyFill="1" applyBorder="1" applyAlignment="1">
      <alignment horizontal="left"/>
    </xf>
    <xf numFmtId="0" fontId="137" fillId="0" borderId="32" xfId="346" applyFont="1" applyBorder="1" applyAlignment="1">
      <alignment horizontal="left" vertical="center" wrapText="1"/>
    </xf>
    <xf numFmtId="0" fontId="137" fillId="0" borderId="0" xfId="346" applyFont="1" applyAlignment="1">
      <alignment horizontal="left" vertical="center" wrapText="1"/>
    </xf>
    <xf numFmtId="0" fontId="137" fillId="0" borderId="38" xfId="346" applyFont="1" applyBorder="1" applyAlignment="1">
      <alignment horizontal="left" vertical="center" wrapText="1"/>
    </xf>
    <xf numFmtId="0" fontId="136" fillId="0" borderId="0" xfId="345" applyFont="1"/>
    <xf numFmtId="0" fontId="136" fillId="0" borderId="38" xfId="345" applyFont="1" applyBorder="1"/>
    <xf numFmtId="0" fontId="137" fillId="42" borderId="15" xfId="345" applyFont="1" applyFill="1" applyBorder="1" applyAlignment="1">
      <alignment horizontal="center" vertical="center" wrapText="1"/>
    </xf>
    <xf numFmtId="0" fontId="136" fillId="0" borderId="32" xfId="345" applyFont="1" applyBorder="1" applyAlignment="1">
      <alignment vertical="center" wrapText="1"/>
    </xf>
    <xf numFmtId="0" fontId="136" fillId="0" borderId="0" xfId="345" applyFont="1" applyAlignment="1">
      <alignment vertical="center" wrapText="1"/>
    </xf>
    <xf numFmtId="43" fontId="136" fillId="0" borderId="15" xfId="345" applyNumberFormat="1" applyFont="1" applyBorder="1" applyAlignment="1">
      <alignment horizontal="right" vertical="center" wrapText="1"/>
    </xf>
    <xf numFmtId="43" fontId="136" fillId="0" borderId="48" xfId="345" applyNumberFormat="1" applyFont="1" applyBorder="1" applyAlignment="1">
      <alignment horizontal="right" vertical="center" wrapText="1"/>
    </xf>
    <xf numFmtId="0" fontId="136" fillId="0" borderId="32" xfId="345" applyFont="1" applyBorder="1" applyAlignment="1">
      <alignment horizontal="left" vertical="center"/>
    </xf>
    <xf numFmtId="0" fontId="136" fillId="0" borderId="0" xfId="345" applyFont="1" applyAlignment="1">
      <alignment horizontal="left" vertical="center"/>
    </xf>
    <xf numFmtId="0" fontId="136" fillId="0" borderId="38" xfId="345" applyFont="1" applyBorder="1" applyAlignment="1">
      <alignment vertical="center" wrapText="1"/>
    </xf>
    <xf numFmtId="0" fontId="137" fillId="42" borderId="15" xfId="345" applyFont="1" applyFill="1" applyBorder="1" applyAlignment="1">
      <alignment vertical="center" wrapText="1"/>
    </xf>
    <xf numFmtId="43" fontId="136" fillId="0" borderId="15" xfId="345" applyNumberFormat="1" applyFont="1" applyBorder="1" applyAlignment="1">
      <alignment vertical="center" wrapText="1"/>
    </xf>
    <xf numFmtId="43" fontId="136" fillId="0" borderId="48" xfId="345" applyNumberFormat="1" applyFont="1" applyBorder="1" applyAlignment="1">
      <alignment vertical="center" wrapText="1"/>
    </xf>
    <xf numFmtId="0" fontId="136" fillId="0" borderId="32" xfId="345" applyFont="1" applyBorder="1"/>
    <xf numFmtId="14" fontId="136" fillId="0" borderId="40" xfId="345" applyNumberFormat="1" applyFont="1" applyBorder="1"/>
    <xf numFmtId="0" fontId="136" fillId="0" borderId="118" xfId="345" applyFont="1" applyBorder="1"/>
    <xf numFmtId="0" fontId="136" fillId="0" borderId="65" xfId="345" applyFont="1" applyBorder="1"/>
    <xf numFmtId="14" fontId="136" fillId="0" borderId="42" xfId="345" applyNumberFormat="1" applyFont="1" applyBorder="1"/>
    <xf numFmtId="0" fontId="136" fillId="0" borderId="43" xfId="345" applyFont="1" applyBorder="1"/>
    <xf numFmtId="0" fontId="136" fillId="0" borderId="44" xfId="345" applyFont="1" applyBorder="1"/>
    <xf numFmtId="0" fontId="137" fillId="0" borderId="32" xfId="345" applyFont="1" applyBorder="1"/>
    <xf numFmtId="0" fontId="137" fillId="42" borderId="114" xfId="345" applyFont="1" applyFill="1" applyBorder="1" applyAlignment="1">
      <alignment vertical="center"/>
    </xf>
    <xf numFmtId="0" fontId="136" fillId="0" borderId="117" xfId="345" applyFont="1" applyBorder="1" applyAlignment="1">
      <alignment wrapText="1"/>
    </xf>
    <xf numFmtId="0" fontId="136" fillId="0" borderId="40" xfId="345" applyFont="1" applyBorder="1"/>
    <xf numFmtId="0" fontId="135" fillId="42" borderId="114" xfId="0" applyFont="1" applyFill="1" applyBorder="1" applyAlignment="1">
      <alignment horizontal="center" vertical="center"/>
    </xf>
    <xf numFmtId="0" fontId="135" fillId="42" borderId="115" xfId="0" applyFont="1" applyFill="1" applyBorder="1" applyAlignment="1">
      <alignment horizontal="center" vertical="center"/>
    </xf>
    <xf numFmtId="169" fontId="137" fillId="42" borderId="115" xfId="146" applyNumberFormat="1" applyFont="1" applyFill="1" applyBorder="1" applyAlignment="1">
      <alignment horizontal="center" vertical="top" wrapText="1"/>
    </xf>
    <xf numFmtId="0" fontId="135" fillId="42" borderId="79" xfId="0" applyFont="1" applyFill="1" applyBorder="1" applyAlignment="1">
      <alignment horizontal="center" vertical="center"/>
    </xf>
    <xf numFmtId="0" fontId="133" fillId="0" borderId="57" xfId="346" applyFont="1" applyBorder="1"/>
    <xf numFmtId="0" fontId="133" fillId="0" borderId="19" xfId="346" applyFont="1" applyBorder="1"/>
    <xf numFmtId="167" fontId="133" fillId="0" borderId="88" xfId="349" applyFont="1" applyBorder="1"/>
    <xf numFmtId="0" fontId="155" fillId="0" borderId="38" xfId="346" applyFont="1" applyBorder="1"/>
    <xf numFmtId="0" fontId="135" fillId="0" borderId="57" xfId="346" applyFont="1" applyBorder="1"/>
    <xf numFmtId="0" fontId="135" fillId="0" borderId="19" xfId="346" applyFont="1" applyBorder="1"/>
    <xf numFmtId="0" fontId="133" fillId="0" borderId="38" xfId="346" applyFont="1" applyBorder="1"/>
    <xf numFmtId="0" fontId="136" fillId="0" borderId="88" xfId="350" applyFont="1" applyBorder="1" applyAlignment="1">
      <alignment horizontal="left" vertical="center" wrapText="1"/>
    </xf>
    <xf numFmtId="9" fontId="133" fillId="0" borderId="88" xfId="314" applyFont="1" applyBorder="1"/>
    <xf numFmtId="0" fontId="133" fillId="0" borderId="88" xfId="346" applyFont="1" applyBorder="1"/>
    <xf numFmtId="0" fontId="135" fillId="0" borderId="88" xfId="346" applyFont="1" applyBorder="1"/>
    <xf numFmtId="0" fontId="133" fillId="0" borderId="38" xfId="346" applyFont="1" applyBorder="1" applyAlignment="1">
      <alignment wrapText="1"/>
    </xf>
    <xf numFmtId="0" fontId="133" fillId="0" borderId="64" xfId="346" applyFont="1" applyBorder="1"/>
    <xf numFmtId="0" fontId="133" fillId="0" borderId="41" xfId="346" applyFont="1" applyBorder="1"/>
    <xf numFmtId="167" fontId="133" fillId="0" borderId="29" xfId="349" applyFont="1" applyBorder="1"/>
    <xf numFmtId="9" fontId="133" fillId="0" borderId="29" xfId="314" applyFont="1" applyBorder="1"/>
    <xf numFmtId="0" fontId="133" fillId="0" borderId="65" xfId="346" applyFont="1" applyBorder="1"/>
    <xf numFmtId="0" fontId="133" fillId="0" borderId="32" xfId="346" applyFont="1" applyBorder="1"/>
    <xf numFmtId="167" fontId="133" fillId="0" borderId="0" xfId="349" applyFont="1" applyBorder="1"/>
    <xf numFmtId="9" fontId="133" fillId="0" borderId="0" xfId="314" applyFont="1" applyBorder="1"/>
    <xf numFmtId="9" fontId="133" fillId="0" borderId="0" xfId="314" applyFont="1" applyBorder="1" applyAlignment="1">
      <alignment horizontal="right"/>
    </xf>
    <xf numFmtId="0" fontId="133" fillId="0" borderId="38" xfId="346" applyFont="1" applyBorder="1" applyAlignment="1">
      <alignment horizontal="right"/>
    </xf>
    <xf numFmtId="167" fontId="156" fillId="0" borderId="0" xfId="349" applyFont="1" applyBorder="1"/>
    <xf numFmtId="0" fontId="156" fillId="0" borderId="0" xfId="346" applyFont="1"/>
    <xf numFmtId="0" fontId="156" fillId="0" borderId="38" xfId="346" applyFont="1" applyBorder="1"/>
    <xf numFmtId="0" fontId="137" fillId="0" borderId="117" xfId="345" applyFont="1" applyBorder="1" applyAlignment="1">
      <alignment horizontal="right" vertical="center" wrapText="1"/>
    </xf>
    <xf numFmtId="0" fontId="136" fillId="0" borderId="86" xfId="345" applyFont="1" applyBorder="1"/>
    <xf numFmtId="0" fontId="136" fillId="0" borderId="86" xfId="345" applyFont="1" applyBorder="1" applyAlignment="1">
      <alignment horizontal="center"/>
    </xf>
    <xf numFmtId="0" fontId="136" fillId="0" borderId="117" xfId="345" applyFont="1" applyBorder="1"/>
    <xf numFmtId="0" fontId="136" fillId="0" borderId="86" xfId="345" applyFont="1" applyBorder="1" applyAlignment="1">
      <alignment vertical="center"/>
    </xf>
    <xf numFmtId="0" fontId="133" fillId="0" borderId="38" xfId="346" applyFont="1" applyBorder="1" applyAlignment="1">
      <alignment horizontal="center"/>
    </xf>
    <xf numFmtId="0" fontId="135" fillId="0" borderId="32" xfId="346" applyFont="1" applyBorder="1"/>
    <xf numFmtId="0" fontId="157" fillId="0" borderId="0" xfId="346" applyFont="1"/>
    <xf numFmtId="3" fontId="0" fillId="0" borderId="0" xfId="0" applyNumberFormat="1" applyAlignment="1">
      <alignment horizontal="left"/>
    </xf>
    <xf numFmtId="0" fontId="0" fillId="0" borderId="0" xfId="0" applyAlignment="1">
      <alignment horizontal="left"/>
    </xf>
    <xf numFmtId="169" fontId="43" fillId="0" borderId="0" xfId="138" applyNumberFormat="1" applyFont="1" applyFill="1" applyBorder="1" applyAlignment="1">
      <alignment horizontal="left"/>
    </xf>
    <xf numFmtId="0" fontId="158" fillId="0" borderId="32" xfId="0" applyFont="1" applyBorder="1" applyAlignment="1">
      <alignment wrapText="1"/>
    </xf>
    <xf numFmtId="0" fontId="159" fillId="0" borderId="32" xfId="0" applyFont="1" applyBorder="1" applyAlignment="1">
      <alignment wrapText="1"/>
    </xf>
    <xf numFmtId="0" fontId="158" fillId="0" borderId="32" xfId="0" applyFont="1" applyBorder="1"/>
    <xf numFmtId="3" fontId="71" fillId="36" borderId="0" xfId="138" applyNumberFormat="1" applyFont="1" applyFill="1" applyBorder="1" applyAlignment="1">
      <alignment horizontal="right"/>
    </xf>
    <xf numFmtId="0" fontId="148" fillId="0" borderId="32" xfId="0" applyFont="1" applyBorder="1" applyAlignment="1">
      <alignment horizontal="left" vertical="center" wrapText="1"/>
    </xf>
    <xf numFmtId="0" fontId="74" fillId="0" borderId="32" xfId="0" applyFont="1" applyBorder="1" applyAlignment="1">
      <alignment horizontal="left" wrapText="1"/>
    </xf>
    <xf numFmtId="0" fontId="63" fillId="0" borderId="0" xfId="351" applyFont="1" applyAlignment="1">
      <alignment vertical="top"/>
    </xf>
    <xf numFmtId="0" fontId="5" fillId="0" borderId="0" xfId="351"/>
    <xf numFmtId="49" fontId="57" fillId="0" borderId="33" xfId="351" applyNumberFormat="1" applyFont="1" applyBorder="1" applyAlignment="1">
      <alignment horizontal="left" vertical="top" indent="3"/>
    </xf>
    <xf numFmtId="49" fontId="57" fillId="0" borderId="4" xfId="351" applyNumberFormat="1" applyFont="1" applyBorder="1" applyAlignment="1">
      <alignment horizontal="left" vertical="top" indent="3"/>
    </xf>
    <xf numFmtId="49" fontId="58" fillId="0" borderId="0" xfId="351" applyNumberFormat="1" applyFont="1" applyAlignment="1">
      <alignment horizontal="center" vertical="top" wrapText="1"/>
    </xf>
    <xf numFmtId="49" fontId="57" fillId="0" borderId="53" xfId="351" applyNumberFormat="1" applyFont="1" applyBorder="1" applyAlignment="1">
      <alignment horizontal="center" vertical="top"/>
    </xf>
    <xf numFmtId="49" fontId="57" fillId="0" borderId="34" xfId="351" applyNumberFormat="1" applyFont="1" applyBorder="1" applyAlignment="1">
      <alignment horizontal="left" vertical="top" indent="3"/>
    </xf>
    <xf numFmtId="49" fontId="57" fillId="0" borderId="34" xfId="351" applyNumberFormat="1" applyFont="1" applyBorder="1" applyAlignment="1">
      <alignment horizontal="center" vertical="top"/>
    </xf>
    <xf numFmtId="49" fontId="58" fillId="0" borderId="15" xfId="351" applyNumberFormat="1" applyFont="1" applyBorder="1" applyAlignment="1">
      <alignment horizontal="center" vertical="top"/>
    </xf>
    <xf numFmtId="49" fontId="57" fillId="0" borderId="0" xfId="351" applyNumberFormat="1" applyFont="1" applyAlignment="1">
      <alignment vertical="top"/>
    </xf>
    <xf numFmtId="186" fontId="57" fillId="0" borderId="35" xfId="351" applyNumberFormat="1" applyFont="1" applyBorder="1" applyAlignment="1">
      <alignment horizontal="right" vertical="top"/>
    </xf>
    <xf numFmtId="171" fontId="60" fillId="0" borderId="35" xfId="351" applyNumberFormat="1" applyFont="1" applyBorder="1" applyAlignment="1">
      <alignment horizontal="right" vertical="top"/>
    </xf>
    <xf numFmtId="49" fontId="60" fillId="0" borderId="0" xfId="351" applyNumberFormat="1" applyFont="1" applyAlignment="1">
      <alignment horizontal="left" vertical="top" indent="3"/>
    </xf>
    <xf numFmtId="186" fontId="60" fillId="0" borderId="0" xfId="351" applyNumberFormat="1" applyFont="1" applyAlignment="1">
      <alignment horizontal="right" vertical="top"/>
    </xf>
    <xf numFmtId="171" fontId="58" fillId="0" borderId="0" xfId="351" applyNumberFormat="1" applyFont="1" applyAlignment="1">
      <alignment horizontal="right" vertical="top"/>
    </xf>
    <xf numFmtId="186" fontId="57" fillId="0" borderId="31" xfId="351" applyNumberFormat="1" applyFont="1" applyBorder="1" applyAlignment="1">
      <alignment horizontal="right" vertical="top"/>
    </xf>
    <xf numFmtId="170" fontId="60" fillId="0" borderId="31" xfId="351" applyNumberFormat="1" applyFont="1" applyBorder="1" applyAlignment="1">
      <alignment horizontal="right" vertical="top"/>
    </xf>
    <xf numFmtId="49" fontId="58" fillId="0" borderId="0" xfId="351" applyNumberFormat="1" applyFont="1" applyAlignment="1">
      <alignment horizontal="left" vertical="top" indent="3"/>
    </xf>
    <xf numFmtId="171" fontId="58" fillId="0" borderId="35" xfId="351" applyNumberFormat="1" applyFont="1" applyBorder="1" applyAlignment="1">
      <alignment horizontal="right" vertical="top"/>
    </xf>
    <xf numFmtId="170" fontId="58" fillId="0" borderId="35" xfId="351" applyNumberFormat="1" applyFont="1" applyBorder="1" applyAlignment="1">
      <alignment horizontal="right" vertical="top"/>
    </xf>
    <xf numFmtId="49" fontId="60" fillId="0" borderId="0" xfId="351" applyNumberFormat="1" applyFont="1" applyAlignment="1">
      <alignment horizontal="left" vertical="top" indent="5"/>
    </xf>
    <xf numFmtId="170" fontId="60" fillId="0" borderId="0" xfId="351" applyNumberFormat="1" applyFont="1" applyAlignment="1">
      <alignment horizontal="right" vertical="top"/>
    </xf>
    <xf numFmtId="186" fontId="58" fillId="0" borderId="0" xfId="351" applyNumberFormat="1" applyFont="1" applyAlignment="1">
      <alignment horizontal="right" vertical="top"/>
    </xf>
    <xf numFmtId="170" fontId="58" fillId="0" borderId="0" xfId="351" applyNumberFormat="1" applyFont="1" applyAlignment="1">
      <alignment horizontal="right" vertical="top"/>
    </xf>
    <xf numFmtId="171" fontId="60" fillId="0" borderId="0" xfId="351" applyNumberFormat="1" applyFont="1" applyAlignment="1">
      <alignment horizontal="right" vertical="top"/>
    </xf>
    <xf numFmtId="185" fontId="57" fillId="0" borderId="31" xfId="351" applyNumberFormat="1" applyFont="1" applyBorder="1" applyAlignment="1">
      <alignment horizontal="right" vertical="top"/>
    </xf>
    <xf numFmtId="185" fontId="60" fillId="0" borderId="0" xfId="351" applyNumberFormat="1" applyFont="1" applyAlignment="1">
      <alignment horizontal="right" vertical="top"/>
    </xf>
    <xf numFmtId="49" fontId="60" fillId="0" borderId="0" xfId="351" applyNumberFormat="1" applyFont="1" applyAlignment="1">
      <alignment horizontal="left" vertical="top" indent="2"/>
    </xf>
    <xf numFmtId="49" fontId="60" fillId="0" borderId="0" xfId="351" applyNumberFormat="1" applyFont="1" applyAlignment="1">
      <alignment horizontal="left" vertical="top" indent="4"/>
    </xf>
    <xf numFmtId="185" fontId="58" fillId="0" borderId="31" xfId="351" applyNumberFormat="1" applyFont="1" applyBorder="1" applyAlignment="1">
      <alignment horizontal="right" vertical="top"/>
    </xf>
    <xf numFmtId="171" fontId="58" fillId="0" borderId="31" xfId="351" applyNumberFormat="1" applyFont="1" applyBorder="1" applyAlignment="1">
      <alignment horizontal="right" vertical="top"/>
    </xf>
    <xf numFmtId="185" fontId="58" fillId="0" borderId="0" xfId="351" applyNumberFormat="1" applyFont="1" applyAlignment="1">
      <alignment horizontal="right" vertical="top"/>
    </xf>
    <xf numFmtId="170" fontId="58" fillId="0" borderId="31" xfId="351" applyNumberFormat="1" applyFont="1" applyBorder="1" applyAlignment="1">
      <alignment horizontal="right" vertical="top"/>
    </xf>
    <xf numFmtId="49" fontId="58" fillId="0" borderId="0" xfId="351" applyNumberFormat="1" applyFont="1" applyAlignment="1">
      <alignment horizontal="left" vertical="top" indent="5"/>
    </xf>
    <xf numFmtId="185" fontId="60" fillId="0" borderId="35" xfId="351" applyNumberFormat="1" applyFont="1" applyBorder="1" applyAlignment="1">
      <alignment horizontal="right" vertical="top"/>
    </xf>
    <xf numFmtId="170" fontId="60" fillId="0" borderId="35" xfId="351" applyNumberFormat="1" applyFont="1" applyBorder="1" applyAlignment="1">
      <alignment horizontal="right" vertical="top"/>
    </xf>
    <xf numFmtId="49" fontId="60" fillId="0" borderId="0" xfId="351" applyNumberFormat="1" applyFont="1" applyAlignment="1">
      <alignment horizontal="left" vertical="top" indent="6"/>
    </xf>
    <xf numFmtId="49" fontId="60" fillId="0" borderId="0" xfId="351" applyNumberFormat="1" applyFont="1" applyAlignment="1">
      <alignment horizontal="left" vertical="top" indent="7"/>
    </xf>
    <xf numFmtId="49" fontId="58" fillId="0" borderId="0" xfId="351" applyNumberFormat="1" applyFont="1" applyAlignment="1">
      <alignment horizontal="left" vertical="top" indent="4"/>
    </xf>
    <xf numFmtId="185" fontId="60" fillId="0" borderId="31" xfId="351" applyNumberFormat="1" applyFont="1" applyBorder="1" applyAlignment="1">
      <alignment horizontal="right" vertical="top"/>
    </xf>
    <xf numFmtId="171" fontId="57" fillId="0" borderId="31" xfId="351" applyNumberFormat="1" applyFont="1" applyBorder="1" applyAlignment="1">
      <alignment horizontal="right" vertical="top"/>
    </xf>
    <xf numFmtId="49" fontId="58" fillId="0" borderId="0" xfId="351" applyNumberFormat="1" applyFont="1" applyAlignment="1">
      <alignment horizontal="left" vertical="top" indent="2"/>
    </xf>
    <xf numFmtId="185" fontId="58" fillId="0" borderId="35" xfId="351" applyNumberFormat="1" applyFont="1" applyBorder="1" applyAlignment="1">
      <alignment horizontal="right" vertical="top"/>
    </xf>
    <xf numFmtId="171" fontId="60" fillId="0" borderId="31" xfId="351" applyNumberFormat="1" applyFont="1" applyBorder="1" applyAlignment="1">
      <alignment horizontal="right" vertical="top"/>
    </xf>
    <xf numFmtId="49" fontId="58" fillId="0" borderId="0" xfId="351" applyNumberFormat="1" applyFont="1" applyAlignment="1">
      <alignment vertical="top"/>
    </xf>
    <xf numFmtId="49" fontId="57" fillId="0" borderId="35" xfId="351" applyNumberFormat="1" applyFont="1" applyBorder="1" applyAlignment="1">
      <alignment horizontal="left" vertical="top" indent="3"/>
    </xf>
    <xf numFmtId="171" fontId="57" fillId="0" borderId="35" xfId="351" applyNumberFormat="1" applyFont="1" applyBorder="1" applyAlignment="1">
      <alignment horizontal="right" vertical="top"/>
    </xf>
    <xf numFmtId="170" fontId="64" fillId="0" borderId="35" xfId="351" applyNumberFormat="1" applyFont="1" applyBorder="1" applyAlignment="1">
      <alignment horizontal="right" vertical="top"/>
    </xf>
    <xf numFmtId="186" fontId="60" fillId="33" borderId="0" xfId="351" applyNumberFormat="1" applyFont="1" applyFill="1" applyAlignment="1">
      <alignment horizontal="right" vertical="top"/>
    </xf>
    <xf numFmtId="185" fontId="60" fillId="33" borderId="0" xfId="351" applyNumberFormat="1" applyFont="1" applyFill="1" applyAlignment="1">
      <alignment horizontal="right" vertical="top"/>
    </xf>
    <xf numFmtId="49" fontId="57" fillId="0" borderId="0" xfId="351" applyNumberFormat="1" applyFont="1" applyAlignment="1">
      <alignment horizontal="center" vertical="top" wrapText="1"/>
    </xf>
    <xf numFmtId="49" fontId="57" fillId="0" borderId="0" xfId="351" applyNumberFormat="1" applyFont="1" applyAlignment="1">
      <alignment horizontal="center" vertical="top"/>
    </xf>
    <xf numFmtId="186" fontId="57" fillId="0" borderId="0" xfId="351" applyNumberFormat="1" applyFont="1" applyAlignment="1">
      <alignment horizontal="right" vertical="top"/>
    </xf>
    <xf numFmtId="185" fontId="57" fillId="0" borderId="0" xfId="351" applyNumberFormat="1" applyFont="1" applyAlignment="1">
      <alignment horizontal="right" vertical="top"/>
    </xf>
    <xf numFmtId="171" fontId="57" fillId="0" borderId="0" xfId="351" applyNumberFormat="1" applyFont="1" applyAlignment="1">
      <alignment horizontal="right" vertical="top"/>
    </xf>
    <xf numFmtId="0" fontId="160" fillId="0" borderId="0" xfId="351" applyFont="1"/>
    <xf numFmtId="185" fontId="58" fillId="33" borderId="0" xfId="351" applyNumberFormat="1" applyFont="1" applyFill="1" applyAlignment="1">
      <alignment horizontal="right" vertical="top"/>
    </xf>
    <xf numFmtId="185" fontId="58" fillId="33" borderId="31" xfId="351" applyNumberFormat="1" applyFont="1" applyFill="1" applyBorder="1" applyAlignment="1">
      <alignment horizontal="right" vertical="top"/>
    </xf>
    <xf numFmtId="169" fontId="5" fillId="0" borderId="0" xfId="138" applyNumberFormat="1" applyFont="1"/>
    <xf numFmtId="0" fontId="63" fillId="0" borderId="0" xfId="352" applyFont="1" applyAlignment="1">
      <alignment vertical="top"/>
    </xf>
    <xf numFmtId="0" fontId="4" fillId="0" borderId="0" xfId="352"/>
    <xf numFmtId="49" fontId="57" fillId="0" borderId="33" xfId="352" applyNumberFormat="1" applyFont="1" applyBorder="1" applyAlignment="1">
      <alignment horizontal="left" vertical="top" indent="3"/>
    </xf>
    <xf numFmtId="49" fontId="57" fillId="0" borderId="0" xfId="352" applyNumberFormat="1" applyFont="1" applyAlignment="1">
      <alignment horizontal="left" vertical="top" indent="3"/>
    </xf>
    <xf numFmtId="49" fontId="57" fillId="0" borderId="4" xfId="352" applyNumberFormat="1" applyFont="1" applyBorder="1" applyAlignment="1">
      <alignment horizontal="left" vertical="top" indent="3"/>
    </xf>
    <xf numFmtId="49" fontId="57" fillId="0" borderId="53" xfId="352" applyNumberFormat="1" applyFont="1" applyBorder="1" applyAlignment="1">
      <alignment horizontal="center" vertical="top"/>
    </xf>
    <xf numFmtId="49" fontId="57" fillId="0" borderId="34" xfId="352" applyNumberFormat="1" applyFont="1" applyBorder="1" applyAlignment="1">
      <alignment horizontal="left" vertical="top" indent="3"/>
    </xf>
    <xf numFmtId="49" fontId="57" fillId="0" borderId="34" xfId="352" applyNumberFormat="1" applyFont="1" applyBorder="1" applyAlignment="1">
      <alignment horizontal="center" vertical="top"/>
    </xf>
    <xf numFmtId="49" fontId="58" fillId="0" borderId="15" xfId="352" applyNumberFormat="1" applyFont="1" applyBorder="1" applyAlignment="1">
      <alignment horizontal="center" vertical="top"/>
    </xf>
    <xf numFmtId="49" fontId="57" fillId="0" borderId="0" xfId="352" applyNumberFormat="1" applyFont="1" applyAlignment="1">
      <alignment vertical="top"/>
    </xf>
    <xf numFmtId="186" fontId="57" fillId="0" borderId="35" xfId="352" applyNumberFormat="1" applyFont="1" applyBorder="1" applyAlignment="1">
      <alignment horizontal="right" vertical="top"/>
    </xf>
    <xf numFmtId="170" fontId="60" fillId="0" borderId="35" xfId="352" applyNumberFormat="1" applyFont="1" applyBorder="1" applyAlignment="1">
      <alignment horizontal="right" vertical="top"/>
    </xf>
    <xf numFmtId="49" fontId="60" fillId="0" borderId="0" xfId="352" applyNumberFormat="1" applyFont="1" applyAlignment="1">
      <alignment horizontal="left" vertical="top" indent="3"/>
    </xf>
    <xf numFmtId="186" fontId="60" fillId="0" borderId="0" xfId="352" applyNumberFormat="1" applyFont="1" applyAlignment="1">
      <alignment horizontal="right" vertical="top"/>
    </xf>
    <xf numFmtId="171" fontId="58" fillId="0" borderId="0" xfId="352" applyNumberFormat="1" applyFont="1" applyAlignment="1">
      <alignment horizontal="right" vertical="top"/>
    </xf>
    <xf numFmtId="170" fontId="58" fillId="0" borderId="0" xfId="352" applyNumberFormat="1" applyFont="1" applyAlignment="1">
      <alignment horizontal="right" vertical="top"/>
    </xf>
    <xf numFmtId="171" fontId="60" fillId="0" borderId="0" xfId="352" applyNumberFormat="1" applyFont="1" applyAlignment="1">
      <alignment horizontal="right" vertical="top"/>
    </xf>
    <xf numFmtId="185" fontId="60" fillId="0" borderId="0" xfId="352" applyNumberFormat="1" applyFont="1" applyAlignment="1">
      <alignment horizontal="right" vertical="top"/>
    </xf>
    <xf numFmtId="49" fontId="60" fillId="0" borderId="0" xfId="352" applyNumberFormat="1" applyFont="1" applyAlignment="1">
      <alignment horizontal="left" vertical="top" indent="2"/>
    </xf>
    <xf numFmtId="186" fontId="57" fillId="0" borderId="31" xfId="352" applyNumberFormat="1" applyFont="1" applyBorder="1" applyAlignment="1">
      <alignment horizontal="right" vertical="top"/>
    </xf>
    <xf numFmtId="170" fontId="60" fillId="0" borderId="31" xfId="352" applyNumberFormat="1" applyFont="1" applyBorder="1" applyAlignment="1">
      <alignment horizontal="right" vertical="top"/>
    </xf>
    <xf numFmtId="185" fontId="57" fillId="0" borderId="31" xfId="352" applyNumberFormat="1" applyFont="1" applyBorder="1" applyAlignment="1">
      <alignment horizontal="right" vertical="top"/>
    </xf>
    <xf numFmtId="49" fontId="57" fillId="0" borderId="35" xfId="352" applyNumberFormat="1" applyFont="1" applyBorder="1" applyAlignment="1">
      <alignment horizontal="left" vertical="top" indent="3"/>
    </xf>
    <xf numFmtId="170" fontId="64" fillId="0" borderId="35" xfId="352" applyNumberFormat="1" applyFont="1" applyBorder="1" applyAlignment="1">
      <alignment horizontal="right" vertical="top"/>
    </xf>
    <xf numFmtId="185" fontId="60" fillId="33" borderId="0" xfId="352" applyNumberFormat="1" applyFont="1" applyFill="1" applyAlignment="1">
      <alignment horizontal="right" vertical="top"/>
    </xf>
    <xf numFmtId="2" fontId="58" fillId="33" borderId="0" xfId="351" applyNumberFormat="1" applyFont="1" applyFill="1" applyAlignment="1">
      <alignment horizontal="right" vertical="top"/>
    </xf>
    <xf numFmtId="169" fontId="0" fillId="0" borderId="0" xfId="138" applyNumberFormat="1" applyFont="1"/>
    <xf numFmtId="0" fontId="63" fillId="0" borderId="0" xfId="353" applyFont="1" applyAlignment="1">
      <alignment vertical="top"/>
    </xf>
    <xf numFmtId="0" fontId="3" fillId="0" borderId="0" xfId="353"/>
    <xf numFmtId="49" fontId="57" fillId="0" borderId="33" xfId="353" applyNumberFormat="1" applyFont="1" applyBorder="1" applyAlignment="1">
      <alignment horizontal="left" vertical="top" indent="3"/>
    </xf>
    <xf numFmtId="49" fontId="57" fillId="0" borderId="0" xfId="353" applyNumberFormat="1" applyFont="1" applyAlignment="1">
      <alignment horizontal="left" vertical="top" indent="3"/>
    </xf>
    <xf numFmtId="187" fontId="0" fillId="0" borderId="0" xfId="354" applyNumberFormat="1" applyFont="1"/>
    <xf numFmtId="49" fontId="57" fillId="0" borderId="4" xfId="353" applyNumberFormat="1" applyFont="1" applyBorder="1" applyAlignment="1">
      <alignment horizontal="left" vertical="top" indent="3"/>
    </xf>
    <xf numFmtId="49" fontId="57" fillId="0" borderId="53" xfId="353" applyNumberFormat="1" applyFont="1" applyBorder="1" applyAlignment="1">
      <alignment horizontal="center" vertical="top"/>
    </xf>
    <xf numFmtId="187" fontId="3" fillId="0" borderId="0" xfId="353" applyNumberFormat="1"/>
    <xf numFmtId="49" fontId="57" fillId="0" borderId="34" xfId="353" applyNumberFormat="1" applyFont="1" applyBorder="1" applyAlignment="1">
      <alignment horizontal="left" vertical="top" indent="3"/>
    </xf>
    <xf numFmtId="49" fontId="57" fillId="0" borderId="34" xfId="353" applyNumberFormat="1" applyFont="1" applyBorder="1" applyAlignment="1">
      <alignment horizontal="center" vertical="top"/>
    </xf>
    <xf numFmtId="49" fontId="58" fillId="0" borderId="15" xfId="353" applyNumberFormat="1" applyFont="1" applyBorder="1" applyAlignment="1">
      <alignment horizontal="center" vertical="top"/>
    </xf>
    <xf numFmtId="49" fontId="58" fillId="0" borderId="0" xfId="353" applyNumberFormat="1" applyFont="1" applyAlignment="1">
      <alignment vertical="top"/>
    </xf>
    <xf numFmtId="186" fontId="58" fillId="0" borderId="0" xfId="353" applyNumberFormat="1" applyFont="1" applyAlignment="1">
      <alignment horizontal="right" vertical="top"/>
    </xf>
    <xf numFmtId="171" fontId="60" fillId="0" borderId="0" xfId="353" applyNumberFormat="1" applyFont="1" applyAlignment="1">
      <alignment horizontal="right" vertical="top"/>
    </xf>
    <xf numFmtId="185" fontId="58" fillId="0" borderId="0" xfId="353" applyNumberFormat="1" applyFont="1" applyAlignment="1">
      <alignment horizontal="right" vertical="top"/>
    </xf>
    <xf numFmtId="170" fontId="60" fillId="0" borderId="0" xfId="353" applyNumberFormat="1" applyFont="1" applyAlignment="1">
      <alignment horizontal="right" vertical="top"/>
    </xf>
    <xf numFmtId="171" fontId="58" fillId="0" borderId="0" xfId="353" applyNumberFormat="1" applyFont="1" applyAlignment="1">
      <alignment horizontal="right" vertical="top"/>
    </xf>
    <xf numFmtId="49" fontId="57" fillId="0" borderId="35" xfId="353" applyNumberFormat="1" applyFont="1" applyBorder="1" applyAlignment="1">
      <alignment horizontal="left" vertical="top" indent="3"/>
    </xf>
    <xf numFmtId="185" fontId="57" fillId="0" borderId="35" xfId="353" applyNumberFormat="1" applyFont="1" applyBorder="1" applyAlignment="1">
      <alignment horizontal="right" vertical="top"/>
    </xf>
    <xf numFmtId="170" fontId="64" fillId="0" borderId="35" xfId="353" applyNumberFormat="1" applyFont="1" applyBorder="1" applyAlignment="1">
      <alignment horizontal="right" vertical="top"/>
    </xf>
    <xf numFmtId="2" fontId="60" fillId="33" borderId="0" xfId="138" applyNumberFormat="1" applyFont="1" applyFill="1" applyAlignment="1">
      <alignment horizontal="right" vertical="top"/>
    </xf>
    <xf numFmtId="2" fontId="60" fillId="33" borderId="0" xfId="351" applyNumberFormat="1" applyFont="1" applyFill="1" applyAlignment="1">
      <alignment horizontal="right" vertical="top"/>
    </xf>
    <xf numFmtId="171" fontId="60" fillId="33" borderId="0" xfId="351" applyNumberFormat="1" applyFont="1" applyFill="1" applyAlignment="1">
      <alignment horizontal="right" vertical="top"/>
    </xf>
    <xf numFmtId="186" fontId="57" fillId="33" borderId="31" xfId="351" applyNumberFormat="1" applyFont="1" applyFill="1" applyBorder="1" applyAlignment="1">
      <alignment horizontal="right" vertical="top"/>
    </xf>
    <xf numFmtId="167" fontId="58" fillId="33" borderId="35" xfId="138" applyFont="1" applyFill="1" applyBorder="1" applyAlignment="1">
      <alignment horizontal="right" vertical="top"/>
    </xf>
    <xf numFmtId="167" fontId="60" fillId="33" borderId="0" xfId="138" applyFont="1" applyFill="1" applyBorder="1" applyAlignment="1">
      <alignment horizontal="right" vertical="top"/>
    </xf>
    <xf numFmtId="2" fontId="60" fillId="33" borderId="0" xfId="138" applyNumberFormat="1" applyFont="1" applyFill="1" applyBorder="1" applyAlignment="1">
      <alignment horizontal="right" vertical="top"/>
    </xf>
    <xf numFmtId="186" fontId="60" fillId="33" borderId="0" xfId="352" applyNumberFormat="1" applyFont="1" applyFill="1" applyAlignment="1">
      <alignment horizontal="right" vertical="top"/>
    </xf>
    <xf numFmtId="185" fontId="57" fillId="33" borderId="31" xfId="351" applyNumberFormat="1" applyFont="1" applyFill="1" applyBorder="1" applyAlignment="1">
      <alignment horizontal="right" vertical="top"/>
    </xf>
    <xf numFmtId="0" fontId="42" fillId="30" borderId="0" xfId="0" applyFont="1" applyFill="1"/>
    <xf numFmtId="0" fontId="4" fillId="0" borderId="0" xfId="352" applyAlignment="1">
      <alignment horizontal="center" vertical="top"/>
    </xf>
    <xf numFmtId="0" fontId="2" fillId="0" borderId="0" xfId="352" applyFont="1"/>
    <xf numFmtId="0" fontId="161" fillId="0" borderId="0" xfId="355" applyFont="1"/>
    <xf numFmtId="167" fontId="55" fillId="0" borderId="0" xfId="0" applyNumberFormat="1" applyFont="1"/>
    <xf numFmtId="169" fontId="42" fillId="0" borderId="38" xfId="138" applyNumberFormat="1" applyFont="1" applyFill="1" applyBorder="1" applyAlignment="1">
      <alignment horizontal="center" vertical="center" wrapText="1"/>
    </xf>
    <xf numFmtId="170" fontId="58" fillId="33" borderId="0" xfId="351" applyNumberFormat="1" applyFont="1" applyFill="1" applyAlignment="1">
      <alignment horizontal="right" vertical="top"/>
    </xf>
    <xf numFmtId="169" fontId="57" fillId="0" borderId="31" xfId="138" applyNumberFormat="1" applyFont="1" applyBorder="1" applyAlignment="1">
      <alignment horizontal="right" vertical="top"/>
    </xf>
    <xf numFmtId="186" fontId="58" fillId="33" borderId="0" xfId="351" applyNumberFormat="1" applyFont="1" applyFill="1" applyAlignment="1">
      <alignment horizontal="right" vertical="top"/>
    </xf>
    <xf numFmtId="170" fontId="60" fillId="33" borderId="31" xfId="351" applyNumberFormat="1" applyFont="1" applyFill="1" applyBorder="1" applyAlignment="1">
      <alignment horizontal="right" vertical="top"/>
    </xf>
    <xf numFmtId="43" fontId="160" fillId="0" borderId="0" xfId="351" applyNumberFormat="1" applyFont="1"/>
    <xf numFmtId="2" fontId="85" fillId="0" borderId="0" xfId="0" applyNumberFormat="1" applyFont="1"/>
    <xf numFmtId="43" fontId="0" fillId="63" borderId="0" xfId="0" applyNumberFormat="1" applyFill="1"/>
    <xf numFmtId="4" fontId="94" fillId="0" borderId="0" xfId="0" applyNumberFormat="1" applyFont="1"/>
    <xf numFmtId="169" fontId="5" fillId="0" borderId="0" xfId="351" applyNumberFormat="1"/>
    <xf numFmtId="169" fontId="161" fillId="0" borderId="0" xfId="138" applyNumberFormat="1" applyFont="1"/>
    <xf numFmtId="169" fontId="161" fillId="0" borderId="0" xfId="355" applyNumberFormat="1" applyFont="1"/>
    <xf numFmtId="168" fontId="105" fillId="36" borderId="70" xfId="143" applyFont="1" applyFill="1" applyBorder="1" applyAlignment="1">
      <alignment horizontal="center" vertical="center" wrapText="1"/>
    </xf>
    <xf numFmtId="10" fontId="96" fillId="0" borderId="0" xfId="314" applyNumberFormat="1" applyFont="1" applyFill="1" applyBorder="1" applyAlignment="1">
      <alignment horizontal="center" vertical="center"/>
    </xf>
    <xf numFmtId="10" fontId="96" fillId="0" borderId="0" xfId="314" applyNumberFormat="1" applyFont="1" applyFill="1" applyBorder="1" applyAlignment="1">
      <alignment horizontal="right"/>
    </xf>
    <xf numFmtId="10" fontId="96" fillId="0" borderId="0" xfId="314" applyNumberFormat="1" applyFont="1" applyFill="1" applyBorder="1"/>
    <xf numFmtId="10" fontId="97" fillId="0" borderId="0" xfId="314" applyNumberFormat="1" applyFont="1" applyFill="1" applyBorder="1" applyAlignment="1">
      <alignment horizontal="center" vertical="center"/>
    </xf>
    <xf numFmtId="10" fontId="96" fillId="0" borderId="0" xfId="0" applyNumberFormat="1" applyFont="1"/>
    <xf numFmtId="0" fontId="161" fillId="33" borderId="0" xfId="355" applyFont="1" applyFill="1"/>
    <xf numFmtId="0" fontId="161" fillId="30" borderId="0" xfId="355" applyFont="1" applyFill="1"/>
    <xf numFmtId="3" fontId="94" fillId="0" borderId="0" xfId="0" applyNumberFormat="1" applyFont="1"/>
    <xf numFmtId="3" fontId="94" fillId="0" borderId="0" xfId="0" applyNumberFormat="1" applyFont="1" applyAlignment="1">
      <alignment horizontal="center"/>
    </xf>
    <xf numFmtId="49" fontId="162" fillId="0" borderId="0" xfId="357" applyNumberFormat="1" applyFont="1" applyAlignment="1">
      <alignment vertical="top"/>
    </xf>
    <xf numFmtId="0" fontId="161" fillId="0" borderId="0" xfId="357" applyFont="1" applyAlignment="1">
      <alignment vertical="top"/>
    </xf>
    <xf numFmtId="2" fontId="161" fillId="0" borderId="0" xfId="357" applyNumberFormat="1" applyFont="1" applyAlignment="1">
      <alignment vertical="top"/>
    </xf>
    <xf numFmtId="0" fontId="161" fillId="0" borderId="0" xfId="357" applyFont="1"/>
    <xf numFmtId="0" fontId="1" fillId="0" borderId="0" xfId="357"/>
    <xf numFmtId="49" fontId="161" fillId="0" borderId="0" xfId="357" applyNumberFormat="1" applyFont="1" applyAlignment="1">
      <alignment vertical="top"/>
    </xf>
    <xf numFmtId="49" fontId="161" fillId="0" borderId="31" xfId="357" applyNumberFormat="1" applyFont="1" applyBorder="1" applyAlignment="1">
      <alignment vertical="top"/>
    </xf>
    <xf numFmtId="49" fontId="161" fillId="0" borderId="15" xfId="357" applyNumberFormat="1" applyFont="1" applyBorder="1" applyAlignment="1">
      <alignment horizontal="right" vertical="top"/>
    </xf>
    <xf numFmtId="49" fontId="162" fillId="0" borderId="15" xfId="357" applyNumberFormat="1" applyFont="1" applyBorder="1" applyAlignment="1">
      <alignment vertical="top"/>
    </xf>
    <xf numFmtId="49" fontId="161" fillId="0" borderId="15" xfId="357" applyNumberFormat="1" applyFont="1" applyBorder="1" applyAlignment="1">
      <alignment vertical="top"/>
    </xf>
    <xf numFmtId="2" fontId="161" fillId="0" borderId="15" xfId="357" applyNumberFormat="1" applyFont="1" applyBorder="1" applyAlignment="1">
      <alignment horizontal="right" vertical="top"/>
    </xf>
    <xf numFmtId="49" fontId="162" fillId="0" borderId="15" xfId="357" applyNumberFormat="1" applyFont="1" applyBorder="1" applyAlignment="1">
      <alignment horizontal="right" vertical="top" wrapText="1"/>
    </xf>
    <xf numFmtId="49" fontId="162" fillId="0" borderId="15" xfId="357" applyNumberFormat="1" applyFont="1" applyBorder="1" applyAlignment="1">
      <alignment horizontal="right" vertical="top"/>
    </xf>
    <xf numFmtId="0" fontId="161" fillId="0" borderId="15" xfId="357" applyFont="1" applyBorder="1"/>
    <xf numFmtId="0" fontId="161" fillId="0" borderId="15" xfId="357" applyFont="1" applyBorder="1" applyAlignment="1">
      <alignment wrapText="1"/>
    </xf>
    <xf numFmtId="0" fontId="161" fillId="0" borderId="88" xfId="357" applyFont="1" applyBorder="1"/>
    <xf numFmtId="43" fontId="0" fillId="0" borderId="0" xfId="358" applyFont="1"/>
    <xf numFmtId="194" fontId="161" fillId="0" borderId="15" xfId="357" applyNumberFormat="1" applyFont="1" applyBorder="1" applyAlignment="1">
      <alignment horizontal="right" vertical="top"/>
    </xf>
    <xf numFmtId="0" fontId="161" fillId="0" borderId="15" xfId="357" applyFont="1" applyBorder="1" applyAlignment="1">
      <alignment vertical="top"/>
    </xf>
    <xf numFmtId="170" fontId="162" fillId="58" borderId="15" xfId="357" applyNumberFormat="1" applyFont="1" applyFill="1" applyBorder="1" applyAlignment="1">
      <alignment horizontal="right" vertical="top"/>
    </xf>
    <xf numFmtId="187" fontId="161" fillId="0" borderId="15" xfId="358" applyNumberFormat="1" applyFont="1" applyBorder="1"/>
    <xf numFmtId="0" fontId="1" fillId="0" borderId="15" xfId="357" applyBorder="1"/>
    <xf numFmtId="187" fontId="0" fillId="0" borderId="15" xfId="358" applyNumberFormat="1" applyFont="1" applyBorder="1"/>
    <xf numFmtId="15" fontId="161" fillId="0" borderId="15" xfId="357" applyNumberFormat="1" applyFont="1" applyBorder="1" applyAlignment="1">
      <alignment vertical="top"/>
    </xf>
    <xf numFmtId="0" fontId="161" fillId="0" borderId="15" xfId="357" applyFont="1" applyBorder="1" applyAlignment="1">
      <alignment horizontal="right" vertical="top"/>
    </xf>
    <xf numFmtId="171" fontId="162" fillId="0" borderId="15" xfId="357" applyNumberFormat="1" applyFont="1" applyBorder="1" applyAlignment="1">
      <alignment horizontal="right" vertical="top"/>
    </xf>
    <xf numFmtId="194" fontId="161" fillId="0" borderId="15" xfId="357" applyNumberFormat="1" applyFont="1" applyBorder="1" applyAlignment="1">
      <alignment vertical="top"/>
    </xf>
    <xf numFmtId="187" fontId="161" fillId="0" borderId="15" xfId="358" applyNumberFormat="1" applyFont="1" applyFill="1" applyBorder="1"/>
    <xf numFmtId="187" fontId="0" fillId="0" borderId="15" xfId="358" applyNumberFormat="1" applyFont="1" applyFill="1" applyBorder="1"/>
    <xf numFmtId="15" fontId="161" fillId="0" borderId="15" xfId="357" applyNumberFormat="1" applyFont="1" applyBorder="1" applyAlignment="1">
      <alignment horizontal="right" vertical="top"/>
    </xf>
    <xf numFmtId="194" fontId="161" fillId="30" borderId="15" xfId="357" applyNumberFormat="1" applyFont="1" applyFill="1" applyBorder="1" applyAlignment="1">
      <alignment horizontal="right" vertical="top"/>
    </xf>
    <xf numFmtId="49" fontId="161" fillId="30" borderId="15" xfId="357" applyNumberFormat="1" applyFont="1" applyFill="1" applyBorder="1" applyAlignment="1">
      <alignment vertical="top"/>
    </xf>
    <xf numFmtId="49" fontId="162" fillId="30" borderId="15" xfId="357" applyNumberFormat="1" applyFont="1" applyFill="1" applyBorder="1" applyAlignment="1">
      <alignment vertical="top"/>
    </xf>
    <xf numFmtId="0" fontId="161" fillId="30" borderId="15" xfId="357" applyFont="1" applyFill="1" applyBorder="1" applyAlignment="1">
      <alignment horizontal="right" vertical="top"/>
    </xf>
    <xf numFmtId="171" fontId="162" fillId="30" borderId="15" xfId="357" applyNumberFormat="1" applyFont="1" applyFill="1" applyBorder="1" applyAlignment="1">
      <alignment horizontal="right" vertical="top"/>
    </xf>
    <xf numFmtId="0" fontId="161" fillId="30" borderId="15" xfId="357" applyFont="1" applyFill="1" applyBorder="1"/>
    <xf numFmtId="187" fontId="161" fillId="30" borderId="15" xfId="358" applyNumberFormat="1" applyFont="1" applyFill="1" applyBorder="1"/>
    <xf numFmtId="0" fontId="1" fillId="30" borderId="15" xfId="357" applyFill="1" applyBorder="1"/>
    <xf numFmtId="0" fontId="1" fillId="30" borderId="0" xfId="357" applyFill="1"/>
    <xf numFmtId="43" fontId="162" fillId="58" borderId="15" xfId="358" applyFont="1" applyFill="1" applyBorder="1" applyAlignment="1">
      <alignment horizontal="right" vertical="top"/>
    </xf>
    <xf numFmtId="194" fontId="161" fillId="58" borderId="15" xfId="357" applyNumberFormat="1" applyFont="1" applyFill="1" applyBorder="1" applyAlignment="1">
      <alignment horizontal="right" vertical="top"/>
    </xf>
    <xf numFmtId="49" fontId="161" fillId="58" borderId="15" xfId="357" applyNumberFormat="1" applyFont="1" applyFill="1" applyBorder="1" applyAlignment="1">
      <alignment vertical="top"/>
    </xf>
    <xf numFmtId="49" fontId="162" fillId="58" borderId="15" xfId="357" applyNumberFormat="1" applyFont="1" applyFill="1" applyBorder="1" applyAlignment="1">
      <alignment vertical="top"/>
    </xf>
    <xf numFmtId="0" fontId="161" fillId="58" borderId="15" xfId="357" applyFont="1" applyFill="1" applyBorder="1" applyAlignment="1">
      <alignment horizontal="right" vertical="top"/>
    </xf>
    <xf numFmtId="187" fontId="162" fillId="58" borderId="15" xfId="358" applyNumberFormat="1" applyFont="1" applyFill="1" applyBorder="1" applyAlignment="1">
      <alignment horizontal="right" vertical="top"/>
    </xf>
    <xf numFmtId="171" fontId="162" fillId="58" borderId="15" xfId="357" applyNumberFormat="1" applyFont="1" applyFill="1" applyBorder="1" applyAlignment="1">
      <alignment horizontal="right" vertical="top"/>
    </xf>
    <xf numFmtId="0" fontId="161" fillId="58" borderId="15" xfId="357" applyFont="1" applyFill="1" applyBorder="1"/>
    <xf numFmtId="187" fontId="161" fillId="58" borderId="15" xfId="358" applyNumberFormat="1" applyFont="1" applyFill="1" applyBorder="1"/>
    <xf numFmtId="0" fontId="1" fillId="58" borderId="15" xfId="357" applyFill="1" applyBorder="1"/>
    <xf numFmtId="0" fontId="1" fillId="58" borderId="0" xfId="357" applyFill="1"/>
    <xf numFmtId="170" fontId="162" fillId="0" borderId="15" xfId="357" applyNumberFormat="1" applyFont="1" applyBorder="1" applyAlignment="1">
      <alignment horizontal="right" vertical="top"/>
    </xf>
    <xf numFmtId="170" fontId="162" fillId="33" borderId="15" xfId="357" applyNumberFormat="1" applyFont="1" applyFill="1" applyBorder="1" applyAlignment="1">
      <alignment horizontal="right" vertical="top"/>
    </xf>
    <xf numFmtId="170" fontId="162" fillId="30" borderId="15" xfId="357" applyNumberFormat="1" applyFont="1" applyFill="1" applyBorder="1" applyAlignment="1">
      <alignment horizontal="right" vertical="top"/>
    </xf>
    <xf numFmtId="43" fontId="1" fillId="0" borderId="15" xfId="357" applyNumberFormat="1" applyBorder="1"/>
    <xf numFmtId="187" fontId="162" fillId="33" borderId="15" xfId="358" applyNumberFormat="1" applyFont="1" applyFill="1" applyBorder="1" applyAlignment="1">
      <alignment horizontal="right" vertical="top"/>
    </xf>
    <xf numFmtId="194" fontId="161" fillId="30" borderId="15" xfId="357" applyNumberFormat="1" applyFont="1" applyFill="1" applyBorder="1" applyAlignment="1">
      <alignment vertical="top"/>
    </xf>
    <xf numFmtId="187" fontId="162" fillId="30" borderId="15" xfId="358" applyNumberFormat="1" applyFont="1" applyFill="1" applyBorder="1" applyAlignment="1">
      <alignment horizontal="right" vertical="top"/>
    </xf>
    <xf numFmtId="0" fontId="161" fillId="30" borderId="15" xfId="357" applyFont="1" applyFill="1" applyBorder="1" applyAlignment="1">
      <alignment vertical="top"/>
    </xf>
    <xf numFmtId="195" fontId="162" fillId="30" borderId="15" xfId="358" applyNumberFormat="1" applyFont="1" applyFill="1" applyBorder="1" applyAlignment="1">
      <alignment horizontal="right" vertical="top"/>
    </xf>
    <xf numFmtId="194" fontId="161" fillId="31" borderId="15" xfId="357" applyNumberFormat="1" applyFont="1" applyFill="1" applyBorder="1" applyAlignment="1">
      <alignment horizontal="right" vertical="top"/>
    </xf>
    <xf numFmtId="49" fontId="161" fillId="31" borderId="15" xfId="357" applyNumberFormat="1" applyFont="1" applyFill="1" applyBorder="1" applyAlignment="1">
      <alignment vertical="top"/>
    </xf>
    <xf numFmtId="49" fontId="162" fillId="31" borderId="15" xfId="357" applyNumberFormat="1" applyFont="1" applyFill="1" applyBorder="1" applyAlignment="1">
      <alignment vertical="top"/>
    </xf>
    <xf numFmtId="0" fontId="161" fillId="31" borderId="15" xfId="357" applyFont="1" applyFill="1" applyBorder="1" applyAlignment="1">
      <alignment horizontal="right" vertical="top"/>
    </xf>
    <xf numFmtId="187" fontId="162" fillId="31" borderId="15" xfId="358" applyNumberFormat="1" applyFont="1" applyFill="1" applyBorder="1" applyAlignment="1">
      <alignment horizontal="right" vertical="top"/>
    </xf>
    <xf numFmtId="187" fontId="161" fillId="31" borderId="15" xfId="358" applyNumberFormat="1" applyFont="1" applyFill="1" applyBorder="1"/>
    <xf numFmtId="0" fontId="1" fillId="31" borderId="0" xfId="357" applyFill="1"/>
    <xf numFmtId="0" fontId="161" fillId="31" borderId="15" xfId="358" applyNumberFormat="1" applyFont="1" applyFill="1" applyBorder="1"/>
    <xf numFmtId="0" fontId="1" fillId="31" borderId="15" xfId="357" applyFill="1" applyBorder="1"/>
    <xf numFmtId="15" fontId="162" fillId="0" borderId="15" xfId="357" applyNumberFormat="1" applyFont="1" applyBorder="1" applyAlignment="1">
      <alignment vertical="top"/>
    </xf>
    <xf numFmtId="187" fontId="163" fillId="0" borderId="15" xfId="358" applyNumberFormat="1" applyFont="1" applyBorder="1"/>
    <xf numFmtId="15" fontId="162" fillId="0" borderId="0" xfId="357" applyNumberFormat="1" applyFont="1" applyAlignment="1">
      <alignment vertical="top"/>
    </xf>
    <xf numFmtId="187" fontId="163" fillId="0" borderId="0" xfId="358" applyNumberFormat="1" applyFont="1" applyBorder="1"/>
    <xf numFmtId="187" fontId="1" fillId="0" borderId="0" xfId="357" applyNumberFormat="1"/>
    <xf numFmtId="170" fontId="161" fillId="0" borderId="0" xfId="357" applyNumberFormat="1" applyFont="1" applyAlignment="1">
      <alignment vertical="top"/>
    </xf>
    <xf numFmtId="170" fontId="161" fillId="0" borderId="0" xfId="357" applyNumberFormat="1" applyFont="1" applyAlignment="1">
      <alignment horizontal="right" vertical="top"/>
    </xf>
    <xf numFmtId="2" fontId="1" fillId="0" borderId="0" xfId="357" applyNumberFormat="1"/>
    <xf numFmtId="43" fontId="161" fillId="0" borderId="0" xfId="355" applyNumberFormat="1" applyFont="1"/>
    <xf numFmtId="3" fontId="161" fillId="0" borderId="0" xfId="355" applyNumberFormat="1" applyFont="1"/>
    <xf numFmtId="169" fontId="1" fillId="0" borderId="0" xfId="138" applyNumberFormat="1" applyFont="1"/>
    <xf numFmtId="194" fontId="161" fillId="32" borderId="15" xfId="357" applyNumberFormat="1" applyFont="1" applyFill="1" applyBorder="1" applyAlignment="1">
      <alignment horizontal="right" vertical="top"/>
    </xf>
    <xf numFmtId="49" fontId="161" fillId="32" borderId="15" xfId="357" applyNumberFormat="1" applyFont="1" applyFill="1" applyBorder="1" applyAlignment="1">
      <alignment vertical="top"/>
    </xf>
    <xf numFmtId="49" fontId="162" fillId="32" borderId="15" xfId="357" applyNumberFormat="1" applyFont="1" applyFill="1" applyBorder="1" applyAlignment="1">
      <alignment vertical="top"/>
    </xf>
    <xf numFmtId="0" fontId="161" fillId="32" borderId="15" xfId="357" applyFont="1" applyFill="1" applyBorder="1" applyAlignment="1">
      <alignment horizontal="right" vertical="top"/>
    </xf>
    <xf numFmtId="170" fontId="162" fillId="32" borderId="15" xfId="357" applyNumberFormat="1" applyFont="1" applyFill="1" applyBorder="1" applyAlignment="1">
      <alignment horizontal="right" vertical="top"/>
    </xf>
    <xf numFmtId="171" fontId="162" fillId="32" borderId="15" xfId="357" applyNumberFormat="1" applyFont="1" applyFill="1" applyBorder="1" applyAlignment="1">
      <alignment horizontal="right" vertical="top"/>
    </xf>
    <xf numFmtId="0" fontId="161" fillId="32" borderId="15" xfId="357" applyFont="1" applyFill="1" applyBorder="1"/>
    <xf numFmtId="187" fontId="161" fillId="32" borderId="15" xfId="358" applyNumberFormat="1" applyFont="1" applyFill="1" applyBorder="1"/>
    <xf numFmtId="187" fontId="0" fillId="32" borderId="15" xfId="358" applyNumberFormat="1" applyFont="1" applyFill="1" applyBorder="1"/>
    <xf numFmtId="0" fontId="1" fillId="32" borderId="0" xfId="357" applyFill="1"/>
    <xf numFmtId="169" fontId="1" fillId="32" borderId="0" xfId="138" applyNumberFormat="1" applyFont="1" applyFill="1"/>
    <xf numFmtId="3" fontId="1" fillId="0" borderId="0" xfId="357" applyNumberFormat="1"/>
    <xf numFmtId="43" fontId="96" fillId="30" borderId="0" xfId="0" applyNumberFormat="1" applyFont="1" applyFill="1"/>
    <xf numFmtId="3" fontId="96" fillId="0" borderId="0" xfId="0" applyNumberFormat="1" applyFont="1"/>
    <xf numFmtId="169" fontId="96" fillId="0" borderId="0" xfId="138" applyNumberFormat="1" applyFont="1"/>
    <xf numFmtId="169" fontId="96" fillId="0" borderId="0" xfId="0" applyNumberFormat="1" applyFont="1"/>
    <xf numFmtId="0" fontId="160" fillId="0" borderId="0" xfId="0" applyFont="1"/>
    <xf numFmtId="0" fontId="160" fillId="0" borderId="15" xfId="0" applyFont="1" applyBorder="1"/>
    <xf numFmtId="169" fontId="160" fillId="0" borderId="15" xfId="138" applyNumberFormat="1" applyFont="1" applyBorder="1"/>
    <xf numFmtId="169" fontId="160" fillId="0" borderId="15" xfId="0" applyNumberFormat="1" applyFont="1" applyBorder="1"/>
    <xf numFmtId="169" fontId="163" fillId="0" borderId="15" xfId="0" applyNumberFormat="1" applyFont="1" applyBorder="1"/>
    <xf numFmtId="169" fontId="36" fillId="36" borderId="0" xfId="138" applyNumberFormat="1" applyFont="1" applyFill="1" applyBorder="1" applyAlignment="1">
      <alignment horizontal="center" vertical="center"/>
    </xf>
    <xf numFmtId="169" fontId="6" fillId="36" borderId="0" xfId="138" applyNumberFormat="1" applyFont="1" applyFill="1" applyBorder="1"/>
    <xf numFmtId="169" fontId="6" fillId="36" borderId="0" xfId="138" applyNumberFormat="1" applyFont="1" applyFill="1" applyBorder="1" applyAlignment="1">
      <alignment horizontal="center" vertical="center"/>
    </xf>
    <xf numFmtId="169" fontId="36" fillId="36" borderId="0" xfId="138" applyNumberFormat="1" applyFont="1" applyFill="1" applyBorder="1"/>
    <xf numFmtId="169" fontId="4" fillId="0" borderId="0" xfId="138" applyNumberFormat="1" applyFont="1"/>
    <xf numFmtId="167" fontId="36" fillId="36" borderId="0" xfId="314" applyNumberFormat="1" applyFont="1" applyFill="1" applyBorder="1"/>
    <xf numFmtId="169" fontId="85" fillId="36" borderId="0" xfId="138" applyNumberFormat="1" applyFont="1" applyFill="1" applyBorder="1" applyAlignment="1">
      <alignment horizontal="center" vertical="center"/>
    </xf>
    <xf numFmtId="169" fontId="164" fillId="30" borderId="0" xfId="138" applyNumberFormat="1" applyFont="1" applyFill="1" applyBorder="1" applyAlignment="1">
      <alignment horizontal="center" vertical="center"/>
    </xf>
    <xf numFmtId="169" fontId="164" fillId="36" borderId="0" xfId="138" applyNumberFormat="1" applyFont="1" applyFill="1" applyBorder="1" applyAlignment="1">
      <alignment horizontal="center" vertical="center"/>
    </xf>
    <xf numFmtId="169" fontId="164" fillId="36" borderId="0" xfId="138" applyNumberFormat="1" applyFont="1" applyFill="1" applyBorder="1"/>
    <xf numFmtId="0" fontId="164" fillId="36" borderId="0" xfId="0" applyFont="1" applyFill="1"/>
    <xf numFmtId="175" fontId="96" fillId="0" borderId="0" xfId="0" applyNumberFormat="1" applyFont="1" applyAlignment="1">
      <alignment horizontal="center"/>
    </xf>
    <xf numFmtId="9" fontId="6" fillId="0" borderId="0" xfId="314" applyFont="1"/>
    <xf numFmtId="0" fontId="133" fillId="0" borderId="41" xfId="346" applyFont="1" applyBorder="1" applyAlignment="1">
      <alignment wrapText="1"/>
    </xf>
    <xf numFmtId="0" fontId="0" fillId="0" borderId="118" xfId="0" applyBorder="1"/>
    <xf numFmtId="0" fontId="0" fillId="0" borderId="43" xfId="0" applyBorder="1"/>
    <xf numFmtId="0" fontId="133" fillId="0" borderId="0" xfId="346" applyFont="1"/>
    <xf numFmtId="0" fontId="156" fillId="0" borderId="0" xfId="346" applyFont="1" applyAlignment="1">
      <alignment wrapText="1"/>
    </xf>
    <xf numFmtId="169" fontId="161" fillId="0" borderId="0" xfId="138" applyNumberFormat="1" applyFont="1" applyFill="1"/>
    <xf numFmtId="14" fontId="160" fillId="0" borderId="0" xfId="0" applyNumberFormat="1" applyFont="1"/>
    <xf numFmtId="167" fontId="161" fillId="0" borderId="0" xfId="138" applyFont="1"/>
    <xf numFmtId="189" fontId="85" fillId="0" borderId="0" xfId="314" applyNumberFormat="1" applyFont="1" applyFill="1"/>
    <xf numFmtId="0" fontId="148" fillId="0" borderId="73" xfId="0" applyFont="1" applyBorder="1" applyAlignment="1">
      <alignment horizontal="center" vertical="center"/>
    </xf>
    <xf numFmtId="0" fontId="148" fillId="0" borderId="40" xfId="0" applyFont="1" applyBorder="1" applyAlignment="1">
      <alignment horizontal="center" vertical="center"/>
    </xf>
    <xf numFmtId="0" fontId="148" fillId="36" borderId="37" xfId="0" applyFont="1" applyFill="1" applyBorder="1" applyAlignment="1">
      <alignment horizontal="center" vertical="center"/>
    </xf>
    <xf numFmtId="0" fontId="148" fillId="36" borderId="29" xfId="0" applyFont="1" applyFill="1" applyBorder="1" applyAlignment="1">
      <alignment horizontal="center" vertical="center"/>
    </xf>
    <xf numFmtId="0" fontId="43" fillId="36" borderId="32" xfId="0" applyFont="1" applyFill="1" applyBorder="1" applyAlignment="1">
      <alignment horizontal="center"/>
    </xf>
    <xf numFmtId="0" fontId="42" fillId="0" borderId="0" xfId="0" applyFont="1"/>
    <xf numFmtId="0" fontId="42" fillId="0" borderId="38" xfId="0" applyFont="1" applyBorder="1"/>
    <xf numFmtId="0" fontId="42" fillId="0" borderId="32" xfId="228" applyFont="1" applyBorder="1" applyAlignment="1">
      <alignment horizontal="center" vertical="top"/>
    </xf>
    <xf numFmtId="0" fontId="74" fillId="0" borderId="118" xfId="0" applyFont="1" applyBorder="1"/>
    <xf numFmtId="167" fontId="74" fillId="0" borderId="118" xfId="138" applyFont="1" applyFill="1" applyBorder="1"/>
    <xf numFmtId="0" fontId="42" fillId="0" borderId="15" xfId="228" applyFont="1" applyBorder="1" applyAlignment="1">
      <alignment horizontal="left" vertical="top" wrapText="1"/>
    </xf>
    <xf numFmtId="0" fontId="42" fillId="0" borderId="15" xfId="228" applyFont="1" applyBorder="1" applyAlignment="1">
      <alignment vertical="top" wrapText="1"/>
    </xf>
    <xf numFmtId="169" fontId="42" fillId="0" borderId="15" xfId="138" applyNumberFormat="1" applyFont="1" applyFill="1" applyBorder="1" applyAlignment="1">
      <alignment vertical="top"/>
    </xf>
    <xf numFmtId="0" fontId="42" fillId="0" borderId="118" xfId="228" quotePrefix="1" applyFont="1" applyBorder="1" applyAlignment="1">
      <alignment horizontal="left" vertical="top" wrapText="1"/>
    </xf>
    <xf numFmtId="0" fontId="42" fillId="0" borderId="118" xfId="228" applyFont="1" applyBorder="1" applyAlignment="1">
      <alignment vertical="top"/>
    </xf>
    <xf numFmtId="38" fontId="42" fillId="0" borderId="118" xfId="0" applyNumberFormat="1" applyFont="1" applyBorder="1"/>
    <xf numFmtId="0" fontId="42" fillId="0" borderId="118" xfId="228" quotePrefix="1" applyFont="1" applyBorder="1" applyAlignment="1">
      <alignment horizontal="justify" vertical="justify" wrapText="1"/>
    </xf>
    <xf numFmtId="10" fontId="85" fillId="0" borderId="0" xfId="314" applyNumberFormat="1" applyFont="1"/>
    <xf numFmtId="169" fontId="3" fillId="0" borderId="0" xfId="138" applyNumberFormat="1" applyFont="1"/>
    <xf numFmtId="169" fontId="55" fillId="0" borderId="0" xfId="138" applyNumberFormat="1" applyFont="1"/>
    <xf numFmtId="2" fontId="105" fillId="36" borderId="0" xfId="143" applyNumberFormat="1" applyFont="1" applyFill="1" applyBorder="1" applyAlignment="1">
      <alignment horizontal="center" vertical="center"/>
    </xf>
    <xf numFmtId="169" fontId="42" fillId="0" borderId="38" xfId="138" applyNumberFormat="1" applyFont="1" applyFill="1" applyBorder="1"/>
    <xf numFmtId="169" fontId="43" fillId="0" borderId="5" xfId="138" applyNumberFormat="1" applyFont="1" applyFill="1" applyBorder="1"/>
    <xf numFmtId="0" fontId="42" fillId="0" borderId="0" xfId="0" applyFont="1" applyAlignment="1">
      <alignment horizontal="center" vertical="center"/>
    </xf>
    <xf numFmtId="169" fontId="43" fillId="0" borderId="38" xfId="138" applyNumberFormat="1" applyFont="1" applyFill="1" applyBorder="1" applyAlignment="1">
      <alignment horizontal="center" wrapText="1"/>
    </xf>
    <xf numFmtId="169" fontId="43" fillId="0" borderId="65" xfId="138" applyNumberFormat="1" applyFont="1" applyFill="1" applyBorder="1" applyAlignment="1">
      <alignment horizontal="center" vertical="center"/>
    </xf>
    <xf numFmtId="169" fontId="42" fillId="0" borderId="62" xfId="138" applyNumberFormat="1" applyFont="1" applyFill="1" applyBorder="1" applyAlignment="1">
      <alignment horizontal="right"/>
    </xf>
    <xf numFmtId="169" fontId="42" fillId="0" borderId="38" xfId="138" applyNumberFormat="1" applyFont="1" applyFill="1" applyBorder="1" applyAlignment="1">
      <alignment horizontal="right"/>
    </xf>
    <xf numFmtId="169" fontId="43" fillId="0" borderId="68" xfId="138" applyNumberFormat="1" applyFont="1" applyFill="1" applyBorder="1" applyAlignment="1">
      <alignment horizontal="right"/>
    </xf>
    <xf numFmtId="0" fontId="43" fillId="0" borderId="43" xfId="0" applyFont="1" applyBorder="1" applyAlignment="1">
      <alignment vertical="center"/>
    </xf>
    <xf numFmtId="169" fontId="42" fillId="0" borderId="62" xfId="138" applyNumberFormat="1" applyFont="1" applyFill="1" applyBorder="1"/>
    <xf numFmtId="169" fontId="43" fillId="0" borderId="68" xfId="138" applyNumberFormat="1" applyFont="1" applyFill="1" applyBorder="1"/>
    <xf numFmtId="167" fontId="42" fillId="0" borderId="38" xfId="138" applyFont="1" applyFill="1" applyBorder="1"/>
    <xf numFmtId="169" fontId="43" fillId="0" borderId="38" xfId="138" applyNumberFormat="1" applyFont="1" applyFill="1" applyBorder="1" applyAlignment="1">
      <alignment horizontal="center" vertical="center"/>
    </xf>
    <xf numFmtId="179" fontId="42" fillId="0" borderId="0" xfId="314" applyNumberFormat="1" applyFont="1" applyFill="1" applyBorder="1" applyAlignment="1">
      <alignment horizontal="left" indent="1"/>
    </xf>
    <xf numFmtId="0" fontId="43" fillId="0" borderId="56" xfId="0" applyFont="1" applyBorder="1" applyAlignment="1">
      <alignment horizontal="center" vertical="center"/>
    </xf>
    <xf numFmtId="0" fontId="42" fillId="0" borderId="43" xfId="0" applyFont="1" applyBorder="1"/>
    <xf numFmtId="0" fontId="42" fillId="0" borderId="44" xfId="0" applyFont="1" applyBorder="1"/>
    <xf numFmtId="0" fontId="43" fillId="0" borderId="5" xfId="0" applyFont="1" applyBorder="1" applyAlignment="1">
      <alignment horizontal="center" vertical="center"/>
    </xf>
    <xf numFmtId="169" fontId="42" fillId="0" borderId="5" xfId="138" applyNumberFormat="1" applyFont="1" applyFill="1" applyBorder="1"/>
    <xf numFmtId="169" fontId="43" fillId="0" borderId="78" xfId="138" applyNumberFormat="1" applyFont="1" applyFill="1" applyBorder="1" applyAlignment="1">
      <alignment horizontal="center" vertical="center" wrapText="1"/>
    </xf>
    <xf numFmtId="169" fontId="43" fillId="0" borderId="77" xfId="138" applyNumberFormat="1" applyFont="1" applyFill="1" applyBorder="1"/>
    <xf numFmtId="169" fontId="43" fillId="0" borderId="0" xfId="138" applyNumberFormat="1" applyFont="1" applyFill="1" applyBorder="1" applyAlignment="1">
      <alignment horizontal="right"/>
    </xf>
    <xf numFmtId="169" fontId="43" fillId="0" borderId="38" xfId="138" applyNumberFormat="1" applyFont="1" applyFill="1" applyBorder="1"/>
    <xf numFmtId="43" fontId="42" fillId="0" borderId="0" xfId="166" applyFont="1" applyFill="1" applyBorder="1" applyAlignment="1">
      <alignment horizontal="left" vertical="top" wrapText="1" indent="4"/>
    </xf>
    <xf numFmtId="169" fontId="42" fillId="0" borderId="44" xfId="138" applyNumberFormat="1" applyFont="1" applyFill="1" applyBorder="1"/>
    <xf numFmtId="169" fontId="43" fillId="0" borderId="38" xfId="138" applyNumberFormat="1" applyFont="1" applyFill="1" applyBorder="1" applyAlignment="1">
      <alignment horizontal="center" vertical="center" wrapText="1"/>
    </xf>
    <xf numFmtId="43" fontId="42" fillId="0" borderId="0" xfId="166" applyFont="1" applyFill="1" applyBorder="1" applyAlignment="1">
      <alignment horizontal="left" vertical="top" wrapText="1" indent="2"/>
    </xf>
    <xf numFmtId="169" fontId="42" fillId="0" borderId="0" xfId="138" applyNumberFormat="1" applyFont="1" applyFill="1" applyBorder="1" applyAlignment="1">
      <alignment horizontal="left" indent="2"/>
    </xf>
    <xf numFmtId="169" fontId="43" fillId="0" borderId="78" xfId="138" applyNumberFormat="1" applyFont="1" applyFill="1" applyBorder="1"/>
    <xf numFmtId="169" fontId="42" fillId="0" borderId="38" xfId="138" applyNumberFormat="1" applyFont="1" applyFill="1" applyBorder="1" applyAlignment="1">
      <alignment vertical="center"/>
    </xf>
    <xf numFmtId="169" fontId="43" fillId="0" borderId="65" xfId="138" applyNumberFormat="1" applyFont="1" applyFill="1" applyBorder="1"/>
    <xf numFmtId="169" fontId="43" fillId="0" borderId="5" xfId="138" applyNumberFormat="1" applyFont="1" applyFill="1" applyBorder="1" applyAlignment="1">
      <alignment horizontal="center" vertical="center"/>
    </xf>
    <xf numFmtId="169" fontId="42" fillId="0" borderId="0" xfId="138" applyNumberFormat="1" applyFont="1" applyFill="1" applyBorder="1" applyAlignment="1">
      <alignment horizontal="center" vertical="center"/>
    </xf>
    <xf numFmtId="169" fontId="42" fillId="0" borderId="38" xfId="138" applyNumberFormat="1" applyFont="1" applyFill="1" applyBorder="1" applyAlignment="1">
      <alignment horizontal="right" vertical="center" wrapText="1"/>
    </xf>
    <xf numFmtId="169" fontId="43" fillId="0" borderId="38" xfId="138" applyNumberFormat="1" applyFont="1" applyFill="1" applyBorder="1" applyAlignment="1">
      <alignment horizontal="right" vertical="center" wrapText="1"/>
    </xf>
    <xf numFmtId="169" fontId="42" fillId="0" borderId="79" xfId="138" applyNumberFormat="1" applyFont="1" applyFill="1" applyBorder="1"/>
    <xf numFmtId="169" fontId="42" fillId="0" borderId="77" xfId="138" applyNumberFormat="1" applyFont="1" applyFill="1" applyBorder="1"/>
    <xf numFmtId="169" fontId="42" fillId="0" borderId="60" xfId="138" applyNumberFormat="1" applyFont="1" applyFill="1" applyBorder="1"/>
    <xf numFmtId="169" fontId="42" fillId="0" borderId="5" xfId="138" applyNumberFormat="1" applyFont="1" applyFill="1" applyBorder="1" applyAlignment="1">
      <alignment horizontal="center" vertical="center"/>
    </xf>
    <xf numFmtId="169" fontId="42" fillId="0" borderId="65" xfId="138" applyNumberFormat="1" applyFont="1" applyFill="1" applyBorder="1"/>
    <xf numFmtId="169" fontId="42" fillId="0" borderId="0" xfId="138" applyNumberFormat="1" applyFont="1" applyFill="1" applyBorder="1" applyAlignment="1">
      <alignment horizontal="left"/>
    </xf>
    <xf numFmtId="169" fontId="43" fillId="0" borderId="38" xfId="138" applyNumberFormat="1" applyFont="1" applyFill="1" applyBorder="1" applyAlignment="1">
      <alignment horizontal="left"/>
    </xf>
    <xf numFmtId="0" fontId="42" fillId="0" borderId="38" xfId="0" applyFont="1" applyBorder="1" applyAlignment="1">
      <alignment horizontal="center" vertical="center"/>
    </xf>
    <xf numFmtId="167" fontId="43" fillId="0" borderId="68" xfId="138" applyFont="1" applyFill="1" applyBorder="1"/>
    <xf numFmtId="169" fontId="6" fillId="0" borderId="15" xfId="138" applyNumberFormat="1" applyFont="1" applyFill="1" applyBorder="1" applyAlignment="1">
      <alignment vertical="top"/>
    </xf>
    <xf numFmtId="167" fontId="43" fillId="0" borderId="67" xfId="138" applyFont="1" applyFill="1" applyBorder="1"/>
    <xf numFmtId="2" fontId="85" fillId="0" borderId="0" xfId="314" applyNumberFormat="1" applyFont="1" applyFill="1"/>
    <xf numFmtId="169" fontId="74" fillId="0" borderId="38" xfId="138" applyNumberFormat="1" applyFont="1" applyFill="1" applyBorder="1" applyAlignment="1">
      <alignment horizontal="right"/>
    </xf>
    <xf numFmtId="169" fontId="43" fillId="0" borderId="68" xfId="138" applyNumberFormat="1" applyFont="1" applyFill="1" applyBorder="1" applyAlignment="1">
      <alignment vertical="center"/>
    </xf>
    <xf numFmtId="2" fontId="133" fillId="0" borderId="88" xfId="314" applyNumberFormat="1" applyFont="1" applyBorder="1"/>
    <xf numFmtId="0" fontId="74" fillId="0" borderId="0" xfId="0" applyFont="1" applyAlignment="1">
      <alignment horizontal="center"/>
    </xf>
    <xf numFmtId="0" fontId="74" fillId="0" borderId="0" xfId="0" applyFont="1"/>
    <xf numFmtId="167" fontId="74" fillId="0" borderId="0" xfId="0" applyNumberFormat="1" applyFont="1" applyAlignment="1">
      <alignment horizontal="center"/>
    </xf>
    <xf numFmtId="0" fontId="72" fillId="0" borderId="0" xfId="0" applyFont="1" applyAlignment="1">
      <alignment horizontal="left" vertical="center"/>
    </xf>
    <xf numFmtId="0" fontId="150" fillId="0" borderId="0" xfId="0" applyFont="1" applyAlignment="1">
      <alignment horizontal="left" vertical="center"/>
    </xf>
    <xf numFmtId="0" fontId="42" fillId="0" borderId="118" xfId="0" applyFont="1" applyBorder="1" applyAlignment="1">
      <alignment horizontal="left" vertical="center" wrapText="1"/>
    </xf>
    <xf numFmtId="169" fontId="43" fillId="0" borderId="118" xfId="138" applyNumberFormat="1" applyFont="1" applyFill="1" applyBorder="1" applyAlignment="1">
      <alignment horizontal="center" vertical="center" wrapText="1"/>
    </xf>
    <xf numFmtId="0" fontId="43" fillId="0" borderId="118" xfId="0" applyFont="1" applyBorder="1" applyAlignment="1">
      <alignment horizontal="right"/>
    </xf>
    <xf numFmtId="0" fontId="42" fillId="0" borderId="118" xfId="0" applyFont="1" applyBorder="1"/>
    <xf numFmtId="0" fontId="43" fillId="0" borderId="118" xfId="0" applyFont="1" applyBorder="1" applyAlignment="1">
      <alignment vertical="center"/>
    </xf>
    <xf numFmtId="169" fontId="43" fillId="0" borderId="118" xfId="138" applyNumberFormat="1" applyFont="1" applyFill="1" applyBorder="1" applyAlignment="1">
      <alignment horizontal="center" vertical="center"/>
    </xf>
    <xf numFmtId="0" fontId="43" fillId="0" borderId="118" xfId="0" applyFont="1" applyBorder="1"/>
    <xf numFmtId="0" fontId="42" fillId="0" borderId="32" xfId="228" applyFont="1" applyBorder="1" applyAlignment="1">
      <alignment horizontal="center" vertical="justify"/>
    </xf>
    <xf numFmtId="2" fontId="43" fillId="0" borderId="32" xfId="166" applyNumberFormat="1" applyFont="1" applyFill="1" applyBorder="1" applyAlignment="1">
      <alignment horizontal="center" vertical="justify"/>
    </xf>
    <xf numFmtId="2" fontId="43" fillId="0" borderId="32" xfId="166" applyNumberFormat="1" applyFont="1" applyFill="1" applyBorder="1" applyAlignment="1">
      <alignment horizontal="center" vertical="top"/>
    </xf>
    <xf numFmtId="0" fontId="43" fillId="0" borderId="32" xfId="166" applyNumberFormat="1" applyFont="1" applyFill="1" applyBorder="1" applyAlignment="1">
      <alignment horizontal="center" vertical="top"/>
    </xf>
    <xf numFmtId="2" fontId="43" fillId="0" borderId="32" xfId="166" quotePrefix="1" applyNumberFormat="1" applyFont="1" applyFill="1" applyBorder="1" applyAlignment="1">
      <alignment horizontal="center" vertical="top"/>
    </xf>
    <xf numFmtId="0" fontId="42" fillId="0" borderId="57" xfId="228" applyFont="1" applyBorder="1" applyAlignment="1">
      <alignment horizontal="center" vertical="top"/>
    </xf>
    <xf numFmtId="0" fontId="42" fillId="0" borderId="64" xfId="228" applyFont="1" applyBorder="1" applyAlignment="1">
      <alignment horizontal="center" vertical="top"/>
    </xf>
    <xf numFmtId="0" fontId="42" fillId="0" borderId="118" xfId="228" applyFont="1" applyBorder="1" applyAlignment="1">
      <alignment horizontal="left" vertical="top" wrapText="1"/>
    </xf>
    <xf numFmtId="0" fontId="43" fillId="0" borderId="54" xfId="166" applyNumberFormat="1" applyFont="1" applyFill="1" applyBorder="1" applyAlignment="1">
      <alignment horizontal="center" vertical="justify"/>
    </xf>
    <xf numFmtId="0" fontId="42" fillId="0" borderId="118" xfId="228" applyFont="1" applyBorder="1" applyAlignment="1">
      <alignment horizontal="justify" vertical="justify"/>
    </xf>
    <xf numFmtId="0" fontId="42" fillId="0" borderId="65" xfId="228" applyFont="1" applyBorder="1" applyAlignment="1">
      <alignment horizontal="justify" vertical="justify"/>
    </xf>
    <xf numFmtId="2" fontId="43" fillId="0" borderId="54" xfId="166" applyNumberFormat="1" applyFont="1" applyFill="1" applyBorder="1" applyAlignment="1">
      <alignment horizontal="center" vertical="justify"/>
    </xf>
    <xf numFmtId="0" fontId="42" fillId="0" borderId="76" xfId="228" quotePrefix="1" applyFont="1" applyBorder="1" applyAlignment="1">
      <alignment horizontal="left" vertical="justify" wrapText="1"/>
    </xf>
    <xf numFmtId="0" fontId="42" fillId="0" borderId="43" xfId="228" quotePrefix="1" applyFont="1" applyBorder="1" applyAlignment="1">
      <alignment horizontal="left" vertical="justify" wrapText="1"/>
    </xf>
    <xf numFmtId="0" fontId="42" fillId="0" borderId="44" xfId="228" quotePrefix="1" applyFont="1" applyBorder="1" applyAlignment="1">
      <alignment horizontal="left" vertical="justify" wrapText="1"/>
    </xf>
    <xf numFmtId="167" fontId="42" fillId="36" borderId="20" xfId="138" applyFont="1" applyFill="1" applyBorder="1" applyAlignment="1">
      <alignment horizontal="center" vertical="center"/>
    </xf>
    <xf numFmtId="169" fontId="43" fillId="0" borderId="38" xfId="0" applyNumberFormat="1" applyFont="1" applyBorder="1" applyAlignment="1">
      <alignment horizontal="right" vertical="top" wrapText="1"/>
    </xf>
    <xf numFmtId="169" fontId="42" fillId="0" borderId="65" xfId="0" applyNumberFormat="1" applyFont="1" applyBorder="1" applyAlignment="1">
      <alignment horizontal="left" vertical="center" wrapText="1"/>
    </xf>
    <xf numFmtId="0" fontId="43" fillId="0" borderId="67" xfId="0" applyFont="1" applyBorder="1" applyAlignment="1">
      <alignment horizontal="left" vertical="center"/>
    </xf>
    <xf numFmtId="0" fontId="43" fillId="0" borderId="19" xfId="228" applyFont="1" applyBorder="1" applyAlignment="1">
      <alignment horizontal="left" vertical="top" indent="1"/>
    </xf>
    <xf numFmtId="0" fontId="43" fillId="0" borderId="56" xfId="0" applyFont="1" applyBorder="1" applyAlignment="1">
      <alignment horizontal="center" vertical="center" wrapText="1"/>
    </xf>
    <xf numFmtId="0" fontId="43" fillId="0" borderId="56" xfId="0" applyFont="1" applyBorder="1" applyAlignment="1">
      <alignment vertical="center" wrapText="1"/>
    </xf>
    <xf numFmtId="0" fontId="43" fillId="0" borderId="63" xfId="0" applyFont="1" applyBorder="1" applyAlignment="1">
      <alignment horizontal="center" vertical="center"/>
    </xf>
    <xf numFmtId="0" fontId="43" fillId="0" borderId="66" xfId="0" applyFont="1" applyBorder="1" applyAlignment="1">
      <alignment horizontal="center" vertical="center"/>
    </xf>
    <xf numFmtId="0" fontId="42" fillId="0" borderId="56" xfId="0" applyFont="1" applyBorder="1"/>
    <xf numFmtId="0" fontId="43" fillId="0" borderId="56" xfId="0" applyFont="1" applyBorder="1" applyAlignment="1">
      <alignment horizontal="left" vertical="center"/>
    </xf>
    <xf numFmtId="0" fontId="42" fillId="0" borderId="56" xfId="0" applyFont="1" applyBorder="1" applyAlignment="1">
      <alignment horizontal="center" vertical="center"/>
    </xf>
    <xf numFmtId="0" fontId="42" fillId="0" borderId="63" xfId="0" applyFont="1" applyBorder="1" applyAlignment="1">
      <alignment horizontal="center" vertical="center"/>
    </xf>
    <xf numFmtId="0" fontId="42" fillId="0" borderId="56" xfId="0" applyFont="1" applyBorder="1" applyAlignment="1">
      <alignment horizontal="center"/>
    </xf>
    <xf numFmtId="0" fontId="43" fillId="0" borderId="72" xfId="0" applyFont="1" applyBorder="1" applyAlignment="1">
      <alignment horizontal="center" vertical="center" wrapText="1"/>
    </xf>
    <xf numFmtId="3" fontId="42" fillId="36" borderId="19" xfId="138" applyNumberFormat="1" applyFont="1" applyFill="1" applyBorder="1"/>
    <xf numFmtId="3" fontId="42" fillId="36" borderId="38" xfId="138" applyNumberFormat="1" applyFont="1" applyFill="1" applyBorder="1"/>
    <xf numFmtId="3" fontId="42" fillId="36" borderId="19" xfId="138" applyNumberFormat="1" applyFont="1" applyFill="1" applyBorder="1" applyAlignment="1">
      <alignment horizontal="center" vertical="center"/>
    </xf>
    <xf numFmtId="3" fontId="42" fillId="36" borderId="38" xfId="138" applyNumberFormat="1" applyFont="1" applyFill="1" applyBorder="1" applyAlignment="1">
      <alignment horizontal="center" vertical="center"/>
    </xf>
    <xf numFmtId="3" fontId="42" fillId="36" borderId="0" xfId="138" applyNumberFormat="1" applyFont="1" applyFill="1" applyBorder="1"/>
    <xf numFmtId="3" fontId="43" fillId="36" borderId="49" xfId="138" applyNumberFormat="1" applyFont="1" applyFill="1" applyBorder="1"/>
    <xf numFmtId="3" fontId="43" fillId="36" borderId="89" xfId="138" applyNumberFormat="1" applyFont="1" applyFill="1" applyBorder="1"/>
    <xf numFmtId="3" fontId="42" fillId="36" borderId="0" xfId="138" applyNumberFormat="1" applyFont="1" applyFill="1" applyBorder="1" applyAlignment="1">
      <alignment horizontal="center" vertical="center"/>
    </xf>
    <xf numFmtId="3" fontId="43" fillId="36" borderId="91" xfId="138" applyNumberFormat="1" applyFont="1" applyFill="1" applyBorder="1"/>
    <xf numFmtId="3" fontId="42" fillId="36" borderId="88" xfId="138" applyNumberFormat="1" applyFont="1" applyFill="1" applyBorder="1" applyAlignment="1">
      <alignment horizontal="right" vertical="center"/>
    </xf>
    <xf numFmtId="3" fontId="42" fillId="36" borderId="24" xfId="138" applyNumberFormat="1" applyFont="1" applyFill="1" applyBorder="1" applyAlignment="1">
      <alignment horizontal="right" vertical="center"/>
    </xf>
    <xf numFmtId="3" fontId="121" fillId="36" borderId="88" xfId="138" applyNumberFormat="1" applyFont="1" applyFill="1" applyBorder="1" applyAlignment="1">
      <alignment horizontal="right"/>
    </xf>
    <xf numFmtId="3" fontId="42" fillId="36" borderId="37" xfId="138" applyNumberFormat="1" applyFont="1" applyFill="1" applyBorder="1" applyAlignment="1">
      <alignment horizontal="right" vertical="center"/>
    </xf>
    <xf numFmtId="3" fontId="43" fillId="36" borderId="88" xfId="138" applyNumberFormat="1" applyFont="1" applyFill="1" applyBorder="1" applyAlignment="1">
      <alignment horizontal="right" vertical="center"/>
    </xf>
    <xf numFmtId="3" fontId="42" fillId="36" borderId="88" xfId="138" applyNumberFormat="1" applyFont="1" applyFill="1" applyBorder="1" applyAlignment="1">
      <alignment horizontal="center" vertical="center"/>
    </xf>
    <xf numFmtId="169" fontId="43" fillId="0" borderId="33" xfId="138" applyNumberFormat="1" applyFont="1" applyFill="1" applyBorder="1"/>
    <xf numFmtId="169" fontId="43" fillId="0" borderId="60" xfId="138" applyNumberFormat="1" applyFont="1" applyFill="1" applyBorder="1"/>
    <xf numFmtId="0" fontId="136" fillId="0" borderId="86" xfId="345" applyFont="1" applyBorder="1" applyAlignment="1">
      <alignment horizontal="center" vertical="center" wrapText="1"/>
    </xf>
    <xf numFmtId="0" fontId="42" fillId="0" borderId="0" xfId="0" applyFont="1" applyAlignment="1">
      <alignment horizontal="center"/>
    </xf>
    <xf numFmtId="43" fontId="81" fillId="0" borderId="0" xfId="300" applyNumberFormat="1" applyFont="1"/>
    <xf numFmtId="169" fontId="42" fillId="0" borderId="38" xfId="138" applyNumberFormat="1" applyFont="1" applyFill="1" applyBorder="1" applyAlignment="1">
      <alignment wrapText="1"/>
    </xf>
    <xf numFmtId="0" fontId="0" fillId="0" borderId="54" xfId="0" applyBorder="1"/>
    <xf numFmtId="0" fontId="42" fillId="0" borderId="66" xfId="0" applyFont="1" applyBorder="1" applyAlignment="1">
      <alignment horizontal="center" vertical="center"/>
    </xf>
    <xf numFmtId="0" fontId="42" fillId="0" borderId="43" xfId="0" applyFont="1" applyBorder="1" applyAlignment="1">
      <alignment horizontal="center" vertical="center"/>
    </xf>
    <xf numFmtId="0" fontId="42" fillId="0" borderId="44" xfId="0" applyFont="1" applyBorder="1" applyAlignment="1">
      <alignment horizontal="center" vertical="center"/>
    </xf>
    <xf numFmtId="169" fontId="42" fillId="0" borderId="118" xfId="138" applyNumberFormat="1" applyFont="1" applyFill="1" applyBorder="1"/>
    <xf numFmtId="167" fontId="43" fillId="0" borderId="118" xfId="138" applyFont="1" applyFill="1" applyBorder="1"/>
    <xf numFmtId="0" fontId="43" fillId="0" borderId="0" xfId="0" applyFont="1" applyAlignment="1">
      <alignment horizontal="right"/>
    </xf>
    <xf numFmtId="169" fontId="43" fillId="0" borderId="118" xfId="138" applyNumberFormat="1" applyFont="1" applyFill="1" applyBorder="1"/>
    <xf numFmtId="0" fontId="43" fillId="0" borderId="0" xfId="0" applyFont="1" applyAlignment="1">
      <alignment horizontal="center" vertical="center"/>
    </xf>
    <xf numFmtId="0" fontId="43" fillId="0" borderId="0" xfId="0" applyFont="1" applyAlignment="1">
      <alignment vertical="center"/>
    </xf>
    <xf numFmtId="0" fontId="42" fillId="0" borderId="118" xfId="0" applyFont="1" applyBorder="1" applyAlignment="1">
      <alignment horizontal="center" vertical="center"/>
    </xf>
    <xf numFmtId="0" fontId="42" fillId="0" borderId="65" xfId="0" applyFont="1" applyBorder="1" applyAlignment="1">
      <alignment horizontal="center" vertical="center"/>
    </xf>
    <xf numFmtId="0" fontId="42" fillId="0" borderId="0" xfId="0" applyFont="1" applyAlignment="1">
      <alignment horizontal="left" indent="2"/>
    </xf>
    <xf numFmtId="0" fontId="42" fillId="0" borderId="0" xfId="0" applyFont="1" applyAlignment="1">
      <alignment horizontal="left" indent="3"/>
    </xf>
    <xf numFmtId="0" fontId="42" fillId="0" borderId="0" xfId="228" applyFont="1" applyAlignment="1">
      <alignment horizontal="left" vertical="top" wrapText="1" indent="2"/>
    </xf>
    <xf numFmtId="0" fontId="42" fillId="0" borderId="118" xfId="0" applyFont="1" applyBorder="1" applyAlignment="1">
      <alignment vertical="center"/>
    </xf>
    <xf numFmtId="169" fontId="42" fillId="0" borderId="118" xfId="138" applyNumberFormat="1" applyFont="1" applyFill="1" applyBorder="1" applyAlignment="1">
      <alignment vertical="center"/>
    </xf>
    <xf numFmtId="0" fontId="42" fillId="0" borderId="0" xfId="0" applyFont="1" applyAlignment="1">
      <alignment horizontal="left"/>
    </xf>
    <xf numFmtId="169" fontId="42" fillId="0" borderId="0" xfId="0" applyNumberFormat="1" applyFont="1"/>
    <xf numFmtId="0" fontId="42" fillId="0" borderId="0" xfId="0" applyFont="1" applyAlignment="1">
      <alignment horizontal="left" indent="4"/>
    </xf>
    <xf numFmtId="0" fontId="42" fillId="0" borderId="118" xfId="0" applyFont="1" applyBorder="1" applyAlignment="1">
      <alignment horizontal="left" indent="6"/>
    </xf>
    <xf numFmtId="169" fontId="43" fillId="0" borderId="118" xfId="138" applyNumberFormat="1" applyFont="1" applyFill="1" applyBorder="1" applyAlignment="1">
      <alignment horizontal="right"/>
    </xf>
    <xf numFmtId="0" fontId="42" fillId="0" borderId="118" xfId="0" quotePrefix="1" applyFont="1" applyBorder="1"/>
    <xf numFmtId="0" fontId="43" fillId="0" borderId="0" xfId="228" quotePrefix="1" applyFont="1" applyAlignment="1">
      <alignment horizontal="justify" vertical="justify" wrapText="1"/>
    </xf>
    <xf numFmtId="0" fontId="43" fillId="0" borderId="0" xfId="228" quotePrefix="1" applyFont="1" applyAlignment="1">
      <alignment horizontal="left" vertical="top" wrapText="1"/>
    </xf>
    <xf numFmtId="0" fontId="42" fillId="0" borderId="0" xfId="0" applyFont="1" applyAlignment="1">
      <alignment horizontal="left" vertical="top" wrapText="1"/>
    </xf>
    <xf numFmtId="0" fontId="42" fillId="0" borderId="0" xfId="0" applyFont="1" applyAlignment="1">
      <alignment horizontal="left" vertical="center"/>
    </xf>
    <xf numFmtId="169" fontId="42" fillId="0" borderId="0" xfId="138" applyNumberFormat="1" applyFont="1" applyFill="1" applyBorder="1" applyAlignment="1">
      <alignment horizontal="center" wrapText="1"/>
    </xf>
    <xf numFmtId="169" fontId="145" fillId="0" borderId="33" xfId="138" applyNumberFormat="1" applyFont="1" applyFill="1" applyBorder="1" applyAlignment="1">
      <alignment horizontal="center"/>
    </xf>
    <xf numFmtId="0" fontId="42" fillId="0" borderId="0" xfId="0" applyFont="1" applyAlignment="1">
      <alignment horizontal="left" indent="6"/>
    </xf>
    <xf numFmtId="0" fontId="42" fillId="0" borderId="0" xfId="0" quotePrefix="1" applyFont="1"/>
    <xf numFmtId="0" fontId="42" fillId="0" borderId="0" xfId="0" applyFont="1" applyAlignment="1">
      <alignment vertical="center"/>
    </xf>
    <xf numFmtId="169" fontId="145" fillId="0" borderId="0" xfId="138" applyNumberFormat="1" applyFont="1" applyFill="1" applyBorder="1"/>
    <xf numFmtId="0" fontId="42" fillId="0" borderId="43" xfId="0" applyFont="1" applyBorder="1" applyAlignment="1">
      <alignment horizontal="center" vertical="top" wrapText="1"/>
    </xf>
    <xf numFmtId="0" fontId="42" fillId="0" borderId="44" xfId="0" applyFont="1" applyBorder="1" applyAlignment="1">
      <alignment horizontal="center" vertical="top" wrapText="1"/>
    </xf>
    <xf numFmtId="0" fontId="43" fillId="0" borderId="0" xfId="0" applyFont="1" applyAlignment="1">
      <alignment horizontal="left" indent="2"/>
    </xf>
    <xf numFmtId="0" fontId="42" fillId="0" borderId="0" xfId="0" applyFont="1" applyAlignment="1">
      <alignment horizontal="left" indent="5"/>
    </xf>
    <xf numFmtId="0" fontId="42" fillId="0" borderId="0" xfId="0" applyFont="1" applyAlignment="1">
      <alignment horizontal="left" vertical="top"/>
    </xf>
    <xf numFmtId="49" fontId="42" fillId="0" borderId="0" xfId="0" applyNumberFormat="1" applyFont="1" applyAlignment="1">
      <alignment vertical="top"/>
    </xf>
    <xf numFmtId="49" fontId="43" fillId="0" borderId="0" xfId="0" applyNumberFormat="1" applyFont="1" applyAlignment="1">
      <alignment horizontal="left" vertical="top"/>
    </xf>
    <xf numFmtId="49" fontId="42" fillId="0" borderId="0" xfId="0" applyNumberFormat="1" applyFont="1" applyAlignment="1">
      <alignment horizontal="left" vertical="top"/>
    </xf>
    <xf numFmtId="0" fontId="42" fillId="0" borderId="0" xfId="0" applyFont="1" applyAlignment="1">
      <alignment horizontal="left" indent="8"/>
    </xf>
    <xf numFmtId="49" fontId="42" fillId="0" borderId="0" xfId="0" applyNumberFormat="1" applyFont="1" applyAlignment="1">
      <alignment horizontal="left" wrapText="1"/>
    </xf>
    <xf numFmtId="49" fontId="43" fillId="0" borderId="0" xfId="0" applyNumberFormat="1" applyFont="1" applyAlignment="1">
      <alignment horizontal="left" wrapText="1"/>
    </xf>
    <xf numFmtId="169" fontId="43" fillId="0" borderId="65" xfId="138" applyNumberFormat="1" applyFont="1" applyFill="1" applyBorder="1" applyAlignment="1">
      <alignment horizontal="center" vertical="center" wrapText="1"/>
    </xf>
    <xf numFmtId="169" fontId="42" fillId="0" borderId="78" xfId="138" applyNumberFormat="1" applyFont="1" applyFill="1" applyBorder="1" applyAlignment="1">
      <alignment horizontal="right"/>
    </xf>
    <xf numFmtId="0" fontId="42" fillId="0" borderId="118" xfId="0" applyFont="1" applyBorder="1" applyAlignment="1">
      <alignment horizontal="left" vertical="top"/>
    </xf>
    <xf numFmtId="178" fontId="42" fillId="0" borderId="118" xfId="168" applyFont="1" applyFill="1" applyBorder="1" applyAlignment="1" applyProtection="1">
      <alignment horizontal="right" vertical="top"/>
    </xf>
    <xf numFmtId="0" fontId="42" fillId="0" borderId="0" xfId="228" quotePrefix="1" applyFont="1" applyAlignment="1">
      <alignment horizontal="justify" vertical="top" wrapText="1"/>
    </xf>
    <xf numFmtId="169" fontId="74" fillId="0" borderId="4" xfId="138" applyNumberFormat="1" applyFont="1" applyFill="1" applyBorder="1"/>
    <xf numFmtId="169" fontId="74" fillId="36" borderId="4" xfId="138" applyNumberFormat="1" applyFont="1" applyFill="1" applyBorder="1"/>
    <xf numFmtId="169" fontId="148" fillId="0" borderId="90" xfId="138" applyNumberFormat="1" applyFont="1" applyFill="1" applyBorder="1"/>
    <xf numFmtId="169" fontId="74" fillId="0" borderId="4" xfId="138" applyNumberFormat="1" applyFont="1" applyFill="1" applyBorder="1" applyAlignment="1">
      <alignment horizontal="right"/>
    </xf>
    <xf numFmtId="169" fontId="74" fillId="0" borderId="0" xfId="138" applyNumberFormat="1" applyFont="1" applyFill="1" applyBorder="1"/>
    <xf numFmtId="169" fontId="148" fillId="0" borderId="4" xfId="138" applyNumberFormat="1" applyFont="1" applyFill="1" applyBorder="1"/>
    <xf numFmtId="169" fontId="74" fillId="0" borderId="0" xfId="138" applyNumberFormat="1" applyFont="1" applyFill="1" applyBorder="1" applyAlignment="1">
      <alignment horizontal="center"/>
    </xf>
    <xf numFmtId="169" fontId="91" fillId="0" borderId="88" xfId="138" applyNumberFormat="1" applyFont="1" applyBorder="1"/>
    <xf numFmtId="169" fontId="148" fillId="0" borderId="37" xfId="138" applyNumberFormat="1" applyFont="1" applyFill="1" applyBorder="1"/>
    <xf numFmtId="169" fontId="148" fillId="0" borderId="99" xfId="138" applyNumberFormat="1" applyFont="1" applyFill="1" applyBorder="1"/>
    <xf numFmtId="169" fontId="74" fillId="0" borderId="27" xfId="138" applyNumberFormat="1" applyFont="1" applyFill="1" applyBorder="1"/>
    <xf numFmtId="169" fontId="148" fillId="0" borderId="27" xfId="138" applyNumberFormat="1" applyFont="1" applyFill="1" applyBorder="1" applyAlignment="1">
      <alignment horizontal="left" vertical="center"/>
    </xf>
    <xf numFmtId="169" fontId="148" fillId="0" borderId="27" xfId="138" applyNumberFormat="1" applyFont="1" applyFill="1" applyBorder="1"/>
    <xf numFmtId="169" fontId="74" fillId="0" borderId="62" xfId="138" applyNumberFormat="1" applyFont="1" applyFill="1" applyBorder="1" applyAlignment="1">
      <alignment horizontal="center"/>
    </xf>
    <xf numFmtId="169" fontId="148" fillId="0" borderId="50" xfId="138" applyNumberFormat="1" applyFont="1" applyFill="1" applyBorder="1"/>
    <xf numFmtId="169" fontId="42" fillId="0" borderId="0" xfId="138" quotePrefix="1" applyNumberFormat="1" applyFont="1" applyFill="1" applyBorder="1" applyAlignment="1">
      <alignment horizontal="center"/>
    </xf>
    <xf numFmtId="0" fontId="43" fillId="0" borderId="5" xfId="0" applyFont="1" applyBorder="1"/>
    <xf numFmtId="0" fontId="42" fillId="0" borderId="5" xfId="0" applyFont="1" applyBorder="1"/>
    <xf numFmtId="10" fontId="105" fillId="36" borderId="0" xfId="0" applyNumberFormat="1" applyFont="1" applyFill="1" applyAlignment="1">
      <alignment horizontal="center" vertical="top" wrapText="1"/>
    </xf>
    <xf numFmtId="0" fontId="106" fillId="36" borderId="0" xfId="0" applyFont="1" applyFill="1"/>
    <xf numFmtId="1" fontId="107" fillId="36" borderId="0" xfId="0" applyNumberFormat="1" applyFont="1" applyFill="1"/>
    <xf numFmtId="0" fontId="108" fillId="36" borderId="0" xfId="0" applyFont="1" applyFill="1"/>
    <xf numFmtId="168" fontId="106" fillId="36" borderId="4" xfId="143" applyFont="1" applyFill="1" applyBorder="1" applyAlignment="1">
      <alignment horizontal="right"/>
    </xf>
    <xf numFmtId="0" fontId="105" fillId="36" borderId="122" xfId="0" applyFont="1" applyFill="1" applyBorder="1" applyAlignment="1">
      <alignment horizontal="center" vertical="top" wrapText="1"/>
    </xf>
    <xf numFmtId="0" fontId="105" fillId="36" borderId="123" xfId="0" applyFont="1" applyFill="1" applyBorder="1" applyAlignment="1">
      <alignment horizontal="center" vertical="top" wrapText="1"/>
    </xf>
    <xf numFmtId="0" fontId="106" fillId="36" borderId="123" xfId="0" applyFont="1" applyFill="1" applyBorder="1" applyAlignment="1">
      <alignment horizontal="center"/>
    </xf>
    <xf numFmtId="0" fontId="106" fillId="36" borderId="122" xfId="0" applyFont="1" applyFill="1" applyBorder="1"/>
    <xf numFmtId="1" fontId="107" fillId="36" borderId="122" xfId="0" applyNumberFormat="1" applyFont="1" applyFill="1" applyBorder="1"/>
    <xf numFmtId="1" fontId="106" fillId="36" borderId="122" xfId="143" applyNumberFormat="1" applyFont="1" applyFill="1" applyBorder="1" applyAlignment="1">
      <alignment horizontal="center"/>
    </xf>
    <xf numFmtId="1" fontId="105" fillId="36" borderId="127" xfId="143" applyNumberFormat="1" applyFont="1" applyFill="1" applyBorder="1" applyAlignment="1">
      <alignment horizontal="center"/>
    </xf>
    <xf numFmtId="168" fontId="105" fillId="36" borderId="128" xfId="143" applyFont="1" applyFill="1" applyBorder="1"/>
    <xf numFmtId="175" fontId="105" fillId="36" borderId="129" xfId="143" applyNumberFormat="1" applyFont="1" applyFill="1" applyBorder="1" applyAlignment="1">
      <alignment horizontal="right"/>
    </xf>
    <xf numFmtId="0" fontId="106" fillId="36" borderId="123" xfId="0" applyFont="1" applyFill="1" applyBorder="1"/>
    <xf numFmtId="0" fontId="108" fillId="36" borderId="123" xfId="0" applyFont="1" applyFill="1" applyBorder="1"/>
    <xf numFmtId="167" fontId="105" fillId="36" borderId="131" xfId="138" applyFont="1" applyFill="1" applyBorder="1" applyAlignment="1">
      <alignment horizontal="center" vertical="center" wrapText="1"/>
    </xf>
    <xf numFmtId="168" fontId="106" fillId="36" borderId="132" xfId="143" applyFont="1" applyFill="1" applyBorder="1" applyAlignment="1">
      <alignment horizontal="right"/>
    </xf>
    <xf numFmtId="175" fontId="106" fillId="36" borderId="133" xfId="143" applyNumberFormat="1" applyFont="1" applyFill="1" applyBorder="1" applyAlignment="1">
      <alignment horizontal="right"/>
    </xf>
    <xf numFmtId="175" fontId="106" fillId="36" borderId="133" xfId="157" applyNumberFormat="1" applyFont="1" applyFill="1" applyBorder="1" applyAlignment="1">
      <alignment horizontal="center"/>
    </xf>
    <xf numFmtId="175" fontId="105" fillId="36" borderId="134" xfId="143" applyNumberFormat="1" applyFont="1" applyFill="1" applyBorder="1" applyAlignment="1">
      <alignment horizontal="right"/>
    </xf>
    <xf numFmtId="1" fontId="109" fillId="0" borderId="122" xfId="0" applyNumberFormat="1" applyFont="1" applyBorder="1" applyAlignment="1">
      <alignment horizontal="center" wrapText="1"/>
    </xf>
    <xf numFmtId="1" fontId="109" fillId="0" borderId="0" xfId="0" applyNumberFormat="1" applyFont="1" applyAlignment="1">
      <alignment horizontal="center" wrapText="1"/>
    </xf>
    <xf numFmtId="1" fontId="109" fillId="0" borderId="123" xfId="0" applyNumberFormat="1" applyFont="1" applyBorder="1" applyAlignment="1">
      <alignment horizontal="center" wrapText="1"/>
    </xf>
    <xf numFmtId="1" fontId="110" fillId="0" borderId="122" xfId="0" applyNumberFormat="1" applyFont="1" applyBorder="1" applyAlignment="1">
      <alignment horizontal="center"/>
    </xf>
    <xf numFmtId="0" fontId="110" fillId="0" borderId="0" xfId="0" applyFont="1"/>
    <xf numFmtId="0" fontId="110" fillId="0" borderId="123" xfId="0" applyFont="1" applyBorder="1" applyAlignment="1">
      <alignment horizontal="center"/>
    </xf>
    <xf numFmtId="1" fontId="109" fillId="0" borderId="122" xfId="0" applyNumberFormat="1" applyFont="1" applyBorder="1" applyAlignment="1">
      <alignment horizontal="left"/>
    </xf>
    <xf numFmtId="0" fontId="111" fillId="0" borderId="0" xfId="0" applyFont="1"/>
    <xf numFmtId="1" fontId="110" fillId="0" borderId="135" xfId="0" applyNumberFormat="1" applyFont="1" applyBorder="1" applyAlignment="1">
      <alignment horizontal="left"/>
    </xf>
    <xf numFmtId="0" fontId="110" fillId="0" borderId="118" xfId="0" applyFont="1" applyBorder="1"/>
    <xf numFmtId="10" fontId="110" fillId="0" borderId="131" xfId="143" applyNumberFormat="1" applyFont="1" applyFill="1" applyBorder="1" applyAlignment="1">
      <alignment horizontal="center" vertical="center" wrapText="1"/>
    </xf>
    <xf numFmtId="1" fontId="110" fillId="0" borderId="122" xfId="143" applyNumberFormat="1" applyFont="1" applyFill="1" applyBorder="1" applyAlignment="1">
      <alignment horizontal="center"/>
    </xf>
    <xf numFmtId="168" fontId="110" fillId="0" borderId="132" xfId="143" applyFont="1" applyFill="1" applyBorder="1" applyAlignment="1">
      <alignment horizontal="center"/>
    </xf>
    <xf numFmtId="167" fontId="110" fillId="0" borderId="133" xfId="138" applyFont="1" applyFill="1" applyBorder="1" applyAlignment="1">
      <alignment horizontal="center"/>
    </xf>
    <xf numFmtId="168" fontId="110" fillId="0" borderId="133" xfId="143" applyFont="1" applyFill="1" applyBorder="1" applyAlignment="1">
      <alignment horizontal="center"/>
    </xf>
    <xf numFmtId="9" fontId="110" fillId="0" borderId="133" xfId="314" applyFont="1" applyFill="1" applyBorder="1" applyAlignment="1">
      <alignment horizontal="center"/>
    </xf>
    <xf numFmtId="9" fontId="110" fillId="0" borderId="137" xfId="314" applyFont="1" applyFill="1" applyBorder="1" applyAlignment="1">
      <alignment horizontal="center"/>
    </xf>
    <xf numFmtId="1" fontId="110" fillId="0" borderId="138" xfId="143" applyNumberFormat="1" applyFont="1" applyFill="1" applyBorder="1" applyAlignment="1">
      <alignment horizontal="center"/>
    </xf>
    <xf numFmtId="168" fontId="110" fillId="0" borderId="128" xfId="143" applyFont="1" applyFill="1" applyBorder="1"/>
    <xf numFmtId="175" fontId="110" fillId="0" borderId="129" xfId="143" applyNumberFormat="1" applyFont="1" applyFill="1" applyBorder="1" applyAlignment="1">
      <alignment horizontal="right"/>
    </xf>
    <xf numFmtId="168" fontId="110" fillId="0" borderId="134" xfId="143" applyFont="1" applyFill="1" applyBorder="1" applyAlignment="1">
      <alignment horizontal="center"/>
    </xf>
    <xf numFmtId="4" fontId="96" fillId="0" borderId="0" xfId="0" applyNumberFormat="1" applyFont="1"/>
    <xf numFmtId="0" fontId="0" fillId="0" borderId="0" xfId="0" pivotButton="1"/>
    <xf numFmtId="0" fontId="0" fillId="0" borderId="0" xfId="0" applyAlignment="1">
      <alignment horizontal="left" indent="1"/>
    </xf>
    <xf numFmtId="3" fontId="42" fillId="36" borderId="0" xfId="0" applyNumberFormat="1" applyFont="1" applyFill="1"/>
    <xf numFmtId="43" fontId="42" fillId="36" borderId="0" xfId="0" applyNumberFormat="1" applyFont="1" applyFill="1" applyAlignment="1">
      <alignment vertical="center"/>
    </xf>
    <xf numFmtId="169" fontId="128" fillId="63" borderId="0" xfId="0" applyNumberFormat="1" applyFont="1" applyFill="1" applyAlignment="1">
      <alignment vertical="center" wrapText="1"/>
    </xf>
    <xf numFmtId="175" fontId="96" fillId="0" borderId="0" xfId="0" applyNumberFormat="1" applyFont="1" applyAlignment="1">
      <alignment vertical="center"/>
    </xf>
    <xf numFmtId="0" fontId="43" fillId="0" borderId="0" xfId="0" applyFont="1" applyAlignment="1">
      <alignment horizontal="center"/>
    </xf>
    <xf numFmtId="0" fontId="42" fillId="0" borderId="0" xfId="0" applyFont="1" applyAlignment="1">
      <alignment horizontal="center" vertical="top"/>
    </xf>
    <xf numFmtId="3" fontId="6" fillId="0" borderId="0" xfId="138" applyNumberFormat="1" applyFont="1" applyFill="1" applyAlignment="1">
      <alignment horizontal="right"/>
    </xf>
    <xf numFmtId="3" fontId="42" fillId="0" borderId="88" xfId="138" applyNumberFormat="1" applyFont="1" applyFill="1" applyBorder="1" applyAlignment="1">
      <alignment horizontal="right" vertical="center"/>
    </xf>
    <xf numFmtId="3" fontId="42" fillId="0" borderId="24" xfId="138" applyNumberFormat="1" applyFont="1" applyFill="1" applyBorder="1" applyAlignment="1">
      <alignment horizontal="right" vertical="center"/>
    </xf>
    <xf numFmtId="3" fontId="121" fillId="0" borderId="88" xfId="138" applyNumberFormat="1" applyFont="1" applyFill="1" applyBorder="1" applyAlignment="1">
      <alignment horizontal="right"/>
    </xf>
    <xf numFmtId="3" fontId="42" fillId="0" borderId="0" xfId="138" applyNumberFormat="1" applyFont="1" applyFill="1" applyBorder="1" applyAlignment="1">
      <alignment horizontal="right" vertical="center"/>
    </xf>
    <xf numFmtId="3" fontId="42" fillId="0" borderId="0" xfId="138" applyNumberFormat="1" applyFont="1" applyFill="1" applyBorder="1" applyAlignment="1">
      <alignment horizontal="right"/>
    </xf>
    <xf numFmtId="3" fontId="6" fillId="0" borderId="0" xfId="138" applyNumberFormat="1" applyFont="1" applyFill="1" applyBorder="1" applyAlignment="1">
      <alignment horizontal="right"/>
    </xf>
    <xf numFmtId="43" fontId="42" fillId="0" borderId="0" xfId="166" applyFont="1" applyFill="1" applyBorder="1" applyAlignment="1">
      <alignment vertical="top" wrapText="1"/>
    </xf>
    <xf numFmtId="0" fontId="42" fillId="0" borderId="42" xfId="0" applyFont="1" applyBorder="1"/>
    <xf numFmtId="0" fontId="43" fillId="0" borderId="43" xfId="0" applyFont="1" applyBorder="1" applyAlignment="1">
      <alignment horizontal="right"/>
    </xf>
    <xf numFmtId="169" fontId="145" fillId="0" borderId="43" xfId="138" applyNumberFormat="1" applyFont="1" applyFill="1" applyBorder="1"/>
    <xf numFmtId="169" fontId="43" fillId="0" borderId="44" xfId="138" applyNumberFormat="1" applyFont="1" applyFill="1" applyBorder="1"/>
    <xf numFmtId="3" fontId="42" fillId="36" borderId="38" xfId="138" applyNumberFormat="1" applyFont="1" applyFill="1" applyBorder="1" applyAlignment="1">
      <alignment horizontal="right" vertical="center"/>
    </xf>
    <xf numFmtId="169" fontId="74" fillId="36" borderId="88" xfId="138" applyNumberFormat="1" applyFont="1" applyFill="1" applyBorder="1"/>
    <xf numFmtId="0" fontId="135" fillId="0" borderId="0" xfId="346" applyFont="1"/>
    <xf numFmtId="0" fontId="136" fillId="0" borderId="0" xfId="350" applyFont="1" applyAlignment="1">
      <alignment horizontal="left" vertical="center" wrapText="1"/>
    </xf>
    <xf numFmtId="0" fontId="133" fillId="0" borderId="40" xfId="346" applyFont="1" applyBorder="1"/>
    <xf numFmtId="0" fontId="133" fillId="0" borderId="118" xfId="346" applyFont="1" applyBorder="1"/>
    <xf numFmtId="167" fontId="133" fillId="0" borderId="118" xfId="349" applyFont="1" applyBorder="1"/>
    <xf numFmtId="9" fontId="133" fillId="0" borderId="118" xfId="314" applyFont="1" applyBorder="1"/>
    <xf numFmtId="3" fontId="42" fillId="0" borderId="19" xfId="138" applyNumberFormat="1" applyFont="1" applyFill="1" applyBorder="1" applyAlignment="1">
      <alignment horizontal="right" vertical="center"/>
    </xf>
    <xf numFmtId="3" fontId="42" fillId="0" borderId="20" xfId="138" applyNumberFormat="1" applyFont="1" applyFill="1" applyBorder="1" applyAlignment="1">
      <alignment horizontal="right" vertical="center"/>
    </xf>
    <xf numFmtId="3" fontId="42" fillId="0" borderId="18" xfId="138" applyNumberFormat="1" applyFont="1" applyFill="1" applyBorder="1" applyAlignment="1">
      <alignment horizontal="right" vertical="center"/>
    </xf>
    <xf numFmtId="3" fontId="43" fillId="0" borderId="19" xfId="138" applyNumberFormat="1" applyFont="1" applyFill="1" applyBorder="1" applyAlignment="1">
      <alignment horizontal="right" vertical="center"/>
    </xf>
    <xf numFmtId="3" fontId="42" fillId="0" borderId="19" xfId="138" applyNumberFormat="1" applyFont="1" applyFill="1" applyBorder="1" applyAlignment="1">
      <alignment horizontal="right"/>
    </xf>
    <xf numFmtId="167" fontId="42" fillId="0" borderId="20" xfId="138" applyFont="1" applyFill="1" applyBorder="1" applyAlignment="1">
      <alignment horizontal="right" vertical="center"/>
    </xf>
    <xf numFmtId="3" fontId="42" fillId="36" borderId="0" xfId="138" applyNumberFormat="1" applyFont="1" applyFill="1" applyBorder="1" applyAlignment="1">
      <alignment horizontal="center"/>
    </xf>
    <xf numFmtId="169" fontId="42" fillId="36" borderId="0" xfId="138" applyNumberFormat="1" applyFont="1" applyFill="1" applyBorder="1" applyAlignment="1">
      <alignment horizontal="center" vertical="center"/>
    </xf>
    <xf numFmtId="3" fontId="42" fillId="0" borderId="88" xfId="138" applyNumberFormat="1" applyFont="1" applyFill="1" applyBorder="1" applyAlignment="1">
      <alignment horizontal="center"/>
    </xf>
    <xf numFmtId="3" fontId="42" fillId="36" borderId="88" xfId="138" applyNumberFormat="1" applyFont="1" applyFill="1" applyBorder="1" applyAlignment="1">
      <alignment horizontal="right"/>
    </xf>
    <xf numFmtId="169" fontId="42" fillId="36" borderId="38" xfId="138" applyNumberFormat="1" applyFont="1" applyFill="1" applyBorder="1"/>
    <xf numFmtId="43" fontId="96" fillId="0" borderId="0" xfId="0" applyNumberFormat="1" applyFont="1" applyAlignment="1">
      <alignment vertical="center" wrapText="1"/>
    </xf>
    <xf numFmtId="0" fontId="42" fillId="36" borderId="0" xfId="0" applyFont="1" applyFill="1" applyAlignment="1">
      <alignment horizontal="center"/>
    </xf>
    <xf numFmtId="3" fontId="42" fillId="0" borderId="0" xfId="0" applyNumberFormat="1" applyFont="1" applyAlignment="1">
      <alignment horizontal="right"/>
    </xf>
    <xf numFmtId="0" fontId="43" fillId="36" borderId="0" xfId="0" applyFont="1" applyFill="1" applyAlignment="1">
      <alignment horizontal="center"/>
    </xf>
    <xf numFmtId="0" fontId="43" fillId="36" borderId="0" xfId="0" applyFont="1" applyFill="1" applyAlignment="1">
      <alignment horizontal="left"/>
    </xf>
    <xf numFmtId="0" fontId="151" fillId="36" borderId="0" xfId="0" applyFont="1" applyFill="1" applyAlignment="1">
      <alignment horizontal="right" vertical="top"/>
    </xf>
    <xf numFmtId="0" fontId="43" fillId="36" borderId="0" xfId="0" applyFont="1" applyFill="1" applyAlignment="1">
      <alignment horizontal="center" vertical="top"/>
    </xf>
    <xf numFmtId="0" fontId="42" fillId="36" borderId="0" xfId="0" applyFont="1" applyFill="1" applyAlignment="1">
      <alignment horizontal="center" vertical="top"/>
    </xf>
    <xf numFmtId="0" fontId="42" fillId="36" borderId="118" xfId="0" applyFont="1" applyFill="1" applyBorder="1"/>
    <xf numFmtId="3" fontId="42" fillId="0" borderId="118" xfId="138" applyNumberFormat="1" applyFont="1" applyFill="1" applyBorder="1" applyAlignment="1">
      <alignment horizontal="right"/>
    </xf>
    <xf numFmtId="15" fontId="42" fillId="36" borderId="118" xfId="0" applyNumberFormat="1" applyFont="1" applyFill="1" applyBorder="1" applyAlignment="1">
      <alignment horizontal="left"/>
    </xf>
    <xf numFmtId="169" fontId="42" fillId="36" borderId="118" xfId="138" applyNumberFormat="1" applyFont="1" applyFill="1" applyBorder="1"/>
    <xf numFmtId="0" fontId="42" fillId="0" borderId="0" xfId="0" applyFont="1" applyAlignment="1">
      <alignment vertical="top"/>
    </xf>
    <xf numFmtId="177" fontId="42" fillId="0" borderId="0" xfId="228" applyNumberFormat="1" applyFont="1" applyAlignment="1">
      <alignment vertical="top"/>
    </xf>
    <xf numFmtId="177" fontId="42" fillId="0" borderId="0" xfId="0" applyNumberFormat="1" applyFont="1" applyAlignment="1">
      <alignment vertical="top"/>
    </xf>
    <xf numFmtId="177" fontId="42" fillId="0" borderId="0" xfId="0" applyNumberFormat="1" applyFont="1" applyAlignment="1">
      <alignment horizontal="center" vertical="top"/>
    </xf>
    <xf numFmtId="167" fontId="42" fillId="0" borderId="0" xfId="0" applyNumberFormat="1" applyFont="1" applyAlignment="1">
      <alignment horizontal="center" vertical="top"/>
    </xf>
    <xf numFmtId="167" fontId="43" fillId="0" borderId="0" xfId="0" applyNumberFormat="1" applyFont="1" applyAlignment="1">
      <alignment horizontal="center" vertical="top"/>
    </xf>
    <xf numFmtId="0" fontId="43" fillId="0" borderId="0" xfId="0" applyFont="1" applyAlignment="1">
      <alignment vertical="top"/>
    </xf>
    <xf numFmtId="0" fontId="43" fillId="0" borderId="0" xfId="0" applyFont="1" applyAlignment="1">
      <alignment horizontal="center" vertical="top"/>
    </xf>
    <xf numFmtId="0" fontId="43" fillId="0" borderId="0" xfId="0" applyFont="1" applyAlignment="1">
      <alignment horizontal="left" vertical="top"/>
    </xf>
    <xf numFmtId="0" fontId="43" fillId="30" borderId="0" xfId="0" applyFont="1" applyFill="1"/>
    <xf numFmtId="169" fontId="42" fillId="30" borderId="0" xfId="138" applyNumberFormat="1" applyFont="1" applyFill="1" applyBorder="1"/>
    <xf numFmtId="169" fontId="42" fillId="30" borderId="38" xfId="138" applyNumberFormat="1" applyFont="1" applyFill="1" applyBorder="1"/>
    <xf numFmtId="0" fontId="105" fillId="36" borderId="119" xfId="0" applyFont="1" applyFill="1" applyBorder="1" applyAlignment="1">
      <alignment horizontal="center" vertical="top" wrapText="1"/>
    </xf>
    <xf numFmtId="0" fontId="105" fillId="36" borderId="120" xfId="0" applyFont="1" applyFill="1" applyBorder="1" applyAlignment="1">
      <alignment horizontal="center" vertical="top" wrapText="1"/>
    </xf>
    <xf numFmtId="0" fontId="105" fillId="36" borderId="121" xfId="0" applyFont="1" applyFill="1" applyBorder="1" applyAlignment="1">
      <alignment horizontal="center" vertical="top" wrapText="1"/>
    </xf>
    <xf numFmtId="0" fontId="106" fillId="36" borderId="122" xfId="0" applyFont="1" applyFill="1" applyBorder="1" applyAlignment="1">
      <alignment horizontal="center"/>
    </xf>
    <xf numFmtId="0" fontId="106" fillId="36" borderId="0" xfId="0" applyFont="1" applyFill="1" applyAlignment="1">
      <alignment horizontal="center"/>
    </xf>
    <xf numFmtId="0" fontId="106" fillId="36" borderId="123" xfId="0" applyFont="1" applyFill="1" applyBorder="1" applyAlignment="1">
      <alignment horizontal="center"/>
    </xf>
    <xf numFmtId="0" fontId="105" fillId="36" borderId="42" xfId="0" applyFont="1" applyFill="1" applyBorder="1" applyAlignment="1">
      <alignment horizontal="center" vertical="center"/>
    </xf>
    <xf numFmtId="0" fontId="105" fillId="36" borderId="125" xfId="0" applyFont="1" applyFill="1" applyBorder="1" applyAlignment="1">
      <alignment horizontal="center" vertical="center"/>
    </xf>
    <xf numFmtId="1" fontId="105" fillId="36" borderId="124" xfId="143" applyNumberFormat="1" applyFont="1" applyFill="1" applyBorder="1" applyAlignment="1">
      <alignment horizontal="center" vertical="center" wrapText="1"/>
    </xf>
    <xf numFmtId="1" fontId="105" fillId="36" borderId="126" xfId="143" applyNumberFormat="1" applyFont="1" applyFill="1" applyBorder="1" applyAlignment="1">
      <alignment horizontal="center" vertical="center" wrapText="1"/>
    </xf>
    <xf numFmtId="168" fontId="105" fillId="36" borderId="46" xfId="143" applyFont="1" applyFill="1" applyBorder="1" applyAlignment="1">
      <alignment horizontal="center" vertical="center"/>
    </xf>
    <xf numFmtId="168" fontId="105" fillId="36" borderId="29" xfId="143" applyFont="1" applyFill="1" applyBorder="1" applyAlignment="1">
      <alignment horizontal="center" vertical="center"/>
    </xf>
    <xf numFmtId="49" fontId="105" fillId="36" borderId="0" xfId="0" applyNumberFormat="1" applyFont="1" applyFill="1" applyAlignment="1">
      <alignment horizontal="center" vertical="top" wrapText="1"/>
    </xf>
    <xf numFmtId="0" fontId="105" fillId="36" borderId="0" xfId="0" applyFont="1" applyFill="1" applyAlignment="1">
      <alignment horizontal="center" vertical="top" wrapText="1"/>
    </xf>
    <xf numFmtId="168" fontId="105" fillId="36" borderId="69" xfId="143" applyFont="1" applyFill="1" applyBorder="1" applyAlignment="1">
      <alignment horizontal="center" vertical="center"/>
    </xf>
    <xf numFmtId="168" fontId="105" fillId="36" borderId="82" xfId="143" applyFont="1" applyFill="1" applyBorder="1" applyAlignment="1">
      <alignment horizontal="center" vertical="center"/>
    </xf>
    <xf numFmtId="168" fontId="105" fillId="36" borderId="79" xfId="143" applyFont="1" applyFill="1" applyBorder="1" applyAlignment="1">
      <alignment horizontal="center" vertical="center"/>
    </xf>
    <xf numFmtId="168" fontId="105" fillId="36" borderId="85" xfId="143" applyFont="1" applyFill="1" applyBorder="1" applyAlignment="1">
      <alignment horizontal="center" vertical="center"/>
    </xf>
    <xf numFmtId="0" fontId="105" fillId="36" borderId="122" xfId="0" applyFont="1" applyFill="1" applyBorder="1" applyAlignment="1">
      <alignment horizontal="center" vertical="top" wrapText="1"/>
    </xf>
    <xf numFmtId="0" fontId="105" fillId="36" borderId="123" xfId="0" applyFont="1" applyFill="1" applyBorder="1" applyAlignment="1">
      <alignment horizontal="center" vertical="top" wrapText="1"/>
    </xf>
    <xf numFmtId="0" fontId="135" fillId="39" borderId="32" xfId="0" applyFont="1" applyFill="1" applyBorder="1" applyAlignment="1">
      <alignment horizontal="center" wrapText="1"/>
    </xf>
    <xf numFmtId="0" fontId="135" fillId="39" borderId="0" xfId="0" applyFont="1" applyFill="1" applyAlignment="1">
      <alignment horizontal="center" wrapText="1"/>
    </xf>
    <xf numFmtId="0" fontId="135" fillId="39" borderId="38" xfId="0" applyFont="1" applyFill="1" applyBorder="1" applyAlignment="1">
      <alignment horizontal="center" wrapText="1"/>
    </xf>
    <xf numFmtId="0" fontId="135" fillId="39" borderId="40" xfId="0" applyFont="1" applyFill="1" applyBorder="1" applyAlignment="1">
      <alignment horizontal="center" wrapText="1"/>
    </xf>
    <xf numFmtId="0" fontId="135" fillId="39" borderId="6" xfId="0" applyFont="1" applyFill="1" applyBorder="1" applyAlignment="1">
      <alignment horizontal="center" wrapText="1"/>
    </xf>
    <xf numFmtId="0" fontId="135" fillId="39" borderId="65" xfId="0" applyFont="1" applyFill="1" applyBorder="1" applyAlignment="1">
      <alignment horizontal="center" wrapText="1"/>
    </xf>
    <xf numFmtId="0" fontId="134" fillId="67" borderId="42" xfId="0" applyFont="1" applyFill="1" applyBorder="1" applyAlignment="1">
      <alignment horizontal="center" wrapText="1"/>
    </xf>
    <xf numFmtId="0" fontId="134" fillId="67" borderId="43" xfId="0" applyFont="1" applyFill="1" applyBorder="1" applyAlignment="1">
      <alignment horizontal="center" wrapText="1"/>
    </xf>
    <xf numFmtId="0" fontId="134" fillId="67" borderId="44" xfId="0" applyFont="1" applyFill="1" applyBorder="1" applyAlignment="1">
      <alignment horizontal="center" wrapText="1"/>
    </xf>
    <xf numFmtId="0" fontId="134" fillId="67" borderId="32" xfId="0" applyFont="1" applyFill="1" applyBorder="1" applyAlignment="1">
      <alignment horizontal="center" wrapText="1"/>
    </xf>
    <xf numFmtId="0" fontId="134" fillId="67" borderId="0" xfId="0" applyFont="1" applyFill="1" applyAlignment="1">
      <alignment horizontal="center" wrapText="1"/>
    </xf>
    <xf numFmtId="0" fontId="134" fillId="67" borderId="38" xfId="0" applyFont="1" applyFill="1" applyBorder="1" applyAlignment="1">
      <alignment horizontal="center" wrapText="1"/>
    </xf>
    <xf numFmtId="0" fontId="142" fillId="42" borderId="42" xfId="0" applyFont="1" applyFill="1" applyBorder="1" applyAlignment="1">
      <alignment horizontal="center" vertical="center"/>
    </xf>
    <xf numFmtId="0" fontId="142" fillId="42" borderId="43" xfId="0" applyFont="1" applyFill="1" applyBorder="1" applyAlignment="1">
      <alignment horizontal="center" vertical="center"/>
    </xf>
    <xf numFmtId="0" fontId="142" fillId="42" borderId="32" xfId="0" applyFont="1" applyFill="1" applyBorder="1" applyAlignment="1">
      <alignment horizontal="center" vertical="center"/>
    </xf>
    <xf numFmtId="0" fontId="142" fillId="42" borderId="0" xfId="0" applyFont="1" applyFill="1" applyAlignment="1">
      <alignment horizontal="center" vertical="center"/>
    </xf>
    <xf numFmtId="0" fontId="138" fillId="69" borderId="42" xfId="0" applyFont="1" applyFill="1" applyBorder="1" applyAlignment="1">
      <alignment horizontal="center"/>
    </xf>
    <xf numFmtId="0" fontId="138" fillId="69" borderId="43" xfId="0" applyFont="1" applyFill="1" applyBorder="1" applyAlignment="1">
      <alignment horizontal="center"/>
    </xf>
    <xf numFmtId="0" fontId="138" fillId="69" borderId="44" xfId="0" applyFont="1" applyFill="1" applyBorder="1" applyAlignment="1">
      <alignment horizontal="center"/>
    </xf>
    <xf numFmtId="0" fontId="138" fillId="69" borderId="32" xfId="0" applyFont="1" applyFill="1" applyBorder="1" applyAlignment="1">
      <alignment horizontal="center"/>
    </xf>
    <xf numFmtId="0" fontId="138" fillId="69" borderId="0" xfId="0" applyFont="1" applyFill="1" applyAlignment="1">
      <alignment horizontal="center"/>
    </xf>
    <xf numFmtId="0" fontId="138" fillId="69" borderId="38" xfId="0" applyFont="1" applyFill="1" applyBorder="1" applyAlignment="1">
      <alignment horizontal="center"/>
    </xf>
    <xf numFmtId="0" fontId="134" fillId="67" borderId="0" xfId="0" applyFont="1" applyFill="1" applyAlignment="1">
      <alignment horizontal="center"/>
    </xf>
    <xf numFmtId="0" fontId="134" fillId="67" borderId="38" xfId="0" applyFont="1" applyFill="1" applyBorder="1" applyAlignment="1">
      <alignment horizontal="center"/>
    </xf>
    <xf numFmtId="0" fontId="138" fillId="42" borderId="42" xfId="0" applyFont="1" applyFill="1" applyBorder="1" applyAlignment="1">
      <alignment horizontal="center"/>
    </xf>
    <xf numFmtId="0" fontId="138" fillId="42" borderId="43" xfId="0" applyFont="1" applyFill="1" applyBorder="1" applyAlignment="1">
      <alignment horizontal="center"/>
    </xf>
    <xf numFmtId="0" fontId="138" fillId="42" borderId="44" xfId="0" applyFont="1" applyFill="1" applyBorder="1" applyAlignment="1">
      <alignment horizontal="center"/>
    </xf>
    <xf numFmtId="0" fontId="138" fillId="42" borderId="32" xfId="0" applyFont="1" applyFill="1" applyBorder="1" applyAlignment="1">
      <alignment horizontal="center"/>
    </xf>
    <xf numFmtId="0" fontId="138" fillId="42" borderId="0" xfId="0" applyFont="1" applyFill="1" applyAlignment="1">
      <alignment horizontal="center"/>
    </xf>
    <xf numFmtId="0" fontId="138" fillId="42" borderId="38" xfId="0" applyFont="1" applyFill="1" applyBorder="1" applyAlignment="1">
      <alignment horizontal="center"/>
    </xf>
    <xf numFmtId="0" fontId="134" fillId="67" borderId="42" xfId="0" applyFont="1" applyFill="1" applyBorder="1" applyAlignment="1">
      <alignment horizontal="center" vertical="center"/>
    </xf>
    <xf numFmtId="0" fontId="134" fillId="67" borderId="32" xfId="0" applyFont="1" applyFill="1" applyBorder="1" applyAlignment="1">
      <alignment horizontal="center" vertical="center"/>
    </xf>
    <xf numFmtId="0" fontId="134" fillId="67" borderId="43" xfId="0" applyFont="1" applyFill="1" applyBorder="1" applyAlignment="1">
      <alignment horizontal="center" vertical="center" wrapText="1"/>
    </xf>
    <xf numFmtId="0" fontId="134" fillId="67" borderId="0" xfId="0" applyFont="1" applyFill="1" applyAlignment="1">
      <alignment horizontal="center" vertical="center" wrapText="1"/>
    </xf>
    <xf numFmtId="0" fontId="134" fillId="67" borderId="43" xfId="0" applyFont="1" applyFill="1" applyBorder="1" applyAlignment="1">
      <alignment horizontal="center" vertical="center"/>
    </xf>
    <xf numFmtId="0" fontId="134" fillId="67" borderId="0" xfId="0" applyFont="1" applyFill="1" applyAlignment="1">
      <alignment horizontal="center" vertical="center"/>
    </xf>
    <xf numFmtId="0" fontId="134" fillId="67" borderId="44" xfId="0" applyFont="1" applyFill="1" applyBorder="1" applyAlignment="1">
      <alignment horizontal="center" vertical="center" wrapText="1"/>
    </xf>
    <xf numFmtId="0" fontId="134" fillId="67" borderId="38" xfId="0" applyFont="1" applyFill="1" applyBorder="1" applyAlignment="1">
      <alignment horizontal="center" vertical="center" wrapText="1"/>
    </xf>
    <xf numFmtId="0" fontId="132" fillId="66" borderId="42" xfId="0" applyFont="1" applyFill="1" applyBorder="1" applyAlignment="1">
      <alignment horizontal="center" vertical="center"/>
    </xf>
    <xf numFmtId="0" fontId="132" fillId="66" borderId="43" xfId="0" applyFont="1" applyFill="1" applyBorder="1" applyAlignment="1">
      <alignment horizontal="center" vertical="center"/>
    </xf>
    <xf numFmtId="0" fontId="132" fillId="66" borderId="32" xfId="0" applyFont="1" applyFill="1" applyBorder="1" applyAlignment="1">
      <alignment horizontal="center" vertical="center"/>
    </xf>
    <xf numFmtId="0" fontId="132" fillId="66" borderId="0" xfId="0" applyFont="1" applyFill="1" applyAlignment="1">
      <alignment horizontal="center" vertical="center"/>
    </xf>
    <xf numFmtId="0" fontId="134" fillId="67" borderId="108" xfId="0" applyFont="1" applyFill="1" applyBorder="1" applyAlignment="1">
      <alignment horizontal="center" vertical="center"/>
    </xf>
    <xf numFmtId="0" fontId="134" fillId="67" borderId="108" xfId="0" applyFont="1" applyFill="1" applyBorder="1" applyAlignment="1">
      <alignment horizontal="center" vertical="center" wrapText="1"/>
    </xf>
    <xf numFmtId="0" fontId="134" fillId="67" borderId="109" xfId="0" applyFont="1" applyFill="1" applyBorder="1" applyAlignment="1">
      <alignment horizontal="center" vertical="center" wrapText="1"/>
    </xf>
    <xf numFmtId="0" fontId="0" fillId="0" borderId="0" xfId="0" applyAlignment="1">
      <alignment horizontal="center" wrapText="1"/>
    </xf>
    <xf numFmtId="49" fontId="72" fillId="0" borderId="0" xfId="0" applyNumberFormat="1" applyFont="1" applyAlignment="1">
      <alignment vertical="top"/>
    </xf>
    <xf numFmtId="49" fontId="63" fillId="0" borderId="0" xfId="0" applyNumberFormat="1" applyFont="1" applyAlignment="1">
      <alignment vertical="top"/>
    </xf>
    <xf numFmtId="49" fontId="63" fillId="0" borderId="31" xfId="0" applyNumberFormat="1" applyFont="1" applyBorder="1" applyAlignment="1">
      <alignment vertical="top"/>
    </xf>
    <xf numFmtId="49" fontId="72" fillId="0" borderId="33" xfId="0" applyNumberFormat="1" applyFont="1" applyBorder="1" applyAlignment="1">
      <alignment vertical="top"/>
    </xf>
    <xf numFmtId="49" fontId="60" fillId="0" borderId="33" xfId="0" applyNumberFormat="1" applyFont="1" applyBorder="1" applyAlignment="1">
      <alignment horizontal="center" vertical="top" wrapText="1"/>
    </xf>
    <xf numFmtId="49" fontId="57" fillId="0" borderId="4" xfId="0" applyNumberFormat="1" applyFont="1" applyBorder="1" applyAlignment="1">
      <alignment horizontal="center" vertical="top" wrapText="1"/>
    </xf>
    <xf numFmtId="49" fontId="57" fillId="0" borderId="0" xfId="0" applyNumberFormat="1" applyFont="1" applyAlignment="1">
      <alignment horizontal="center" vertical="top" wrapText="1"/>
    </xf>
    <xf numFmtId="49" fontId="58" fillId="0" borderId="4" xfId="0" applyNumberFormat="1" applyFont="1" applyBorder="1" applyAlignment="1">
      <alignment horizontal="center" vertical="top" wrapText="1"/>
    </xf>
    <xf numFmtId="49" fontId="58" fillId="0" borderId="0" xfId="0" applyNumberFormat="1" applyFont="1" applyAlignment="1">
      <alignment horizontal="center" vertical="top" wrapText="1"/>
    </xf>
    <xf numFmtId="49" fontId="57" fillId="0" borderId="53" xfId="0" applyNumberFormat="1" applyFont="1" applyBorder="1" applyAlignment="1">
      <alignment horizontal="center" vertical="top"/>
    </xf>
    <xf numFmtId="49" fontId="57" fillId="0" borderId="33" xfId="0" applyNumberFormat="1" applyFont="1" applyBorder="1" applyAlignment="1">
      <alignment horizontal="center" vertical="top"/>
    </xf>
    <xf numFmtId="0" fontId="39" fillId="0" borderId="97" xfId="300" applyFont="1" applyBorder="1" applyAlignment="1">
      <alignment horizontal="center"/>
    </xf>
    <xf numFmtId="0" fontId="39" fillId="0" borderId="49" xfId="300" applyFont="1" applyBorder="1" applyAlignment="1">
      <alignment horizontal="center"/>
    </xf>
    <xf numFmtId="0" fontId="39" fillId="0" borderId="89" xfId="300" applyFont="1" applyBorder="1" applyAlignment="1">
      <alignment horizontal="center"/>
    </xf>
    <xf numFmtId="0" fontId="36" fillId="0" borderId="101" xfId="300" applyFont="1" applyBorder="1" applyAlignment="1">
      <alignment horizontal="center"/>
    </xf>
    <xf numFmtId="0" fontId="36" fillId="0" borderId="84" xfId="300" applyFont="1" applyBorder="1" applyAlignment="1">
      <alignment horizontal="center"/>
    </xf>
    <xf numFmtId="0" fontId="36" fillId="0" borderId="102" xfId="300" applyFont="1" applyBorder="1" applyAlignment="1">
      <alignment horizontal="center"/>
    </xf>
    <xf numFmtId="0" fontId="39" fillId="0" borderId="106" xfId="300" applyFont="1" applyBorder="1" applyAlignment="1">
      <alignment horizontal="center"/>
    </xf>
    <xf numFmtId="0" fontId="39" fillId="0" borderId="21" xfId="300" applyFont="1" applyBorder="1" applyAlignment="1">
      <alignment horizontal="center"/>
    </xf>
    <xf numFmtId="0" fontId="39" fillId="0" borderId="103" xfId="300" applyFont="1" applyBorder="1" applyAlignment="1">
      <alignment horizontal="center"/>
    </xf>
    <xf numFmtId="0" fontId="116" fillId="0" borderId="21" xfId="300" applyFont="1" applyBorder="1" applyAlignment="1">
      <alignment horizontal="center"/>
    </xf>
    <xf numFmtId="0" fontId="116" fillId="0" borderId="103" xfId="300" applyFont="1" applyBorder="1" applyAlignment="1">
      <alignment horizontal="center"/>
    </xf>
    <xf numFmtId="0" fontId="42" fillId="0" borderId="4" xfId="228" quotePrefix="1" applyFont="1" applyBorder="1" applyAlignment="1">
      <alignment horizontal="justify" vertical="justify" wrapText="1"/>
    </xf>
    <xf numFmtId="0" fontId="42" fillId="0" borderId="0" xfId="228" quotePrefix="1" applyFont="1" applyAlignment="1">
      <alignment horizontal="justify" vertical="justify" wrapText="1"/>
    </xf>
    <xf numFmtId="0" fontId="42" fillId="0" borderId="38" xfId="228" quotePrefix="1" applyFont="1" applyBorder="1" applyAlignment="1">
      <alignment horizontal="justify" vertical="justify" wrapText="1"/>
    </xf>
    <xf numFmtId="0" fontId="42" fillId="0" borderId="71" xfId="228" quotePrefix="1" applyFont="1" applyBorder="1" applyAlignment="1">
      <alignment horizontal="justify" vertical="justify" wrapText="1"/>
    </xf>
    <xf numFmtId="0" fontId="42" fillId="0" borderId="6" xfId="228" quotePrefix="1" applyFont="1" applyBorder="1" applyAlignment="1">
      <alignment horizontal="justify" vertical="justify" wrapText="1"/>
    </xf>
    <xf numFmtId="0" fontId="42" fillId="0" borderId="65" xfId="228" quotePrefix="1" applyFont="1" applyBorder="1" applyAlignment="1">
      <alignment horizontal="justify" vertical="justify" wrapText="1"/>
    </xf>
    <xf numFmtId="0" fontId="43" fillId="0" borderId="32" xfId="228" quotePrefix="1" applyFont="1" applyBorder="1" applyAlignment="1">
      <alignment horizontal="justify" vertical="justify"/>
    </xf>
    <xf numFmtId="0" fontId="43" fillId="0" borderId="0" xfId="228" quotePrefix="1" applyFont="1" applyAlignment="1">
      <alignment horizontal="justify" vertical="justify"/>
    </xf>
    <xf numFmtId="0" fontId="43" fillId="0" borderId="66" xfId="228" applyFont="1" applyBorder="1" applyAlignment="1">
      <alignment horizontal="justify" vertical="justify"/>
    </xf>
    <xf numFmtId="0" fontId="43" fillId="0" borderId="61" xfId="228" applyFont="1" applyBorder="1" applyAlignment="1">
      <alignment horizontal="justify" vertical="justify"/>
    </xf>
    <xf numFmtId="0" fontId="43" fillId="0" borderId="4" xfId="228" applyFont="1" applyBorder="1" applyAlignment="1">
      <alignment horizontal="justify" vertical="justify"/>
    </xf>
    <xf numFmtId="0" fontId="43" fillId="0" borderId="0" xfId="228" applyFont="1" applyAlignment="1">
      <alignment horizontal="justify" vertical="justify"/>
    </xf>
    <xf numFmtId="0" fontId="43" fillId="0" borderId="38" xfId="228" applyFont="1" applyBorder="1" applyAlignment="1">
      <alignment horizontal="justify" vertical="justify"/>
    </xf>
    <xf numFmtId="0" fontId="43" fillId="0" borderId="32" xfId="228" applyFont="1" applyBorder="1" applyAlignment="1">
      <alignment horizontal="justify" vertical="justify"/>
    </xf>
    <xf numFmtId="0" fontId="42" fillId="0" borderId="4" xfId="228" quotePrefix="1" applyFont="1" applyBorder="1" applyAlignment="1">
      <alignment horizontal="justify" wrapText="1"/>
    </xf>
    <xf numFmtId="0" fontId="42" fillId="0" borderId="0" xfId="228" quotePrefix="1" applyFont="1" applyAlignment="1">
      <alignment horizontal="justify" wrapText="1"/>
    </xf>
    <xf numFmtId="0" fontId="42" fillId="0" borderId="38" xfId="228" quotePrefix="1" applyFont="1" applyBorder="1" applyAlignment="1">
      <alignment horizontal="justify" wrapText="1"/>
    </xf>
    <xf numFmtId="0" fontId="42" fillId="0" borderId="56" xfId="228" applyFont="1" applyBorder="1" applyAlignment="1">
      <alignment horizontal="justify" vertical="justify" wrapText="1"/>
    </xf>
    <xf numFmtId="0" fontId="42" fillId="0" borderId="56" xfId="228" applyFont="1" applyBorder="1" applyAlignment="1">
      <alignment horizontal="justify" vertical="justify"/>
    </xf>
    <xf numFmtId="0" fontId="43" fillId="0" borderId="4" xfId="228" quotePrefix="1" applyFont="1" applyBorder="1" applyAlignment="1">
      <alignment horizontal="left" vertical="top" wrapText="1"/>
    </xf>
    <xf numFmtId="0" fontId="43" fillId="0" borderId="0" xfId="228" quotePrefix="1" applyFont="1" applyAlignment="1">
      <alignment horizontal="left" vertical="top" wrapText="1"/>
    </xf>
    <xf numFmtId="0" fontId="43" fillId="0" borderId="38" xfId="228" quotePrefix="1" applyFont="1" applyBorder="1" applyAlignment="1">
      <alignment horizontal="left" vertical="top" wrapText="1"/>
    </xf>
    <xf numFmtId="0" fontId="42" fillId="0" borderId="4" xfId="228" applyFont="1" applyBorder="1" applyAlignment="1">
      <alignment horizontal="left" vertical="top" wrapText="1"/>
    </xf>
    <xf numFmtId="0" fontId="42" fillId="0" borderId="0" xfId="0" applyFont="1"/>
    <xf numFmtId="0" fontId="42" fillId="0" borderId="38" xfId="0" applyFont="1" applyBorder="1"/>
    <xf numFmtId="0" fontId="42" fillId="0" borderId="4" xfId="228" quotePrefix="1" applyFont="1" applyBorder="1" applyAlignment="1">
      <alignment horizontal="justify" vertical="center" wrapText="1"/>
    </xf>
    <xf numFmtId="0" fontId="42" fillId="0" borderId="0" xfId="228" quotePrefix="1" applyFont="1" applyAlignment="1">
      <alignment horizontal="justify" vertical="center" wrapText="1"/>
    </xf>
    <xf numFmtId="0" fontId="42" fillId="0" borderId="38" xfId="228" quotePrefix="1" applyFont="1" applyBorder="1" applyAlignment="1">
      <alignment horizontal="justify" vertical="center" wrapText="1"/>
    </xf>
    <xf numFmtId="0" fontId="43" fillId="0" borderId="4" xfId="228" applyFont="1" applyBorder="1" applyAlignment="1">
      <alignment horizontal="justify"/>
    </xf>
    <xf numFmtId="0" fontId="43" fillId="0" borderId="0" xfId="228" applyFont="1" applyAlignment="1">
      <alignment horizontal="justify"/>
    </xf>
    <xf numFmtId="0" fontId="43" fillId="0" borderId="38" xfId="228" applyFont="1" applyBorder="1" applyAlignment="1">
      <alignment horizontal="justify"/>
    </xf>
    <xf numFmtId="0" fontId="113" fillId="0" borderId="4" xfId="228" quotePrefix="1" applyFont="1" applyBorder="1" applyAlignment="1">
      <alignment horizontal="justify" vertical="justify" wrapText="1"/>
    </xf>
    <xf numFmtId="0" fontId="113" fillId="0" borderId="0" xfId="228" quotePrefix="1" applyFont="1" applyAlignment="1">
      <alignment horizontal="justify" vertical="justify" wrapText="1"/>
    </xf>
    <xf numFmtId="0" fontId="113" fillId="0" borderId="38" xfId="228" quotePrefix="1" applyFont="1" applyBorder="1" applyAlignment="1">
      <alignment horizontal="justify" vertical="justify" wrapText="1"/>
    </xf>
    <xf numFmtId="0" fontId="42" fillId="0" borderId="4" xfId="228" quotePrefix="1" applyFont="1" applyBorder="1" applyAlignment="1">
      <alignment horizontal="left" vertical="center" wrapText="1"/>
    </xf>
    <xf numFmtId="0" fontId="42" fillId="0" borderId="0" xfId="228" quotePrefix="1" applyFont="1" applyAlignment="1">
      <alignment horizontal="left" vertical="center" wrapText="1"/>
    </xf>
    <xf numFmtId="0" fontId="42" fillId="0" borderId="38" xfId="228" quotePrefix="1" applyFont="1" applyBorder="1" applyAlignment="1">
      <alignment horizontal="left" vertical="center" wrapText="1"/>
    </xf>
    <xf numFmtId="0" fontId="123" fillId="0" borderId="4" xfId="228" quotePrefix="1" applyFont="1" applyBorder="1" applyAlignment="1">
      <alignment horizontal="left" vertical="center" wrapText="1"/>
    </xf>
    <xf numFmtId="0" fontId="123" fillId="0" borderId="0" xfId="228" quotePrefix="1" applyFont="1" applyAlignment="1">
      <alignment horizontal="left" vertical="center" wrapText="1"/>
    </xf>
    <xf numFmtId="0" fontId="123" fillId="0" borderId="38" xfId="228" quotePrefix="1" applyFont="1" applyBorder="1" applyAlignment="1">
      <alignment horizontal="left" vertical="center" wrapText="1"/>
    </xf>
    <xf numFmtId="0" fontId="42" fillId="30" borderId="4" xfId="228" quotePrefix="1" applyFont="1" applyFill="1" applyBorder="1" applyAlignment="1">
      <alignment horizontal="left" vertical="center" wrapText="1"/>
    </xf>
    <xf numFmtId="0" fontId="42" fillId="30" borderId="0" xfId="228" quotePrefix="1" applyFont="1" applyFill="1" applyAlignment="1">
      <alignment horizontal="left" vertical="center" wrapText="1"/>
    </xf>
    <xf numFmtId="0" fontId="42" fillId="30" borderId="38" xfId="228" quotePrefix="1" applyFont="1" applyFill="1" applyBorder="1" applyAlignment="1">
      <alignment horizontal="left" vertical="center" wrapText="1"/>
    </xf>
    <xf numFmtId="0" fontId="42" fillId="30" borderId="4" xfId="228" quotePrefix="1" applyFont="1" applyFill="1" applyBorder="1" applyAlignment="1">
      <alignment horizontal="justify" vertical="justify" wrapText="1"/>
    </xf>
    <xf numFmtId="0" fontId="42" fillId="30" borderId="0" xfId="228" quotePrefix="1" applyFont="1" applyFill="1" applyAlignment="1">
      <alignment horizontal="justify" vertical="justify" wrapText="1"/>
    </xf>
    <xf numFmtId="0" fontId="42" fillId="30" borderId="38" xfId="228" quotePrefix="1" applyFont="1" applyFill="1" applyBorder="1" applyAlignment="1">
      <alignment horizontal="justify" vertical="justify" wrapText="1"/>
    </xf>
    <xf numFmtId="0" fontId="42" fillId="30" borderId="4" xfId="228" quotePrefix="1" applyFont="1" applyFill="1" applyBorder="1" applyAlignment="1">
      <alignment horizontal="justify" wrapText="1"/>
    </xf>
    <xf numFmtId="0" fontId="42" fillId="30" borderId="0" xfId="228" quotePrefix="1" applyFont="1" applyFill="1" applyAlignment="1">
      <alignment horizontal="justify" wrapText="1"/>
    </xf>
    <xf numFmtId="0" fontId="42" fillId="30" borderId="38" xfId="228" quotePrefix="1" applyFont="1" applyFill="1" applyBorder="1" applyAlignment="1">
      <alignment horizontal="justify" wrapText="1"/>
    </xf>
    <xf numFmtId="0" fontId="42" fillId="36" borderId="4" xfId="228" quotePrefix="1" applyFont="1" applyFill="1" applyBorder="1" applyAlignment="1">
      <alignment horizontal="justify" wrapText="1"/>
    </xf>
    <xf numFmtId="0" fontId="42" fillId="36" borderId="0" xfId="228" quotePrefix="1" applyFont="1" applyFill="1" applyAlignment="1">
      <alignment horizontal="justify" wrapText="1"/>
    </xf>
    <xf numFmtId="0" fontId="42" fillId="36" borderId="38" xfId="228" quotePrefix="1" applyFont="1" applyFill="1" applyBorder="1" applyAlignment="1">
      <alignment horizontal="justify" wrapText="1"/>
    </xf>
    <xf numFmtId="0" fontId="43" fillId="0" borderId="36" xfId="228" applyFont="1" applyBorder="1" applyAlignment="1">
      <alignment horizontal="justify" vertical="justify"/>
    </xf>
    <xf numFmtId="0" fontId="42" fillId="0" borderId="63" xfId="228" applyFont="1" applyBorder="1" applyAlignment="1">
      <alignment horizontal="justify" vertical="justify" wrapText="1"/>
    </xf>
    <xf numFmtId="0" fontId="43" fillId="0" borderId="4" xfId="228" quotePrefix="1" applyFont="1" applyBorder="1" applyAlignment="1">
      <alignment horizontal="justify" vertical="justify" wrapText="1"/>
    </xf>
    <xf numFmtId="0" fontId="43" fillId="0" borderId="0" xfId="228" quotePrefix="1" applyFont="1" applyAlignment="1">
      <alignment horizontal="justify" vertical="justify" wrapText="1"/>
    </xf>
    <xf numFmtId="0" fontId="43" fillId="0" borderId="38" xfId="228" quotePrefix="1" applyFont="1" applyBorder="1" applyAlignment="1">
      <alignment horizontal="justify" vertical="justify" wrapText="1"/>
    </xf>
    <xf numFmtId="0" fontId="43" fillId="0" borderId="76" xfId="228" applyFont="1" applyBorder="1" applyAlignment="1">
      <alignment horizontal="justify" vertical="justify"/>
    </xf>
    <xf numFmtId="0" fontId="43" fillId="0" borderId="43" xfId="228" applyFont="1" applyBorder="1" applyAlignment="1">
      <alignment horizontal="justify" vertical="justify"/>
    </xf>
    <xf numFmtId="0" fontId="43" fillId="0" borderId="44" xfId="228" applyFont="1" applyBorder="1" applyAlignment="1">
      <alignment horizontal="justify" vertical="justify"/>
    </xf>
    <xf numFmtId="0" fontId="42" fillId="0" borderId="4" xfId="228" applyFont="1" applyBorder="1" applyAlignment="1">
      <alignment horizontal="justify" vertical="justify" wrapText="1"/>
    </xf>
    <xf numFmtId="0" fontId="42" fillId="0" borderId="71" xfId="228" quotePrefix="1" applyFont="1" applyBorder="1" applyAlignment="1">
      <alignment horizontal="justify" vertical="center" wrapText="1"/>
    </xf>
    <xf numFmtId="0" fontId="42" fillId="0" borderId="6" xfId="228" quotePrefix="1" applyFont="1" applyBorder="1" applyAlignment="1">
      <alignment horizontal="justify" vertical="center" wrapText="1"/>
    </xf>
    <xf numFmtId="0" fontId="42" fillId="0" borderId="65" xfId="228" quotePrefix="1" applyFont="1" applyBorder="1" applyAlignment="1">
      <alignment horizontal="justify" vertical="center" wrapText="1"/>
    </xf>
    <xf numFmtId="0" fontId="43" fillId="0" borderId="4" xfId="228" quotePrefix="1" applyFont="1" applyBorder="1" applyAlignment="1">
      <alignment horizontal="left" vertical="justify" wrapText="1"/>
    </xf>
    <xf numFmtId="0" fontId="43" fillId="0" borderId="0" xfId="228" quotePrefix="1" applyFont="1" applyAlignment="1">
      <alignment horizontal="left" vertical="justify" wrapText="1"/>
    </xf>
    <xf numFmtId="0" fontId="43" fillId="0" borderId="38" xfId="228" quotePrefix="1" applyFont="1" applyBorder="1" applyAlignment="1">
      <alignment horizontal="left" vertical="justify" wrapText="1"/>
    </xf>
    <xf numFmtId="0" fontId="43" fillId="0" borderId="4" xfId="228" quotePrefix="1" applyFont="1" applyBorder="1" applyAlignment="1">
      <alignment horizontal="center" vertical="justify" wrapText="1"/>
    </xf>
    <xf numFmtId="0" fontId="43" fillId="0" borderId="0" xfId="228" quotePrefix="1" applyFont="1" applyAlignment="1">
      <alignment horizontal="center" vertical="justify" wrapText="1"/>
    </xf>
    <xf numFmtId="0" fontId="43" fillId="0" borderId="38" xfId="228" quotePrefix="1" applyFont="1" applyBorder="1" applyAlignment="1">
      <alignment horizontal="center" vertical="justify" wrapText="1"/>
    </xf>
    <xf numFmtId="0" fontId="42" fillId="0" borderId="4" xfId="228" quotePrefix="1" applyFont="1" applyBorder="1" applyAlignment="1">
      <alignment horizontal="left" vertical="justify" wrapText="1"/>
    </xf>
    <xf numFmtId="0" fontId="42" fillId="0" borderId="0" xfId="228" quotePrefix="1" applyFont="1" applyAlignment="1">
      <alignment horizontal="left" vertical="justify" wrapText="1"/>
    </xf>
    <xf numFmtId="0" fontId="42" fillId="0" borderId="38" xfId="228" quotePrefix="1" applyFont="1" applyBorder="1" applyAlignment="1">
      <alignment horizontal="left" vertical="justify" wrapText="1"/>
    </xf>
    <xf numFmtId="0" fontId="43" fillId="0" borderId="0" xfId="228" quotePrefix="1" applyFont="1" applyAlignment="1">
      <alignment horizontal="center" vertical="top" wrapText="1"/>
    </xf>
    <xf numFmtId="0" fontId="113" fillId="0" borderId="0" xfId="228" quotePrefix="1" applyFont="1" applyAlignment="1">
      <alignment horizontal="center" vertical="top"/>
    </xf>
    <xf numFmtId="0" fontId="123" fillId="0" borderId="0" xfId="228" quotePrefix="1" applyFont="1" applyAlignment="1">
      <alignment horizontal="center" vertical="top"/>
    </xf>
    <xf numFmtId="0" fontId="43" fillId="0" borderId="66" xfId="228" applyFont="1" applyBorder="1" applyAlignment="1">
      <alignment horizontal="center" vertical="top"/>
    </xf>
    <xf numFmtId="0" fontId="43" fillId="0" borderId="61" xfId="228" applyFont="1" applyBorder="1" applyAlignment="1">
      <alignment horizontal="center" vertical="top"/>
    </xf>
    <xf numFmtId="0" fontId="43" fillId="0" borderId="76" xfId="228" quotePrefix="1" applyFont="1" applyBorder="1" applyAlignment="1">
      <alignment horizontal="center" vertical="top" wrapText="1"/>
    </xf>
    <xf numFmtId="0" fontId="43" fillId="0" borderId="43" xfId="228" quotePrefix="1" applyFont="1" applyBorder="1" applyAlignment="1">
      <alignment horizontal="center" vertical="top" wrapText="1"/>
    </xf>
    <xf numFmtId="0" fontId="43" fillId="0" borderId="44" xfId="228" quotePrefix="1" applyFont="1" applyBorder="1" applyAlignment="1">
      <alignment horizontal="center" vertical="top" wrapText="1"/>
    </xf>
    <xf numFmtId="0" fontId="43" fillId="0" borderId="34" xfId="228" quotePrefix="1" applyFont="1" applyBorder="1" applyAlignment="1">
      <alignment horizontal="center" vertical="top" wrapText="1"/>
    </xf>
    <xf numFmtId="0" fontId="43" fillId="0" borderId="31" xfId="228" quotePrefix="1" applyFont="1" applyBorder="1" applyAlignment="1">
      <alignment horizontal="center" vertical="top" wrapText="1"/>
    </xf>
    <xf numFmtId="0" fontId="43" fillId="0" borderId="62" xfId="228" quotePrefix="1" applyFont="1" applyBorder="1" applyAlignment="1">
      <alignment horizontal="center" vertical="top" wrapText="1"/>
    </xf>
    <xf numFmtId="0" fontId="43" fillId="0" borderId="1" xfId="228" quotePrefix="1" applyFont="1" applyBorder="1" applyAlignment="1">
      <alignment horizontal="center" vertical="top"/>
    </xf>
    <xf numFmtId="0" fontId="43" fillId="0" borderId="35" xfId="228" quotePrefix="1" applyFont="1" applyBorder="1" applyAlignment="1">
      <alignment horizontal="center" vertical="top"/>
    </xf>
    <xf numFmtId="0" fontId="43" fillId="0" borderId="77" xfId="228" quotePrefix="1" applyFont="1" applyBorder="1" applyAlignment="1">
      <alignment horizontal="center" vertical="top"/>
    </xf>
    <xf numFmtId="0" fontId="42" fillId="0" borderId="4" xfId="228" quotePrefix="1" applyFont="1" applyBorder="1" applyAlignment="1">
      <alignment vertical="center" wrapText="1"/>
    </xf>
    <xf numFmtId="0" fontId="42" fillId="0" borderId="0" xfId="228" quotePrefix="1" applyFont="1" applyAlignment="1">
      <alignment vertical="center" wrapText="1"/>
    </xf>
    <xf numFmtId="0" fontId="42" fillId="0" borderId="38" xfId="228" quotePrefix="1" applyFont="1" applyBorder="1" applyAlignment="1">
      <alignment vertical="center" wrapText="1"/>
    </xf>
    <xf numFmtId="0" fontId="43" fillId="0" borderId="42" xfId="0" applyFont="1" applyBorder="1" applyAlignment="1">
      <alignment horizontal="center" vertical="top"/>
    </xf>
    <xf numFmtId="0" fontId="43" fillId="0" borderId="45" xfId="0" applyFont="1" applyBorder="1" applyAlignment="1">
      <alignment horizontal="center" vertical="top"/>
    </xf>
    <xf numFmtId="169" fontId="43" fillId="0" borderId="69" xfId="138" applyNumberFormat="1" applyFont="1" applyFill="1" applyBorder="1" applyAlignment="1">
      <alignment horizontal="center" vertical="top" wrapText="1"/>
    </xf>
    <xf numFmtId="169" fontId="43" fillId="0" borderId="85" xfId="138" applyNumberFormat="1" applyFont="1" applyFill="1" applyBorder="1" applyAlignment="1">
      <alignment horizontal="center" vertical="top" wrapText="1"/>
    </xf>
    <xf numFmtId="0" fontId="43" fillId="0" borderId="87" xfId="0" applyFont="1" applyBorder="1" applyAlignment="1">
      <alignment horizontal="center" vertical="center"/>
    </xf>
    <xf numFmtId="0" fontId="43" fillId="0" borderId="22" xfId="0" applyFont="1" applyBorder="1" applyAlignment="1">
      <alignment horizontal="center" vertical="center"/>
    </xf>
    <xf numFmtId="0" fontId="43" fillId="0" borderId="1" xfId="0" applyFont="1" applyBorder="1" applyAlignment="1">
      <alignment horizontal="center" vertical="top" wrapText="1"/>
    </xf>
    <xf numFmtId="0" fontId="43" fillId="0" borderId="22" xfId="0" applyFont="1" applyBorder="1" applyAlignment="1">
      <alignment horizontal="center" vertical="top" wrapText="1"/>
    </xf>
    <xf numFmtId="0" fontId="43" fillId="0" borderId="77" xfId="0" applyFont="1" applyBorder="1" applyAlignment="1">
      <alignment horizontal="center" vertical="top" wrapText="1"/>
    </xf>
    <xf numFmtId="169" fontId="43" fillId="0" borderId="79" xfId="138" applyNumberFormat="1" applyFont="1" applyFill="1" applyBorder="1" applyAlignment="1">
      <alignment horizontal="center" vertical="top" wrapText="1"/>
    </xf>
    <xf numFmtId="0" fontId="42" fillId="0" borderId="32" xfId="0" applyFont="1" applyBorder="1" applyAlignment="1">
      <alignment horizontal="left" vertical="top" wrapText="1"/>
    </xf>
    <xf numFmtId="0" fontId="42" fillId="0" borderId="19" xfId="0" applyFont="1" applyBorder="1" applyAlignment="1">
      <alignment horizontal="left" vertical="top" wrapText="1"/>
    </xf>
    <xf numFmtId="0" fontId="43" fillId="0" borderId="40" xfId="0" applyFont="1" applyBorder="1" applyAlignment="1">
      <alignment horizontal="left" vertical="top" wrapText="1"/>
    </xf>
    <xf numFmtId="0" fontId="43" fillId="0" borderId="41" xfId="0" applyFont="1" applyBorder="1" applyAlignment="1">
      <alignment horizontal="left" vertical="top" wrapText="1"/>
    </xf>
    <xf numFmtId="0" fontId="42" fillId="0" borderId="32" xfId="0" applyFont="1" applyBorder="1" applyAlignment="1">
      <alignment horizontal="left" vertical="top"/>
    </xf>
    <xf numFmtId="0" fontId="42" fillId="0" borderId="19" xfId="0" applyFont="1" applyBorder="1" applyAlignment="1">
      <alignment horizontal="left" vertical="top"/>
    </xf>
    <xf numFmtId="0" fontId="43" fillId="0" borderId="42" xfId="228" applyFont="1" applyBorder="1" applyAlignment="1">
      <alignment horizontal="center" vertical="top"/>
    </xf>
    <xf numFmtId="0" fontId="43" fillId="0" borderId="43" xfId="228" applyFont="1" applyBorder="1" applyAlignment="1">
      <alignment horizontal="center" vertical="top"/>
    </xf>
    <xf numFmtId="0" fontId="43" fillId="0" borderId="44" xfId="228" applyFont="1" applyBorder="1" applyAlignment="1">
      <alignment horizontal="center" vertical="top"/>
    </xf>
    <xf numFmtId="0" fontId="42" fillId="0" borderId="32" xfId="228" applyFont="1" applyBorder="1" applyAlignment="1">
      <alignment horizontal="center" vertical="top"/>
    </xf>
    <xf numFmtId="0" fontId="42" fillId="0" borderId="0" xfId="228" applyFont="1" applyAlignment="1">
      <alignment horizontal="center" vertical="top"/>
    </xf>
    <xf numFmtId="0" fontId="42" fillId="0" borderId="38" xfId="228" applyFont="1" applyBorder="1" applyAlignment="1">
      <alignment horizontal="center" vertical="top"/>
    </xf>
    <xf numFmtId="0" fontId="113" fillId="0" borderId="32" xfId="0" applyFont="1" applyBorder="1" applyAlignment="1">
      <alignment horizontal="center" vertical="top"/>
    </xf>
    <xf numFmtId="0" fontId="113" fillId="0" borderId="0" xfId="0" applyFont="1" applyAlignment="1">
      <alignment horizontal="center" vertical="top"/>
    </xf>
    <xf numFmtId="0" fontId="113" fillId="0" borderId="38" xfId="0" applyFont="1" applyBorder="1" applyAlignment="1">
      <alignment horizontal="center" vertical="top"/>
    </xf>
    <xf numFmtId="0" fontId="123" fillId="0" borderId="32" xfId="0" applyFont="1" applyBorder="1" applyAlignment="1">
      <alignment horizontal="center" vertical="top"/>
    </xf>
    <xf numFmtId="0" fontId="123" fillId="0" borderId="0" xfId="0" applyFont="1" applyAlignment="1">
      <alignment horizontal="center" vertical="top"/>
    </xf>
    <xf numFmtId="0" fontId="123" fillId="0" borderId="38" xfId="0" applyFont="1" applyBorder="1" applyAlignment="1">
      <alignment horizontal="center" vertical="top"/>
    </xf>
    <xf numFmtId="0" fontId="43" fillId="0" borderId="0" xfId="0" applyFont="1" applyAlignment="1">
      <alignment horizontal="right" vertical="top"/>
    </xf>
    <xf numFmtId="0" fontId="43" fillId="0" borderId="38" xfId="0" applyFont="1" applyBorder="1" applyAlignment="1">
      <alignment horizontal="right" vertical="top"/>
    </xf>
    <xf numFmtId="0" fontId="43" fillId="0" borderId="32" xfId="228" applyFont="1" applyBorder="1" applyAlignment="1">
      <alignment horizontal="center" vertical="top" wrapText="1"/>
    </xf>
    <xf numFmtId="0" fontId="43" fillId="0" borderId="0" xfId="228" applyFont="1" applyAlignment="1">
      <alignment horizontal="center" vertical="top" wrapText="1"/>
    </xf>
    <xf numFmtId="0" fontId="43" fillId="0" borderId="38" xfId="228" applyFont="1" applyBorder="1" applyAlignment="1">
      <alignment horizontal="center" vertical="top" wrapText="1"/>
    </xf>
    <xf numFmtId="49" fontId="43" fillId="0" borderId="0" xfId="228" applyNumberFormat="1" applyFont="1" applyAlignment="1">
      <alignment horizontal="center" vertical="top" wrapText="1"/>
    </xf>
    <xf numFmtId="0" fontId="43" fillId="0" borderId="32" xfId="0" applyFont="1" applyBorder="1" applyAlignment="1">
      <alignment horizontal="left" vertical="top" wrapText="1"/>
    </xf>
    <xf numFmtId="0" fontId="43" fillId="0" borderId="19" xfId="0" applyFont="1" applyBorder="1" applyAlignment="1">
      <alignment horizontal="left" vertical="top" wrapText="1"/>
    </xf>
    <xf numFmtId="178" fontId="42" fillId="0" borderId="0" xfId="0" applyNumberFormat="1" applyFont="1" applyAlignment="1">
      <alignment horizontal="left" vertical="top"/>
    </xf>
    <xf numFmtId="0" fontId="42" fillId="0" borderId="0" xfId="0" applyFont="1" applyAlignment="1">
      <alignment horizontal="left" vertical="top"/>
    </xf>
    <xf numFmtId="0" fontId="42" fillId="0" borderId="38" xfId="0" applyFont="1" applyBorder="1" applyAlignment="1">
      <alignment horizontal="left" vertical="top"/>
    </xf>
    <xf numFmtId="0" fontId="42" fillId="0" borderId="118" xfId="0" applyFont="1" applyBorder="1" applyAlignment="1">
      <alignment horizontal="left" vertical="top"/>
    </xf>
    <xf numFmtId="0" fontId="42" fillId="0" borderId="65" xfId="0" applyFont="1" applyBorder="1" applyAlignment="1">
      <alignment horizontal="left" vertical="top"/>
    </xf>
    <xf numFmtId="0" fontId="42" fillId="0" borderId="32" xfId="0" applyFont="1" applyBorder="1" applyAlignment="1">
      <alignment horizontal="left" vertical="top" wrapText="1" indent="2"/>
    </xf>
    <xf numFmtId="0" fontId="42" fillId="0" borderId="19" xfId="0" applyFont="1" applyBorder="1" applyAlignment="1">
      <alignment horizontal="left" vertical="top" wrapText="1" indent="2"/>
    </xf>
    <xf numFmtId="0" fontId="43" fillId="0" borderId="118" xfId="0" applyFont="1" applyBorder="1" applyAlignment="1">
      <alignment horizontal="left" vertical="top" wrapText="1"/>
    </xf>
    <xf numFmtId="0" fontId="43" fillId="0" borderId="65" xfId="0" applyFont="1" applyBorder="1" applyAlignment="1">
      <alignment horizontal="left" vertical="top" wrapText="1"/>
    </xf>
    <xf numFmtId="177" fontId="43" fillId="0" borderId="0" xfId="0" applyNumberFormat="1" applyFont="1" applyAlignment="1">
      <alignment horizontal="left" vertical="top"/>
    </xf>
    <xf numFmtId="167" fontId="42" fillId="36" borderId="0" xfId="138" applyFont="1" applyFill="1" applyBorder="1" applyAlignment="1">
      <alignment horizontal="right"/>
    </xf>
    <xf numFmtId="167" fontId="42" fillId="36" borderId="38" xfId="138" applyFont="1" applyFill="1" applyBorder="1" applyAlignment="1">
      <alignment horizontal="right"/>
    </xf>
    <xf numFmtId="0" fontId="43" fillId="36" borderId="42" xfId="0" applyFont="1" applyFill="1" applyBorder="1" applyAlignment="1">
      <alignment horizontal="center" vertical="center" wrapText="1"/>
    </xf>
    <xf numFmtId="0" fontId="43" fillId="36" borderId="43" xfId="0" applyFont="1" applyFill="1" applyBorder="1" applyAlignment="1">
      <alignment horizontal="center" vertical="center" wrapText="1"/>
    </xf>
    <xf numFmtId="0" fontId="43" fillId="36" borderId="44" xfId="0" applyFont="1" applyFill="1" applyBorder="1" applyAlignment="1">
      <alignment horizontal="center" vertical="center" wrapText="1"/>
    </xf>
    <xf numFmtId="169" fontId="36" fillId="36" borderId="33" xfId="138" applyNumberFormat="1" applyFont="1" applyFill="1" applyBorder="1" applyAlignment="1">
      <alignment horizontal="center" vertical="center"/>
    </xf>
    <xf numFmtId="169" fontId="36" fillId="36" borderId="18" xfId="138" applyNumberFormat="1" applyFont="1" applyFill="1" applyBorder="1" applyAlignment="1">
      <alignment horizontal="center" vertical="center"/>
    </xf>
    <xf numFmtId="169" fontId="36" fillId="36" borderId="6" xfId="138" applyNumberFormat="1" applyFont="1" applyFill="1" applyBorder="1" applyAlignment="1">
      <alignment horizontal="center" vertical="center"/>
    </xf>
    <xf numFmtId="169" fontId="36" fillId="36" borderId="41" xfId="138" applyNumberFormat="1" applyFont="1" applyFill="1" applyBorder="1" applyAlignment="1">
      <alignment horizontal="center" vertical="center"/>
    </xf>
    <xf numFmtId="0" fontId="43" fillId="36" borderId="37" xfId="0" applyFont="1" applyFill="1" applyBorder="1" applyAlignment="1">
      <alignment horizontal="center" vertical="center"/>
    </xf>
    <xf numFmtId="0" fontId="43" fillId="36" borderId="29" xfId="0" applyFont="1" applyFill="1" applyBorder="1" applyAlignment="1">
      <alignment horizontal="center" vertical="center"/>
    </xf>
    <xf numFmtId="169" fontId="43" fillId="36" borderId="53" xfId="138" applyNumberFormat="1" applyFont="1" applyFill="1" applyBorder="1" applyAlignment="1">
      <alignment horizontal="center" vertical="center"/>
    </xf>
    <xf numFmtId="169" fontId="43" fillId="36" borderId="60" xfId="138" applyNumberFormat="1" applyFont="1" applyFill="1" applyBorder="1" applyAlignment="1">
      <alignment horizontal="center" vertical="center"/>
    </xf>
    <xf numFmtId="169" fontId="43" fillId="36" borderId="71" xfId="138" applyNumberFormat="1" applyFont="1" applyFill="1" applyBorder="1" applyAlignment="1">
      <alignment horizontal="center" vertical="center"/>
    </xf>
    <xf numFmtId="169" fontId="43" fillId="36" borderId="65" xfId="138" applyNumberFormat="1" applyFont="1" applyFill="1" applyBorder="1" applyAlignment="1">
      <alignment horizontal="center" vertical="center"/>
    </xf>
    <xf numFmtId="169" fontId="43" fillId="36" borderId="33" xfId="138" applyNumberFormat="1" applyFont="1" applyFill="1" applyBorder="1" applyAlignment="1">
      <alignment horizontal="center" vertical="center"/>
    </xf>
    <xf numFmtId="169" fontId="43" fillId="36" borderId="18" xfId="138" applyNumberFormat="1" applyFont="1" applyFill="1" applyBorder="1" applyAlignment="1">
      <alignment horizontal="center" vertical="center"/>
    </xf>
    <xf numFmtId="3" fontId="42" fillId="36" borderId="118" xfId="138" applyNumberFormat="1" applyFont="1" applyFill="1" applyBorder="1" applyAlignment="1">
      <alignment horizontal="center"/>
    </xf>
    <xf numFmtId="3" fontId="42" fillId="36" borderId="41" xfId="138" applyNumberFormat="1" applyFont="1" applyFill="1" applyBorder="1" applyAlignment="1">
      <alignment horizontal="center"/>
    </xf>
    <xf numFmtId="49" fontId="151" fillId="36" borderId="32" xfId="0" applyNumberFormat="1" applyFont="1" applyFill="1" applyBorder="1" applyAlignment="1">
      <alignment horizontal="center" vertical="top"/>
    </xf>
    <xf numFmtId="49" fontId="151" fillId="36" borderId="0" xfId="0" applyNumberFormat="1" applyFont="1" applyFill="1" applyAlignment="1">
      <alignment horizontal="center" vertical="top"/>
    </xf>
    <xf numFmtId="49" fontId="151" fillId="36" borderId="38" xfId="0" applyNumberFormat="1" applyFont="1" applyFill="1" applyBorder="1" applyAlignment="1">
      <alignment horizontal="center" vertical="top"/>
    </xf>
    <xf numFmtId="0" fontId="43" fillId="36" borderId="0" xfId="0" applyFont="1" applyFill="1" applyAlignment="1">
      <alignment horizontal="right"/>
    </xf>
    <xf numFmtId="0" fontId="43" fillId="36" borderId="38" xfId="0" applyFont="1" applyFill="1" applyBorder="1" applyAlignment="1">
      <alignment horizontal="right"/>
    </xf>
    <xf numFmtId="0" fontId="42" fillId="36" borderId="0" xfId="0" applyFont="1" applyFill="1" applyAlignment="1">
      <alignment horizontal="right" vertical="center"/>
    </xf>
    <xf numFmtId="0" fontId="42" fillId="36" borderId="38" xfId="0" applyFont="1" applyFill="1" applyBorder="1" applyAlignment="1">
      <alignment horizontal="right" vertical="center"/>
    </xf>
    <xf numFmtId="0" fontId="42" fillId="36" borderId="36" xfId="0" applyFont="1" applyFill="1" applyBorder="1" applyAlignment="1">
      <alignment horizontal="center"/>
    </xf>
    <xf numFmtId="0" fontId="42" fillId="36" borderId="31" xfId="0" applyFont="1" applyFill="1" applyBorder="1" applyAlignment="1">
      <alignment horizontal="center"/>
    </xf>
    <xf numFmtId="0" fontId="42" fillId="36" borderId="62" xfId="0" applyFont="1" applyFill="1" applyBorder="1" applyAlignment="1">
      <alignment horizontal="center"/>
    </xf>
    <xf numFmtId="0" fontId="43" fillId="36" borderId="73" xfId="0" applyFont="1" applyFill="1" applyBorder="1" applyAlignment="1">
      <alignment horizontal="center" vertical="center"/>
    </xf>
    <xf numFmtId="0" fontId="43" fillId="36" borderId="40" xfId="0" applyFont="1" applyFill="1" applyBorder="1" applyAlignment="1">
      <alignment horizontal="center" vertical="center"/>
    </xf>
    <xf numFmtId="0" fontId="43" fillId="36" borderId="40" xfId="0" applyFont="1" applyFill="1" applyBorder="1" applyAlignment="1">
      <alignment horizontal="center"/>
    </xf>
    <xf numFmtId="0" fontId="43" fillId="36" borderId="118" xfId="0" applyFont="1" applyFill="1" applyBorder="1" applyAlignment="1">
      <alignment horizontal="center"/>
    </xf>
    <xf numFmtId="0" fontId="43" fillId="36" borderId="65" xfId="0" applyFont="1" applyFill="1" applyBorder="1" applyAlignment="1">
      <alignment horizontal="center"/>
    </xf>
    <xf numFmtId="0" fontId="43" fillId="0" borderId="42" xfId="228" quotePrefix="1" applyFont="1" applyBorder="1" applyAlignment="1">
      <alignment horizontal="center" vertical="top" wrapText="1"/>
    </xf>
    <xf numFmtId="0" fontId="113" fillId="0" borderId="32" xfId="228" quotePrefix="1" applyFont="1" applyBorder="1" applyAlignment="1">
      <alignment horizontal="center" vertical="top"/>
    </xf>
    <xf numFmtId="0" fontId="113" fillId="0" borderId="38" xfId="228" quotePrefix="1" applyFont="1" applyBorder="1" applyAlignment="1">
      <alignment horizontal="center" vertical="top"/>
    </xf>
    <xf numFmtId="0" fontId="123" fillId="0" borderId="32" xfId="228" quotePrefix="1" applyFont="1" applyBorder="1" applyAlignment="1">
      <alignment horizontal="center" vertical="top"/>
    </xf>
    <xf numFmtId="0" fontId="123" fillId="0" borderId="38" xfId="228" quotePrefix="1" applyFont="1" applyBorder="1" applyAlignment="1">
      <alignment horizontal="center" vertical="top"/>
    </xf>
    <xf numFmtId="0" fontId="43" fillId="0" borderId="71" xfId="228" quotePrefix="1" applyFont="1" applyBorder="1" applyAlignment="1">
      <alignment horizontal="center" vertical="top" wrapText="1"/>
    </xf>
    <xf numFmtId="0" fontId="43" fillId="0" borderId="118" xfId="228" quotePrefix="1" applyFont="1" applyBorder="1" applyAlignment="1">
      <alignment horizontal="center" vertical="top" wrapText="1"/>
    </xf>
    <xf numFmtId="0" fontId="43" fillId="0" borderId="65" xfId="228" quotePrefix="1" applyFont="1" applyBorder="1" applyAlignment="1">
      <alignment horizontal="center" vertical="top" wrapText="1"/>
    </xf>
    <xf numFmtId="0" fontId="43" fillId="0" borderId="110" xfId="228" quotePrefix="1" applyFont="1" applyBorder="1" applyAlignment="1">
      <alignment horizontal="center" vertical="top"/>
    </xf>
    <xf numFmtId="0" fontId="43" fillId="0" borderId="5" xfId="228" quotePrefix="1" applyFont="1" applyBorder="1" applyAlignment="1">
      <alignment horizontal="center" vertical="top"/>
    </xf>
    <xf numFmtId="0" fontId="43" fillId="0" borderId="78" xfId="228" quotePrefix="1" applyFont="1" applyBorder="1" applyAlignment="1">
      <alignment horizontal="center" vertical="top"/>
    </xf>
    <xf numFmtId="0" fontId="42" fillId="0" borderId="71" xfId="228" quotePrefix="1" applyFont="1" applyBorder="1" applyAlignment="1">
      <alignment horizontal="left" vertical="justify" wrapText="1"/>
    </xf>
    <xf numFmtId="0" fontId="42" fillId="0" borderId="118" xfId="228" quotePrefix="1" applyFont="1" applyBorder="1" applyAlignment="1">
      <alignment horizontal="left" vertical="justify" wrapText="1"/>
    </xf>
    <xf numFmtId="0" fontId="42" fillId="0" borderId="65" xfId="228" quotePrefix="1" applyFont="1" applyBorder="1" applyAlignment="1">
      <alignment horizontal="left" vertical="justify" wrapText="1"/>
    </xf>
    <xf numFmtId="0" fontId="74" fillId="0" borderId="0" xfId="0" applyFont="1"/>
    <xf numFmtId="0" fontId="74" fillId="0" borderId="38" xfId="0" applyFont="1" applyBorder="1"/>
    <xf numFmtId="49" fontId="58" fillId="0" borderId="31" xfId="0" applyNumberFormat="1" applyFont="1" applyBorder="1" applyAlignment="1">
      <alignment horizontal="center" vertical="top" wrapText="1"/>
    </xf>
    <xf numFmtId="49" fontId="57" fillId="0" borderId="33" xfId="0" applyNumberFormat="1" applyFont="1" applyBorder="1" applyAlignment="1">
      <alignment horizontal="center" vertical="top" wrapText="1"/>
    </xf>
    <xf numFmtId="49" fontId="58" fillId="0" borderId="20" xfId="0" applyNumberFormat="1" applyFont="1" applyBorder="1" applyAlignment="1">
      <alignment horizontal="center" vertical="top" wrapText="1"/>
    </xf>
    <xf numFmtId="49" fontId="57" fillId="0" borderId="18" xfId="0" applyNumberFormat="1" applyFont="1" applyBorder="1" applyAlignment="1">
      <alignment horizontal="center" vertical="top" wrapText="1"/>
    </xf>
    <xf numFmtId="49" fontId="57" fillId="0" borderId="53" xfId="0" applyNumberFormat="1" applyFont="1" applyBorder="1" applyAlignment="1">
      <alignment horizontal="center" vertical="top" wrapText="1"/>
    </xf>
    <xf numFmtId="0" fontId="85" fillId="0" borderId="0" xfId="0" applyFont="1" applyAlignment="1">
      <alignment horizontal="center"/>
    </xf>
    <xf numFmtId="0" fontId="148" fillId="0" borderId="42" xfId="0" applyFont="1" applyBorder="1" applyAlignment="1">
      <alignment horizontal="center" wrapText="1"/>
    </xf>
    <xf numFmtId="0" fontId="148" fillId="0" borderId="43" xfId="0" applyFont="1" applyBorder="1" applyAlignment="1">
      <alignment horizontal="center" wrapText="1"/>
    </xf>
    <xf numFmtId="0" fontId="148" fillId="0" borderId="44" xfId="0" applyFont="1" applyBorder="1" applyAlignment="1">
      <alignment horizontal="center" wrapText="1"/>
    </xf>
    <xf numFmtId="0" fontId="148" fillId="0" borderId="40" xfId="0" applyFont="1" applyBorder="1" applyAlignment="1">
      <alignment horizontal="center"/>
    </xf>
    <xf numFmtId="0" fontId="148" fillId="0" borderId="118" xfId="0" applyFont="1" applyBorder="1" applyAlignment="1">
      <alignment horizontal="center"/>
    </xf>
    <xf numFmtId="0" fontId="148" fillId="0" borderId="65" xfId="0" applyFont="1" applyBorder="1" applyAlignment="1">
      <alignment horizontal="center"/>
    </xf>
    <xf numFmtId="0" fontId="74" fillId="0" borderId="36" xfId="0" applyFont="1" applyBorder="1" applyAlignment="1">
      <alignment horizontal="center"/>
    </xf>
    <xf numFmtId="0" fontId="74" fillId="0" borderId="31" xfId="0" applyFont="1" applyBorder="1" applyAlignment="1">
      <alignment horizontal="center"/>
    </xf>
    <xf numFmtId="0" fontId="74" fillId="0" borderId="62" xfId="0" applyFont="1" applyBorder="1" applyAlignment="1">
      <alignment horizontal="center"/>
    </xf>
    <xf numFmtId="49" fontId="148" fillId="0" borderId="32" xfId="0" applyNumberFormat="1" applyFont="1" applyBorder="1" applyAlignment="1">
      <alignment horizontal="center" wrapText="1"/>
    </xf>
    <xf numFmtId="49" fontId="148" fillId="0" borderId="0" xfId="0" applyNumberFormat="1" applyFont="1" applyAlignment="1">
      <alignment horizontal="center" wrapText="1"/>
    </xf>
    <xf numFmtId="49" fontId="148" fillId="0" borderId="38" xfId="0" applyNumberFormat="1" applyFont="1" applyBorder="1" applyAlignment="1">
      <alignment horizontal="center" wrapText="1"/>
    </xf>
    <xf numFmtId="169" fontId="148" fillId="0" borderId="37" xfId="138" applyNumberFormat="1" applyFont="1" applyFill="1" applyBorder="1" applyAlignment="1">
      <alignment horizontal="center" vertical="center" wrapText="1"/>
    </xf>
    <xf numFmtId="169" fontId="148" fillId="0" borderId="29" xfId="138" applyNumberFormat="1" applyFont="1" applyFill="1" applyBorder="1" applyAlignment="1">
      <alignment horizontal="center" vertical="center" wrapText="1"/>
    </xf>
    <xf numFmtId="169" fontId="148" fillId="0" borderId="50" xfId="138" applyNumberFormat="1" applyFont="1" applyFill="1" applyBorder="1" applyAlignment="1">
      <alignment horizontal="center" vertical="center" wrapText="1"/>
    </xf>
    <xf numFmtId="169" fontId="148" fillId="0" borderId="51" xfId="138" applyNumberFormat="1" applyFont="1" applyFill="1" applyBorder="1" applyAlignment="1">
      <alignment horizontal="center" vertical="center" wrapText="1"/>
    </xf>
    <xf numFmtId="1" fontId="94" fillId="0" borderId="0" xfId="143" applyNumberFormat="1" applyFont="1" applyFill="1" applyBorder="1" applyAlignment="1">
      <alignment horizontal="left" vertical="center" wrapText="1"/>
    </xf>
    <xf numFmtId="168" fontId="110" fillId="0" borderId="46" xfId="143" applyFont="1" applyFill="1" applyBorder="1" applyAlignment="1">
      <alignment horizontal="center" vertical="center" wrapText="1"/>
    </xf>
    <xf numFmtId="168" fontId="110" fillId="0" borderId="88" xfId="143" applyFont="1" applyFill="1" applyBorder="1" applyAlignment="1">
      <alignment horizontal="center" vertical="center" wrapText="1"/>
    </xf>
    <xf numFmtId="168" fontId="110" fillId="0" borderId="29" xfId="143" applyFont="1" applyFill="1" applyBorder="1" applyAlignment="1">
      <alignment horizontal="center" vertical="center" wrapText="1"/>
    </xf>
    <xf numFmtId="1" fontId="109" fillId="0" borderId="119" xfId="0" applyNumberFormat="1" applyFont="1" applyBorder="1" applyAlignment="1">
      <alignment horizontal="center" wrapText="1"/>
    </xf>
    <xf numFmtId="1" fontId="109" fillId="0" borderId="120" xfId="0" applyNumberFormat="1" applyFont="1" applyBorder="1" applyAlignment="1">
      <alignment horizontal="center" wrapText="1"/>
    </xf>
    <xf numFmtId="1" fontId="109" fillId="0" borderId="121" xfId="0" applyNumberFormat="1" applyFont="1" applyBorder="1" applyAlignment="1">
      <alignment horizontal="center" wrapText="1"/>
    </xf>
    <xf numFmtId="1" fontId="110" fillId="0" borderId="122" xfId="0" applyNumberFormat="1" applyFont="1" applyBorder="1" applyAlignment="1">
      <alignment horizontal="center"/>
    </xf>
    <xf numFmtId="1" fontId="110" fillId="0" borderId="0" xfId="0" applyNumberFormat="1" applyFont="1" applyAlignment="1">
      <alignment horizontal="center"/>
    </xf>
    <xf numFmtId="1" fontId="110" fillId="0" borderId="123" xfId="0" applyNumberFormat="1" applyFont="1" applyBorder="1" applyAlignment="1">
      <alignment horizontal="center"/>
    </xf>
    <xf numFmtId="168" fontId="110" fillId="0" borderId="37" xfId="143" applyFont="1" applyFill="1" applyBorder="1" applyAlignment="1">
      <alignment horizontal="center" vertical="center" wrapText="1"/>
    </xf>
    <xf numFmtId="168" fontId="110" fillId="0" borderId="69" xfId="143" applyFont="1" applyFill="1" applyBorder="1" applyAlignment="1">
      <alignment horizontal="center" vertical="center"/>
    </xf>
    <xf numFmtId="168" fontId="110" fillId="0" borderId="82" xfId="143" applyFont="1" applyFill="1" applyBorder="1" applyAlignment="1">
      <alignment horizontal="center" vertical="center"/>
    </xf>
    <xf numFmtId="168" fontId="110" fillId="0" borderId="85" xfId="143" applyFont="1" applyFill="1" applyBorder="1" applyAlignment="1">
      <alignment horizontal="center" vertical="center"/>
    </xf>
    <xf numFmtId="10" fontId="110" fillId="0" borderId="132" xfId="143" applyNumberFormat="1" applyFont="1" applyFill="1" applyBorder="1" applyAlignment="1">
      <alignment horizontal="center" vertical="center"/>
    </xf>
    <xf numFmtId="10" fontId="110" fillId="0" borderId="137" xfId="143" applyNumberFormat="1" applyFont="1" applyFill="1" applyBorder="1" applyAlignment="1">
      <alignment horizontal="center" vertical="center"/>
    </xf>
    <xf numFmtId="0" fontId="110" fillId="0" borderId="76" xfId="0" applyFont="1" applyBorder="1" applyAlignment="1">
      <alignment horizontal="center" vertical="center"/>
    </xf>
    <xf numFmtId="0" fontId="110" fillId="0" borderId="45" xfId="0" applyFont="1" applyBorder="1" applyAlignment="1">
      <alignment horizontal="center" vertical="center"/>
    </xf>
    <xf numFmtId="0" fontId="110" fillId="0" borderId="34" xfId="0" applyFont="1" applyBorder="1" applyAlignment="1">
      <alignment horizontal="center" vertical="center"/>
    </xf>
    <xf numFmtId="0" fontId="110" fillId="0" borderId="20" xfId="0" applyFont="1" applyBorder="1" applyAlignment="1">
      <alignment horizontal="center" vertical="center"/>
    </xf>
    <xf numFmtId="1" fontId="110" fillId="0" borderId="124" xfId="143" applyNumberFormat="1" applyFont="1" applyFill="1" applyBorder="1" applyAlignment="1">
      <alignment horizontal="center" vertical="center" wrapText="1"/>
    </xf>
    <xf numFmtId="1" fontId="110" fillId="0" borderId="136" xfId="143" applyNumberFormat="1" applyFont="1" applyFill="1" applyBorder="1" applyAlignment="1">
      <alignment horizontal="center" vertical="center" wrapText="1"/>
    </xf>
    <xf numFmtId="1" fontId="110" fillId="0" borderId="126" xfId="143" applyNumberFormat="1" applyFont="1" applyFill="1" applyBorder="1" applyAlignment="1">
      <alignment horizontal="center" vertical="center" wrapText="1"/>
    </xf>
    <xf numFmtId="168" fontId="110" fillId="0" borderId="46" xfId="143" applyFont="1" applyFill="1" applyBorder="1" applyAlignment="1">
      <alignment horizontal="center" vertical="center"/>
    </xf>
    <xf numFmtId="168" fontId="110" fillId="0" borderId="88" xfId="143" applyFont="1" applyFill="1" applyBorder="1" applyAlignment="1">
      <alignment horizontal="center" vertical="center"/>
    </xf>
    <xf numFmtId="168" fontId="110" fillId="0" borderId="29" xfId="143" applyFont="1" applyFill="1" applyBorder="1" applyAlignment="1">
      <alignment horizontal="center" vertical="center"/>
    </xf>
    <xf numFmtId="1" fontId="109" fillId="0" borderId="0" xfId="0" applyNumberFormat="1" applyFont="1" applyAlignment="1">
      <alignment horizontal="center" wrapText="1"/>
    </xf>
    <xf numFmtId="0" fontId="110" fillId="0" borderId="118" xfId="0" applyFont="1" applyBorder="1" applyAlignment="1">
      <alignment horizontal="right"/>
    </xf>
    <xf numFmtId="0" fontId="110" fillId="0" borderId="130" xfId="0" applyFont="1" applyBorder="1" applyAlignment="1">
      <alignment horizontal="right"/>
    </xf>
    <xf numFmtId="0" fontId="136" fillId="0" borderId="15" xfId="345" applyFont="1" applyBorder="1" applyAlignment="1">
      <alignment vertical="center"/>
    </xf>
    <xf numFmtId="0" fontId="136" fillId="0" borderId="48" xfId="345" applyFont="1" applyBorder="1" applyAlignment="1">
      <alignment wrapText="1"/>
    </xf>
    <xf numFmtId="0" fontId="137" fillId="42" borderId="115" xfId="345" applyFont="1" applyFill="1" applyBorder="1" applyAlignment="1">
      <alignment horizontal="center" vertical="center" wrapText="1"/>
    </xf>
    <xf numFmtId="0" fontId="137" fillId="42" borderId="116" xfId="345" applyFont="1" applyFill="1" applyBorder="1" applyAlignment="1">
      <alignment horizontal="center" vertical="center" wrapText="1"/>
    </xf>
    <xf numFmtId="2" fontId="136" fillId="0" borderId="15" xfId="345" applyNumberFormat="1" applyFont="1" applyBorder="1" applyAlignment="1">
      <alignment horizontal="center"/>
    </xf>
    <xf numFmtId="2" fontId="136" fillId="0" borderId="16" xfId="345" applyNumberFormat="1" applyFont="1" applyBorder="1" applyAlignment="1">
      <alignment horizontal="center"/>
    </xf>
    <xf numFmtId="2" fontId="136" fillId="0" borderId="48" xfId="345" applyNumberFormat="1" applyFont="1" applyBorder="1" applyAlignment="1">
      <alignment horizontal="center"/>
    </xf>
    <xf numFmtId="2" fontId="136" fillId="0" borderId="39" xfId="345" applyNumberFormat="1" applyFont="1" applyBorder="1" applyAlignment="1">
      <alignment horizontal="center"/>
    </xf>
    <xf numFmtId="0" fontId="136" fillId="0" borderId="48" xfId="345" applyFont="1" applyBorder="1" applyAlignment="1">
      <alignment horizontal="center"/>
    </xf>
    <xf numFmtId="0" fontId="136" fillId="0" borderId="39" xfId="345" applyFont="1" applyBorder="1" applyAlignment="1">
      <alignment horizontal="center"/>
    </xf>
    <xf numFmtId="0" fontId="137" fillId="42" borderId="115" xfId="345" applyFont="1" applyFill="1" applyBorder="1" applyAlignment="1">
      <alignment vertical="center" wrapText="1"/>
    </xf>
    <xf numFmtId="0" fontId="136" fillId="0" borderId="15" xfId="345" applyFont="1" applyBorder="1" applyAlignment="1">
      <alignment horizontal="center"/>
    </xf>
    <xf numFmtId="0" fontId="136" fillId="0" borderId="16" xfId="345" applyFont="1" applyBorder="1" applyAlignment="1">
      <alignment horizontal="center"/>
    </xf>
    <xf numFmtId="0" fontId="137" fillId="42" borderId="115" xfId="345" applyFont="1" applyFill="1" applyBorder="1" applyAlignment="1">
      <alignment horizontal="center"/>
    </xf>
    <xf numFmtId="0" fontId="137" fillId="42" borderId="116" xfId="345" applyFont="1" applyFill="1" applyBorder="1" applyAlignment="1">
      <alignment horizontal="center"/>
    </xf>
    <xf numFmtId="0" fontId="137" fillId="42" borderId="15" xfId="345" applyFont="1" applyFill="1" applyBorder="1" applyAlignment="1">
      <alignment horizontal="center" wrapText="1"/>
    </xf>
    <xf numFmtId="0" fontId="137" fillId="42" borderId="16" xfId="345" applyFont="1" applyFill="1" applyBorder="1" applyAlignment="1">
      <alignment horizontal="center" wrapText="1"/>
    </xf>
    <xf numFmtId="0" fontId="137" fillId="42" borderId="54" xfId="345" applyFont="1" applyFill="1" applyBorder="1" applyAlignment="1">
      <alignment horizontal="center" vertical="center" wrapText="1"/>
    </xf>
    <xf numFmtId="0" fontId="137" fillId="42" borderId="57" xfId="345" applyFont="1" applyFill="1" applyBorder="1" applyAlignment="1">
      <alignment horizontal="center" vertical="center" wrapText="1"/>
    </xf>
    <xf numFmtId="0" fontId="137" fillId="42" borderId="55" xfId="345" applyFont="1" applyFill="1" applyBorder="1" applyAlignment="1">
      <alignment horizontal="center" vertical="center" wrapText="1"/>
    </xf>
    <xf numFmtId="0" fontId="137" fillId="42" borderId="76" xfId="345" applyFont="1" applyFill="1" applyBorder="1" applyAlignment="1">
      <alignment horizontal="center" vertical="center" wrapText="1"/>
    </xf>
    <xf numFmtId="0" fontId="137" fillId="42" borderId="43" xfId="345" applyFont="1" applyFill="1" applyBorder="1" applyAlignment="1">
      <alignment horizontal="center" vertical="center" wrapText="1"/>
    </xf>
    <xf numFmtId="0" fontId="137" fillId="42" borderId="45" xfId="345" applyFont="1" applyFill="1" applyBorder="1" applyAlignment="1">
      <alignment horizontal="center" vertical="center" wrapText="1"/>
    </xf>
    <xf numFmtId="0" fontId="137" fillId="42" borderId="4" xfId="345" applyFont="1" applyFill="1" applyBorder="1" applyAlignment="1">
      <alignment horizontal="center" vertical="center" wrapText="1"/>
    </xf>
    <xf numFmtId="0" fontId="137" fillId="42" borderId="0" xfId="345" applyFont="1" applyFill="1" applyAlignment="1">
      <alignment horizontal="center" vertical="center" wrapText="1"/>
    </xf>
    <xf numFmtId="0" fontId="137" fillId="42" borderId="19" xfId="345" applyFont="1" applyFill="1" applyBorder="1" applyAlignment="1">
      <alignment horizontal="center" vertical="center" wrapText="1"/>
    </xf>
    <xf numFmtId="0" fontId="137" fillId="42" borderId="34" xfId="345" applyFont="1" applyFill="1" applyBorder="1" applyAlignment="1">
      <alignment horizontal="center" vertical="center" wrapText="1"/>
    </xf>
    <xf numFmtId="0" fontId="137" fillId="42" borderId="31" xfId="345" applyFont="1" applyFill="1" applyBorder="1" applyAlignment="1">
      <alignment horizontal="center" vertical="center" wrapText="1"/>
    </xf>
    <xf numFmtId="0" fontId="137" fillId="42" borderId="20" xfId="345" applyFont="1" applyFill="1" applyBorder="1" applyAlignment="1">
      <alignment horizontal="center" vertical="center" wrapText="1"/>
    </xf>
    <xf numFmtId="0" fontId="137" fillId="0" borderId="70" xfId="345" applyFont="1" applyBorder="1" applyAlignment="1">
      <alignment vertical="center" wrapText="1"/>
    </xf>
    <xf numFmtId="0" fontId="137" fillId="0" borderId="67" xfId="345" applyFont="1" applyBorder="1" applyAlignment="1">
      <alignment vertical="center" wrapText="1"/>
    </xf>
    <xf numFmtId="0" fontId="137" fillId="0" borderId="81" xfId="345" applyFont="1" applyBorder="1" applyAlignment="1">
      <alignment vertical="center" wrapText="1"/>
    </xf>
    <xf numFmtId="0" fontId="137" fillId="42" borderId="69" xfId="345" applyFont="1" applyFill="1" applyBorder="1" applyAlignment="1">
      <alignment vertical="center" wrapText="1"/>
    </xf>
    <xf numFmtId="0" fontId="137" fillId="42" borderId="82" xfId="345" applyFont="1" applyFill="1" applyBorder="1" applyAlignment="1">
      <alignment vertical="center" wrapText="1"/>
    </xf>
    <xf numFmtId="0" fontId="137" fillId="42" borderId="85" xfId="345" applyFont="1" applyFill="1" applyBorder="1" applyAlignment="1">
      <alignment vertical="center" wrapText="1"/>
    </xf>
    <xf numFmtId="0" fontId="136" fillId="0" borderId="1" xfId="345" applyFont="1" applyBorder="1"/>
    <xf numFmtId="0" fontId="136" fillId="0" borderId="35" xfId="345" applyFont="1" applyBorder="1"/>
    <xf numFmtId="0" fontId="136" fillId="0" borderId="22" xfId="345" applyFont="1" applyBorder="1"/>
    <xf numFmtId="0" fontId="133" fillId="0" borderId="1" xfId="0" applyFont="1" applyBorder="1"/>
    <xf numFmtId="0" fontId="133" fillId="0" borderId="35" xfId="0" applyFont="1" applyBorder="1"/>
    <xf numFmtId="0" fontId="133" fillId="0" borderId="22" xfId="0" applyFont="1" applyBorder="1"/>
    <xf numFmtId="10" fontId="133" fillId="0" borderId="15" xfId="0" applyNumberFormat="1" applyFont="1" applyBorder="1"/>
    <xf numFmtId="10" fontId="136" fillId="0" borderId="15" xfId="348" applyNumberFormat="1" applyFont="1" applyBorder="1" applyAlignment="1">
      <alignment horizontal="right" vertical="center" wrapText="1"/>
    </xf>
    <xf numFmtId="10" fontId="136" fillId="0" borderId="16" xfId="348" applyNumberFormat="1" applyFont="1" applyBorder="1" applyAlignment="1">
      <alignment horizontal="right" vertical="center" wrapText="1"/>
    </xf>
    <xf numFmtId="169" fontId="133" fillId="0" borderId="15" xfId="138" applyNumberFormat="1" applyFont="1" applyBorder="1"/>
    <xf numFmtId="0" fontId="152" fillId="36" borderId="42" xfId="0" applyFont="1" applyFill="1" applyBorder="1" applyAlignment="1">
      <alignment horizontal="center" vertical="top" wrapText="1"/>
    </xf>
    <xf numFmtId="0" fontId="152" fillId="36" borderId="43" xfId="0" applyFont="1" applyFill="1" applyBorder="1" applyAlignment="1">
      <alignment horizontal="center" vertical="top"/>
    </xf>
    <xf numFmtId="0" fontId="152" fillId="36" borderId="44" xfId="0" applyFont="1" applyFill="1" applyBorder="1" applyAlignment="1">
      <alignment horizontal="center" vertical="top"/>
    </xf>
    <xf numFmtId="0" fontId="136" fillId="36" borderId="32" xfId="0" applyFont="1" applyFill="1" applyBorder="1" applyAlignment="1">
      <alignment horizontal="center" vertical="center"/>
    </xf>
    <xf numFmtId="0" fontId="136" fillId="36" borderId="0" xfId="0" applyFont="1" applyFill="1" applyAlignment="1">
      <alignment horizontal="center" vertical="center"/>
    </xf>
    <xf numFmtId="0" fontId="136" fillId="36" borderId="38" xfId="0" applyFont="1" applyFill="1" applyBorder="1" applyAlignment="1">
      <alignment horizontal="center" vertical="center"/>
    </xf>
    <xf numFmtId="49" fontId="136" fillId="0" borderId="32" xfId="345" applyNumberFormat="1" applyFont="1" applyBorder="1" applyAlignment="1">
      <alignment horizontal="center"/>
    </xf>
    <xf numFmtId="0" fontId="136" fillId="0" borderId="0" xfId="345" applyFont="1" applyAlignment="1">
      <alignment horizontal="center"/>
    </xf>
    <xf numFmtId="0" fontId="136" fillId="0" borderId="38" xfId="345" applyFont="1" applyBorder="1" applyAlignment="1">
      <alignment horizontal="center"/>
    </xf>
    <xf numFmtId="0" fontId="136" fillId="0" borderId="80" xfId="346" applyFont="1" applyBorder="1" applyAlignment="1">
      <alignment horizontal="left" vertical="center" wrapText="1"/>
    </xf>
    <xf numFmtId="0" fontId="136" fillId="0" borderId="5" xfId="346" applyFont="1" applyBorder="1" applyAlignment="1">
      <alignment horizontal="left" vertical="center" wrapText="1"/>
    </xf>
    <xf numFmtId="0" fontId="136" fillId="0" borderId="78" xfId="346" applyFont="1" applyBorder="1" applyAlignment="1">
      <alignment horizontal="left" vertical="center" wrapText="1"/>
    </xf>
    <xf numFmtId="0" fontId="137" fillId="0" borderId="32" xfId="345" applyFont="1" applyBorder="1" applyAlignment="1">
      <alignment horizontal="left" vertical="center"/>
    </xf>
    <xf numFmtId="0" fontId="137" fillId="0" borderId="0" xfId="345" applyFont="1" applyAlignment="1">
      <alignment horizontal="left" vertical="center"/>
    </xf>
    <xf numFmtId="0" fontId="137" fillId="42" borderId="15" xfId="345" applyFont="1" applyFill="1" applyBorder="1" applyAlignment="1">
      <alignment horizontal="center" vertical="center" wrapText="1"/>
    </xf>
    <xf numFmtId="0" fontId="137" fillId="42" borderId="16" xfId="345" applyFont="1" applyFill="1" applyBorder="1" applyAlignment="1">
      <alignment horizontal="center" vertical="center" wrapText="1"/>
    </xf>
    <xf numFmtId="43" fontId="137" fillId="0" borderId="48" xfId="347" applyFont="1" applyBorder="1" applyAlignment="1">
      <alignment horizontal="right" vertical="center" wrapText="1"/>
    </xf>
    <xf numFmtId="10" fontId="137" fillId="0" borderId="48" xfId="348" applyNumberFormat="1" applyFont="1" applyBorder="1" applyAlignment="1">
      <alignment horizontal="right" vertical="center" wrapText="1"/>
    </xf>
    <xf numFmtId="10" fontId="137" fillId="0" borderId="48" xfId="347" applyNumberFormat="1" applyFont="1" applyBorder="1" applyAlignment="1">
      <alignment horizontal="right" vertical="center" wrapText="1"/>
    </xf>
    <xf numFmtId="43" fontId="137" fillId="0" borderId="39" xfId="347" applyFont="1" applyBorder="1" applyAlignment="1">
      <alignment horizontal="right" vertical="center" wrapText="1"/>
    </xf>
    <xf numFmtId="0" fontId="136" fillId="0" borderId="32" xfId="345" applyFont="1" applyBorder="1" applyAlignment="1">
      <alignment horizontal="left" vertical="center" wrapText="1"/>
    </xf>
    <xf numFmtId="0" fontId="136" fillId="0" borderId="0" xfId="345" applyFont="1" applyAlignment="1">
      <alignment horizontal="left" vertical="center" wrapText="1"/>
    </xf>
    <xf numFmtId="0" fontId="136" fillId="0" borderId="38" xfId="345" applyFont="1" applyBorder="1" applyAlignment="1">
      <alignment horizontal="left" vertical="center" wrapText="1"/>
    </xf>
    <xf numFmtId="0" fontId="137" fillId="42" borderId="114" xfId="345" applyFont="1" applyFill="1" applyBorder="1" applyAlignment="1">
      <alignment horizontal="center" vertical="center" wrapText="1"/>
    </xf>
    <xf numFmtId="0" fontId="137" fillId="42" borderId="24" xfId="345" applyFont="1" applyFill="1" applyBorder="1" applyAlignment="1">
      <alignment horizontal="center" vertical="center" wrapText="1"/>
    </xf>
    <xf numFmtId="0" fontId="137" fillId="42" borderId="86" xfId="345" applyFont="1" applyFill="1" applyBorder="1" applyAlignment="1">
      <alignment horizontal="center" vertical="center" wrapText="1"/>
    </xf>
    <xf numFmtId="0" fontId="137" fillId="42" borderId="1" xfId="345" applyFont="1" applyFill="1" applyBorder="1" applyAlignment="1">
      <alignment horizontal="center" vertical="center" wrapText="1"/>
    </xf>
    <xf numFmtId="0" fontId="137" fillId="42" borderId="35" xfId="345" applyFont="1" applyFill="1" applyBorder="1" applyAlignment="1">
      <alignment horizontal="center" vertical="center" wrapText="1"/>
    </xf>
    <xf numFmtId="0" fontId="137" fillId="42" borderId="77" xfId="345" applyFont="1" applyFill="1" applyBorder="1" applyAlignment="1">
      <alignment horizontal="center" vertical="center" wrapText="1"/>
    </xf>
    <xf numFmtId="0" fontId="136" fillId="0" borderId="86" xfId="345" applyFont="1" applyBorder="1" applyAlignment="1">
      <alignment horizontal="left" vertical="center" wrapText="1"/>
    </xf>
    <xf numFmtId="0" fontId="136" fillId="0" borderId="15" xfId="345" applyFont="1" applyBorder="1" applyAlignment="1">
      <alignment horizontal="left" vertical="center" wrapText="1"/>
    </xf>
    <xf numFmtId="43" fontId="136" fillId="0" borderId="15" xfId="345" applyNumberFormat="1" applyFont="1" applyBorder="1" applyAlignment="1">
      <alignment horizontal="right" vertical="center" wrapText="1"/>
    </xf>
    <xf numFmtId="43" fontId="136" fillId="0" borderId="16" xfId="345" applyNumberFormat="1" applyFont="1" applyBorder="1" applyAlignment="1">
      <alignment horizontal="right" vertical="center" wrapText="1"/>
    </xf>
    <xf numFmtId="0" fontId="136" fillId="0" borderId="117" xfId="345" applyFont="1" applyBorder="1" applyAlignment="1">
      <alignment horizontal="left" vertical="center" wrapText="1"/>
    </xf>
    <xf numFmtId="0" fontId="136" fillId="0" borderId="48" xfId="345" applyFont="1" applyBorder="1" applyAlignment="1">
      <alignment horizontal="left" vertical="center" wrapText="1"/>
    </xf>
    <xf numFmtId="0" fontId="137" fillId="42" borderId="116" xfId="345" applyFont="1" applyFill="1" applyBorder="1" applyAlignment="1">
      <alignment vertical="center" wrapText="1"/>
    </xf>
    <xf numFmtId="0" fontId="136" fillId="0" borderId="86" xfId="345" applyFont="1" applyBorder="1" applyAlignment="1">
      <alignment horizontal="center" vertical="center" wrapText="1"/>
    </xf>
    <xf numFmtId="0" fontId="136" fillId="0" borderId="15" xfId="345" applyFont="1" applyBorder="1" applyAlignment="1">
      <alignment horizontal="center" vertical="center" wrapText="1"/>
    </xf>
    <xf numFmtId="43" fontId="136" fillId="0" borderId="15" xfId="345" applyNumberFormat="1" applyFont="1" applyBorder="1" applyAlignment="1">
      <alignment horizontal="center" vertical="center" wrapText="1"/>
    </xf>
    <xf numFmtId="43" fontId="136" fillId="0" borderId="16" xfId="345" applyNumberFormat="1" applyFont="1" applyBorder="1" applyAlignment="1">
      <alignment horizontal="center" vertical="center" wrapText="1"/>
    </xf>
    <xf numFmtId="0" fontId="136" fillId="0" borderId="1" xfId="345" applyFont="1" applyBorder="1" applyAlignment="1">
      <alignment vertical="center" wrapText="1"/>
    </xf>
    <xf numFmtId="0" fontId="136" fillId="0" borderId="35" xfId="345" applyFont="1" applyBorder="1" applyAlignment="1">
      <alignment vertical="center" wrapText="1"/>
    </xf>
    <xf numFmtId="0" fontId="136" fillId="0" borderId="22" xfId="345" applyFont="1" applyBorder="1" applyAlignment="1">
      <alignment vertical="center" wrapText="1"/>
    </xf>
    <xf numFmtId="0" fontId="136" fillId="0" borderId="70" xfId="345" applyFont="1" applyBorder="1" applyAlignment="1">
      <alignment vertical="center" wrapText="1"/>
    </xf>
    <xf numFmtId="0" fontId="136" fillId="0" borderId="67" xfId="345" applyFont="1" applyBorder="1" applyAlignment="1">
      <alignment vertical="center" wrapText="1"/>
    </xf>
    <xf numFmtId="0" fontId="136" fillId="0" borderId="81" xfId="345" applyFont="1" applyBorder="1" applyAlignment="1">
      <alignment vertical="center" wrapText="1"/>
    </xf>
    <xf numFmtId="167" fontId="136" fillId="0" borderId="1" xfId="138" applyFont="1" applyBorder="1" applyAlignment="1">
      <alignment horizontal="right" vertical="center"/>
    </xf>
    <xf numFmtId="167" fontId="136" fillId="0" borderId="35" xfId="138" applyFont="1" applyBorder="1" applyAlignment="1">
      <alignment horizontal="right" vertical="center"/>
    </xf>
    <xf numFmtId="167" fontId="136" fillId="0" borderId="77" xfId="138" applyFont="1" applyBorder="1" applyAlignment="1">
      <alignment horizontal="right" vertical="center"/>
    </xf>
    <xf numFmtId="167" fontId="136" fillId="0" borderId="70" xfId="138" applyFont="1" applyBorder="1" applyAlignment="1">
      <alignment horizontal="right" vertical="center"/>
    </xf>
    <xf numFmtId="167" fontId="136" fillId="0" borderId="67" xfId="138" applyFont="1" applyBorder="1" applyAlignment="1">
      <alignment horizontal="right" vertical="center"/>
    </xf>
    <xf numFmtId="167" fontId="136" fillId="0" borderId="68" xfId="138" applyFont="1" applyBorder="1" applyAlignment="1">
      <alignment horizontal="right" vertical="center"/>
    </xf>
    <xf numFmtId="0" fontId="136" fillId="0" borderId="117" xfId="345" applyFont="1" applyBorder="1" applyAlignment="1">
      <alignment horizontal="center" vertical="center" wrapText="1"/>
    </xf>
    <xf numFmtId="0" fontId="136" fillId="0" borderId="48" xfId="345" applyFont="1" applyBorder="1" applyAlignment="1">
      <alignment horizontal="center" vertical="center" wrapText="1"/>
    </xf>
    <xf numFmtId="0" fontId="136" fillId="0" borderId="32" xfId="345" applyFont="1" applyBorder="1" applyAlignment="1">
      <alignment horizontal="left" wrapText="1"/>
    </xf>
    <xf numFmtId="0" fontId="136" fillId="0" borderId="0" xfId="345" applyFont="1" applyAlignment="1">
      <alignment horizontal="left" wrapText="1"/>
    </xf>
    <xf numFmtId="0" fontId="136" fillId="0" borderId="38" xfId="345" applyFont="1" applyBorder="1" applyAlignment="1">
      <alignment horizontal="left" wrapText="1"/>
    </xf>
    <xf numFmtId="0" fontId="136" fillId="0" borderId="40" xfId="345" applyFont="1" applyBorder="1" applyAlignment="1">
      <alignment vertical="center"/>
    </xf>
    <xf numFmtId="0" fontId="136" fillId="0" borderId="118" xfId="345" applyFont="1" applyBorder="1" applyAlignment="1">
      <alignment vertical="center"/>
    </xf>
    <xf numFmtId="0" fontId="136" fillId="0" borderId="65" xfId="345" applyFont="1" applyBorder="1" applyAlignment="1">
      <alignment vertical="center"/>
    </xf>
    <xf numFmtId="0" fontId="136" fillId="0" borderId="15" xfId="345" applyFont="1" applyBorder="1" applyAlignment="1">
      <alignment horizontal="center" wrapText="1"/>
    </xf>
    <xf numFmtId="0" fontId="136" fillId="0" borderId="48" xfId="345" applyFont="1" applyBorder="1" applyAlignment="1">
      <alignment horizontal="center" wrapText="1"/>
    </xf>
    <xf numFmtId="0" fontId="137" fillId="42" borderId="114" xfId="345" applyFont="1" applyFill="1" applyBorder="1" applyAlignment="1">
      <alignment horizontal="center"/>
    </xf>
    <xf numFmtId="0" fontId="137" fillId="42" borderId="86" xfId="345" applyFont="1" applyFill="1" applyBorder="1" applyAlignment="1">
      <alignment horizontal="center"/>
    </xf>
    <xf numFmtId="43" fontId="136" fillId="0" borderId="48" xfId="345" applyNumberFormat="1" applyFont="1" applyBorder="1" applyAlignment="1">
      <alignment horizontal="center" vertical="center" wrapText="1"/>
    </xf>
    <xf numFmtId="43" fontId="136" fillId="0" borderId="39" xfId="345" applyNumberFormat="1" applyFont="1" applyBorder="1" applyAlignment="1">
      <alignment horizontal="center" vertical="center" wrapText="1"/>
    </xf>
    <xf numFmtId="167" fontId="133" fillId="0" borderId="0" xfId="349" applyFont="1" applyBorder="1" applyAlignment="1">
      <alignment horizontal="center"/>
    </xf>
    <xf numFmtId="167" fontId="135" fillId="0" borderId="0" xfId="349" applyFont="1" applyBorder="1" applyAlignment="1">
      <alignment horizontal="center"/>
    </xf>
    <xf numFmtId="167" fontId="135" fillId="0" borderId="38" xfId="349" applyFont="1" applyBorder="1" applyAlignment="1">
      <alignment horizontal="center"/>
    </xf>
    <xf numFmtId="0" fontId="153" fillId="42" borderId="42" xfId="346" applyFont="1" applyFill="1" applyBorder="1" applyAlignment="1">
      <alignment horizontal="center" vertical="center" wrapText="1"/>
    </xf>
    <xf numFmtId="0" fontId="153" fillId="42" borderId="43" xfId="346" applyFont="1" applyFill="1" applyBorder="1" applyAlignment="1">
      <alignment horizontal="center" vertical="center"/>
    </xf>
    <xf numFmtId="0" fontId="153" fillId="42" borderId="44" xfId="346" applyFont="1" applyFill="1" applyBorder="1" applyAlignment="1">
      <alignment horizontal="center" vertical="center"/>
    </xf>
    <xf numFmtId="0" fontId="154" fillId="42" borderId="32" xfId="346" applyFont="1" applyFill="1" applyBorder="1" applyAlignment="1">
      <alignment horizontal="center" vertical="center"/>
    </xf>
    <xf numFmtId="0" fontId="154" fillId="42" borderId="0" xfId="346" applyFont="1" applyFill="1" applyAlignment="1">
      <alignment horizontal="center" vertical="center"/>
    </xf>
    <xf numFmtId="0" fontId="154" fillId="42" borderId="38" xfId="346" applyFont="1" applyFill="1" applyBorder="1" applyAlignment="1">
      <alignment horizontal="center" vertical="center"/>
    </xf>
    <xf numFmtId="49" fontId="154" fillId="42" borderId="32" xfId="346" applyNumberFormat="1" applyFont="1" applyFill="1" applyBorder="1" applyAlignment="1">
      <alignment horizontal="center" vertical="center"/>
    </xf>
    <xf numFmtId="0" fontId="153" fillId="42" borderId="42" xfId="346" applyFont="1" applyFill="1" applyBorder="1" applyAlignment="1">
      <alignment horizontal="center" vertical="center"/>
    </xf>
    <xf numFmtId="0" fontId="133" fillId="0" borderId="80" xfId="346" applyFont="1" applyBorder="1" applyAlignment="1">
      <alignment horizontal="center" vertical="center" wrapText="1"/>
    </xf>
    <xf numFmtId="0" fontId="133" fillId="0" borderId="5" xfId="346" applyFont="1" applyBorder="1" applyAlignment="1">
      <alignment horizontal="center" vertical="center" wrapText="1"/>
    </xf>
    <xf numFmtId="0" fontId="133" fillId="0" borderId="78" xfId="346" applyFont="1" applyBorder="1" applyAlignment="1">
      <alignment horizontal="center" vertical="center" wrapText="1"/>
    </xf>
    <xf numFmtId="169" fontId="42" fillId="0" borderId="0" xfId="138" applyNumberFormat="1" applyFont="1" applyFill="1" applyAlignment="1">
      <alignment horizontal="center"/>
    </xf>
    <xf numFmtId="169" fontId="6" fillId="0" borderId="4" xfId="228" applyNumberFormat="1" applyFont="1" applyBorder="1" applyAlignment="1">
      <alignment vertical="top"/>
    </xf>
    <xf numFmtId="169" fontId="6" fillId="0" borderId="0" xfId="228" applyNumberFormat="1" applyFont="1" applyAlignment="1">
      <alignment vertical="top"/>
    </xf>
    <xf numFmtId="0" fontId="42" fillId="0" borderId="0" xfId="0" applyFont="1" applyAlignment="1">
      <alignment horizontal="center"/>
    </xf>
    <xf numFmtId="0" fontId="43" fillId="0" borderId="5" xfId="0" applyFont="1" applyBorder="1" applyAlignment="1">
      <alignment horizontal="center" vertical="center"/>
    </xf>
    <xf numFmtId="0" fontId="43" fillId="0" borderId="82" xfId="0" applyFont="1" applyBorder="1" applyAlignment="1">
      <alignment horizontal="left" vertical="center" wrapText="1"/>
    </xf>
    <xf numFmtId="0" fontId="42" fillId="0" borderId="40" xfId="0" applyFont="1" applyBorder="1" applyAlignment="1">
      <alignment horizontal="left" wrapText="1"/>
    </xf>
    <xf numFmtId="0" fontId="42" fillId="0" borderId="118" xfId="0" applyFont="1" applyBorder="1" applyAlignment="1">
      <alignment horizontal="left" wrapText="1"/>
    </xf>
    <xf numFmtId="0" fontId="42" fillId="0" borderId="65" xfId="0" applyFont="1" applyBorder="1" applyAlignment="1">
      <alignment horizontal="left" wrapText="1"/>
    </xf>
    <xf numFmtId="169" fontId="43" fillId="0" borderId="82" xfId="138" applyNumberFormat="1" applyFont="1" applyFill="1" applyBorder="1" applyAlignment="1">
      <alignment horizontal="center" vertical="center"/>
    </xf>
    <xf numFmtId="169" fontId="43" fillId="0" borderId="79" xfId="138" applyNumberFormat="1" applyFont="1" applyFill="1" applyBorder="1" applyAlignment="1">
      <alignment horizontal="center" vertical="center"/>
    </xf>
    <xf numFmtId="0" fontId="43" fillId="0" borderId="43" xfId="0" applyFont="1" applyBorder="1" applyAlignment="1">
      <alignment horizontal="center" vertical="center"/>
    </xf>
    <xf numFmtId="0" fontId="43" fillId="0" borderId="118" xfId="0" applyFont="1" applyBorder="1" applyAlignment="1">
      <alignment horizontal="center" vertical="center"/>
    </xf>
    <xf numFmtId="0" fontId="42" fillId="0" borderId="43" xfId="0" applyFont="1" applyBorder="1" applyAlignment="1">
      <alignment horizontal="left" vertical="top" wrapText="1"/>
    </xf>
    <xf numFmtId="0" fontId="42" fillId="0" borderId="44" xfId="0" applyFont="1" applyBorder="1" applyAlignment="1">
      <alignment horizontal="left" vertical="top" wrapText="1"/>
    </xf>
    <xf numFmtId="0" fontId="42" fillId="0" borderId="0" xfId="0" applyFont="1" applyAlignment="1">
      <alignment horizontal="left" vertical="top" wrapText="1"/>
    </xf>
    <xf numFmtId="0" fontId="42" fillId="0" borderId="38" xfId="0" applyFont="1" applyBorder="1" applyAlignment="1">
      <alignment horizontal="left" vertical="top" wrapText="1"/>
    </xf>
    <xf numFmtId="0" fontId="42" fillId="0" borderId="118" xfId="0" applyFont="1" applyBorder="1" applyAlignment="1">
      <alignment horizontal="left" vertical="center" wrapText="1"/>
    </xf>
    <xf numFmtId="49" fontId="42" fillId="0" borderId="0" xfId="0" applyNumberFormat="1" applyFont="1" applyAlignment="1">
      <alignment horizontal="left" vertical="top"/>
    </xf>
    <xf numFmtId="0" fontId="43" fillId="0" borderId="118" xfId="0" applyFont="1" applyBorder="1" applyAlignment="1">
      <alignment horizontal="center" vertical="center" wrapText="1"/>
    </xf>
    <xf numFmtId="43" fontId="43" fillId="0" borderId="43" xfId="166" applyFont="1" applyFill="1" applyBorder="1" applyAlignment="1">
      <alignment horizontal="left" wrapText="1"/>
    </xf>
    <xf numFmtId="43" fontId="42" fillId="0" borderId="32" xfId="166" applyFont="1" applyFill="1" applyBorder="1" applyAlignment="1">
      <alignment horizontal="left" vertical="top" wrapText="1"/>
    </xf>
    <xf numFmtId="43" fontId="42" fillId="0" borderId="0" xfId="166" applyFont="1" applyFill="1" applyBorder="1" applyAlignment="1">
      <alignment horizontal="left" vertical="top" wrapText="1"/>
    </xf>
    <xf numFmtId="0" fontId="42" fillId="0" borderId="42" xfId="0" applyFont="1" applyBorder="1" applyAlignment="1">
      <alignment horizontal="left"/>
    </xf>
    <xf numFmtId="0" fontId="42" fillId="0" borderId="43" xfId="0" applyFont="1" applyBorder="1" applyAlignment="1">
      <alignment horizontal="left"/>
    </xf>
    <xf numFmtId="0" fontId="42" fillId="0" borderId="0" xfId="0" applyFont="1" applyAlignment="1">
      <alignment horizontal="left" vertical="center"/>
    </xf>
    <xf numFmtId="0" fontId="43" fillId="0" borderId="0" xfId="0" applyFont="1" applyAlignment="1">
      <alignment horizontal="center"/>
    </xf>
    <xf numFmtId="0" fontId="121" fillId="0" borderId="0" xfId="0" applyFont="1" applyAlignment="1">
      <alignment horizontal="center"/>
    </xf>
    <xf numFmtId="43" fontId="42" fillId="0" borderId="0" xfId="166" applyFont="1" applyFill="1" applyBorder="1" applyAlignment="1">
      <alignment vertical="top" wrapText="1"/>
    </xf>
    <xf numFmtId="0" fontId="42" fillId="0" borderId="0" xfId="0" applyFont="1" applyAlignment="1">
      <alignment horizontal="left" vertical="center" wrapText="1"/>
    </xf>
    <xf numFmtId="0" fontId="42" fillId="0" borderId="38" xfId="0" applyFont="1" applyBorder="1" applyAlignment="1">
      <alignment horizontal="left" vertical="center" wrapText="1"/>
    </xf>
    <xf numFmtId="0" fontId="43" fillId="0" borderId="0" xfId="0" applyFont="1" applyAlignment="1">
      <alignment horizontal="left" vertical="center"/>
    </xf>
    <xf numFmtId="0" fontId="43" fillId="0" borderId="38" xfId="0" applyFont="1" applyBorder="1" applyAlignment="1">
      <alignment horizontal="left" vertical="center"/>
    </xf>
    <xf numFmtId="0" fontId="42" fillId="0" borderId="0" xfId="228" applyFont="1" applyAlignment="1">
      <alignment horizontal="left" vertical="top" wrapText="1" indent="2"/>
    </xf>
    <xf numFmtId="0" fontId="43" fillId="0" borderId="118" xfId="0" applyFont="1" applyBorder="1" applyAlignment="1">
      <alignment horizontal="center" vertical="top" wrapText="1"/>
    </xf>
    <xf numFmtId="0" fontId="43" fillId="0" borderId="42" xfId="0" applyFont="1" applyBorder="1" applyAlignment="1">
      <alignment horizontal="center" vertical="center" wrapText="1"/>
    </xf>
    <xf numFmtId="0" fontId="43" fillId="0" borderId="43" xfId="0" applyFont="1" applyBorder="1" applyAlignment="1">
      <alignment horizontal="center" vertical="center" wrapText="1"/>
    </xf>
    <xf numFmtId="0" fontId="43" fillId="0" borderId="44" xfId="0" applyFont="1" applyBorder="1" applyAlignment="1">
      <alignment horizontal="center" vertical="center" wrapText="1"/>
    </xf>
    <xf numFmtId="0" fontId="43" fillId="0" borderId="0" xfId="0" applyFont="1" applyAlignment="1">
      <alignment horizontal="left" wrapText="1"/>
    </xf>
    <xf numFmtId="0" fontId="43" fillId="0" borderId="118" xfId="0" applyFont="1" applyBorder="1" applyAlignment="1">
      <alignment horizontal="right"/>
    </xf>
    <xf numFmtId="169" fontId="43" fillId="0" borderId="43" xfId="138" applyNumberFormat="1" applyFont="1" applyFill="1" applyBorder="1" applyAlignment="1">
      <alignment horizontal="center" wrapText="1"/>
    </xf>
    <xf numFmtId="169" fontId="43" fillId="0" borderId="44" xfId="138" applyNumberFormat="1" applyFont="1" applyFill="1" applyBorder="1" applyAlignment="1">
      <alignment horizontal="center" wrapText="1"/>
    </xf>
    <xf numFmtId="0" fontId="43" fillId="0" borderId="32" xfId="0" applyFont="1" applyBorder="1" applyAlignment="1">
      <alignment horizontal="center" vertical="center"/>
    </xf>
    <xf numFmtId="0" fontId="43" fillId="0" borderId="0" xfId="0" applyFont="1" applyAlignment="1">
      <alignment horizontal="center" vertical="center"/>
    </xf>
    <xf numFmtId="0" fontId="43" fillId="0" borderId="38" xfId="0" applyFont="1" applyBorder="1" applyAlignment="1">
      <alignment horizontal="center" vertical="center"/>
    </xf>
    <xf numFmtId="0" fontId="42" fillId="0" borderId="32" xfId="0" applyFont="1" applyBorder="1" applyAlignment="1">
      <alignment horizontal="center" vertical="center" wrapText="1"/>
    </xf>
    <xf numFmtId="0" fontId="42" fillId="0" borderId="0" xfId="0" applyFont="1" applyAlignment="1">
      <alignment horizontal="center" vertical="center" wrapText="1"/>
    </xf>
    <xf numFmtId="0" fontId="42" fillId="0" borderId="38" xfId="0" applyFont="1" applyBorder="1" applyAlignment="1">
      <alignment horizontal="center" vertical="center" wrapText="1"/>
    </xf>
    <xf numFmtId="0" fontId="43" fillId="0" borderId="82" xfId="0" applyFont="1" applyBorder="1" applyAlignment="1">
      <alignment horizontal="center" vertical="center"/>
    </xf>
    <xf numFmtId="0" fontId="43" fillId="0" borderId="79" xfId="0" applyFont="1" applyBorder="1" applyAlignment="1">
      <alignment horizontal="center" vertical="center"/>
    </xf>
    <xf numFmtId="0" fontId="43" fillId="0" borderId="32" xfId="0" applyFont="1" applyBorder="1" applyAlignment="1">
      <alignment horizontal="center" vertical="center" wrapText="1"/>
    </xf>
    <xf numFmtId="0" fontId="43" fillId="0" borderId="0" xfId="0" applyFont="1" applyAlignment="1">
      <alignment horizontal="center" vertical="center" wrapText="1"/>
    </xf>
    <xf numFmtId="0" fontId="43" fillId="0" borderId="38" xfId="0" applyFont="1" applyBorder="1" applyAlignment="1">
      <alignment horizontal="center" vertical="center" wrapText="1"/>
    </xf>
    <xf numFmtId="0" fontId="43" fillId="0" borderId="0" xfId="228" applyFont="1" applyAlignment="1">
      <alignment horizontal="left" wrapText="1" indent="1"/>
    </xf>
    <xf numFmtId="0" fontId="43" fillId="0" borderId="0" xfId="0" applyFont="1" applyAlignment="1">
      <alignment horizontal="left" indent="1"/>
    </xf>
    <xf numFmtId="43" fontId="42" fillId="0" borderId="43" xfId="166" applyFont="1" applyFill="1" applyBorder="1" applyAlignment="1">
      <alignment horizontal="left" vertical="top" wrapText="1"/>
    </xf>
    <xf numFmtId="43" fontId="42" fillId="0" borderId="0" xfId="166" applyFont="1" applyFill="1" applyBorder="1" applyAlignment="1">
      <alignment horizontal="left" vertical="top" wrapText="1" indent="4"/>
    </xf>
    <xf numFmtId="0" fontId="42" fillId="0" borderId="118" xfId="228" applyFont="1" applyBorder="1" applyAlignment="1">
      <alignment horizontal="left" vertical="center" wrapText="1"/>
    </xf>
    <xf numFmtId="0" fontId="42" fillId="0" borderId="41" xfId="228" applyFont="1" applyBorder="1" applyAlignment="1">
      <alignment horizontal="left" vertical="center" wrapText="1"/>
    </xf>
    <xf numFmtId="0" fontId="43" fillId="0" borderId="82" xfId="0" applyFont="1" applyBorder="1" applyAlignment="1">
      <alignment horizontal="center" vertical="top"/>
    </xf>
    <xf numFmtId="0" fontId="43" fillId="0" borderId="79" xfId="0" applyFont="1" applyBorder="1" applyAlignment="1">
      <alignment horizontal="center" vertical="top"/>
    </xf>
    <xf numFmtId="0" fontId="43" fillId="0" borderId="31" xfId="0" applyFont="1" applyBorder="1" applyAlignment="1">
      <alignment horizontal="left" vertical="top" wrapText="1"/>
    </xf>
    <xf numFmtId="0" fontId="43" fillId="0" borderId="20" xfId="0" applyFont="1" applyBorder="1" applyAlignment="1">
      <alignment horizontal="left" vertical="top" wrapText="1"/>
    </xf>
    <xf numFmtId="0" fontId="43" fillId="0" borderId="4" xfId="0" applyFont="1" applyBorder="1" applyAlignment="1">
      <alignment horizontal="left" vertical="top" wrapText="1"/>
    </xf>
    <xf numFmtId="0" fontId="43" fillId="0" borderId="0" xfId="0" applyFont="1" applyAlignment="1">
      <alignment horizontal="left" vertical="top" wrapText="1"/>
    </xf>
    <xf numFmtId="0" fontId="43" fillId="0" borderId="38" xfId="0" applyFont="1" applyBorder="1" applyAlignment="1">
      <alignment horizontal="left" vertical="top" wrapText="1"/>
    </xf>
    <xf numFmtId="0" fontId="42" fillId="0" borderId="35" xfId="0" applyFont="1" applyBorder="1" applyAlignment="1">
      <alignment horizontal="left" vertical="top" wrapText="1"/>
    </xf>
    <xf numFmtId="0" fontId="42" fillId="0" borderId="1" xfId="0" applyFont="1" applyBorder="1" applyAlignment="1">
      <alignment horizontal="left" vertical="top" wrapText="1"/>
    </xf>
    <xf numFmtId="0" fontId="42" fillId="0" borderId="77" xfId="0" applyFont="1" applyBorder="1" applyAlignment="1">
      <alignment horizontal="left" vertical="top" wrapText="1"/>
    </xf>
    <xf numFmtId="0" fontId="42" fillId="0" borderId="118" xfId="0" applyFont="1" applyBorder="1" applyAlignment="1">
      <alignment horizontal="left" vertical="top" wrapText="1"/>
    </xf>
    <xf numFmtId="0" fontId="42" fillId="0" borderId="71" xfId="0" applyFont="1" applyBorder="1" applyAlignment="1">
      <alignment horizontal="left" vertical="top" wrapText="1"/>
    </xf>
    <xf numFmtId="0" fontId="42" fillId="0" borderId="65" xfId="0" applyFont="1" applyBorder="1" applyAlignment="1">
      <alignment horizontal="left" vertical="top" wrapText="1"/>
    </xf>
    <xf numFmtId="0" fontId="43" fillId="0" borderId="0" xfId="0" applyFont="1" applyAlignment="1">
      <alignment vertical="top" wrapText="1"/>
    </xf>
    <xf numFmtId="0" fontId="42" fillId="0" borderId="22" xfId="0" applyFont="1" applyBorder="1" applyAlignment="1">
      <alignment horizontal="left" vertical="top" wrapText="1"/>
    </xf>
    <xf numFmtId="0" fontId="42" fillId="0" borderId="15" xfId="0" applyFont="1" applyBorder="1" applyAlignment="1">
      <alignment horizontal="left" vertical="top" wrapText="1"/>
    </xf>
    <xf numFmtId="169" fontId="42" fillId="0" borderId="4" xfId="138" applyNumberFormat="1" applyFont="1" applyFill="1" applyBorder="1" applyAlignment="1">
      <alignment vertical="top" wrapText="1"/>
    </xf>
    <xf numFmtId="169" fontId="42" fillId="0" borderId="0" xfId="138" applyNumberFormat="1" applyFont="1" applyFill="1" applyBorder="1" applyAlignment="1">
      <alignment vertical="top" wrapText="1"/>
    </xf>
    <xf numFmtId="169" fontId="42" fillId="0" borderId="19" xfId="138" applyNumberFormat="1" applyFont="1" applyFill="1" applyBorder="1" applyAlignment="1">
      <alignment vertical="top" wrapText="1"/>
    </xf>
    <xf numFmtId="49" fontId="42" fillId="0" borderId="0" xfId="0" applyNumberFormat="1" applyFont="1" applyAlignment="1">
      <alignment wrapText="1"/>
    </xf>
    <xf numFmtId="187" fontId="42" fillId="0" borderId="4" xfId="166" applyNumberFormat="1" applyFont="1" applyFill="1" applyBorder="1" applyAlignment="1">
      <alignment wrapText="1"/>
    </xf>
    <xf numFmtId="187" fontId="42" fillId="0" borderId="38" xfId="166" applyNumberFormat="1" applyFont="1" applyFill="1" applyBorder="1" applyAlignment="1">
      <alignment wrapText="1"/>
    </xf>
    <xf numFmtId="0" fontId="43" fillId="0" borderId="4" xfId="0" applyFont="1" applyBorder="1" applyAlignment="1">
      <alignment vertical="top" wrapText="1"/>
    </xf>
    <xf numFmtId="0" fontId="43" fillId="0" borderId="19" xfId="0" applyFont="1" applyBorder="1" applyAlignment="1">
      <alignment vertical="top" wrapText="1"/>
    </xf>
    <xf numFmtId="0" fontId="42" fillId="0" borderId="0" xfId="228" applyFont="1" applyAlignment="1">
      <alignment horizontal="left" vertical="center" wrapText="1"/>
    </xf>
    <xf numFmtId="0" fontId="42" fillId="0" borderId="19" xfId="228" applyFont="1" applyBorder="1" applyAlignment="1">
      <alignment horizontal="left" vertical="center" wrapText="1"/>
    </xf>
    <xf numFmtId="167" fontId="43" fillId="0" borderId="71" xfId="138" applyFont="1" applyFill="1" applyBorder="1" applyAlignment="1">
      <alignment vertical="top" wrapText="1"/>
    </xf>
    <xf numFmtId="167" fontId="43" fillId="0" borderId="118" xfId="138" applyFont="1" applyFill="1" applyBorder="1" applyAlignment="1">
      <alignment vertical="top" wrapText="1"/>
    </xf>
    <xf numFmtId="167" fontId="43" fillId="0" borderId="41" xfId="138" applyFont="1" applyFill="1" applyBorder="1" applyAlignment="1">
      <alignment vertical="top" wrapText="1"/>
    </xf>
    <xf numFmtId="0" fontId="43" fillId="0" borderId="69" xfId="0" applyFont="1" applyBorder="1" applyAlignment="1">
      <alignment vertical="top" wrapText="1"/>
    </xf>
    <xf numFmtId="0" fontId="43" fillId="0" borderId="79" xfId="0" applyFont="1" applyBorder="1" applyAlignment="1">
      <alignment vertical="top" wrapText="1"/>
    </xf>
    <xf numFmtId="0" fontId="42" fillId="0" borderId="0" xfId="0" applyFont="1" applyAlignment="1">
      <alignment horizontal="left"/>
    </xf>
    <xf numFmtId="169" fontId="42" fillId="0" borderId="4" xfId="138" applyNumberFormat="1" applyFont="1" applyFill="1" applyBorder="1" applyAlignment="1">
      <alignment vertical="center"/>
    </xf>
    <xf numFmtId="169" fontId="42" fillId="0" borderId="38" xfId="138" applyNumberFormat="1" applyFont="1" applyFill="1" applyBorder="1" applyAlignment="1">
      <alignment vertical="center"/>
    </xf>
    <xf numFmtId="169" fontId="42" fillId="0" borderId="71" xfId="138" applyNumberFormat="1" applyFont="1" applyFill="1" applyBorder="1" applyAlignment="1">
      <alignment vertical="center"/>
    </xf>
    <xf numFmtId="169" fontId="42" fillId="0" borderId="65" xfId="138" applyNumberFormat="1" applyFont="1" applyFill="1" applyBorder="1" applyAlignment="1">
      <alignment vertical="center"/>
    </xf>
    <xf numFmtId="0" fontId="43" fillId="0" borderId="0" xfId="0" applyFont="1" applyAlignment="1">
      <alignment wrapText="1"/>
    </xf>
    <xf numFmtId="0" fontId="43" fillId="0" borderId="82" xfId="0" applyFont="1" applyBorder="1" applyAlignment="1">
      <alignment vertical="top" wrapText="1"/>
    </xf>
    <xf numFmtId="0" fontId="43" fillId="0" borderId="85" xfId="0" applyFont="1" applyBorder="1" applyAlignment="1">
      <alignment vertical="top" wrapText="1"/>
    </xf>
    <xf numFmtId="0" fontId="43" fillId="0" borderId="0" xfId="228" applyFont="1" applyAlignment="1">
      <alignment horizontal="left" vertical="center" wrapText="1"/>
    </xf>
    <xf numFmtId="0" fontId="43" fillId="0" borderId="5" xfId="0" applyFont="1" applyBorder="1" applyAlignment="1">
      <alignment horizontal="left" wrapText="1"/>
    </xf>
    <xf numFmtId="0" fontId="42" fillId="0" borderId="0" xfId="0" applyFont="1" applyAlignment="1">
      <alignment horizontal="center" vertical="top" wrapText="1"/>
    </xf>
    <xf numFmtId="43" fontId="42" fillId="0" borderId="0" xfId="166" applyFont="1" applyFill="1" applyBorder="1" applyAlignment="1">
      <alignment horizontal="left" wrapText="1"/>
    </xf>
    <xf numFmtId="0" fontId="42" fillId="0" borderId="0" xfId="0" applyFont="1" applyAlignment="1">
      <alignment horizontal="center" vertical="top"/>
    </xf>
    <xf numFmtId="49" fontId="63" fillId="0" borderId="0" xfId="351" applyNumberFormat="1" applyFont="1" applyAlignment="1">
      <alignment vertical="top"/>
    </xf>
    <xf numFmtId="49" fontId="57" fillId="0" borderId="53" xfId="351" applyNumberFormat="1" applyFont="1" applyBorder="1" applyAlignment="1">
      <alignment horizontal="center" vertical="top" wrapText="1"/>
    </xf>
    <xf numFmtId="49" fontId="57" fillId="0" borderId="33" xfId="351" applyNumberFormat="1" applyFont="1" applyBorder="1" applyAlignment="1">
      <alignment horizontal="center" vertical="top" wrapText="1"/>
    </xf>
    <xf numFmtId="49" fontId="58" fillId="0" borderId="4" xfId="351" applyNumberFormat="1" applyFont="1" applyBorder="1" applyAlignment="1">
      <alignment horizontal="center" vertical="top" wrapText="1"/>
    </xf>
    <xf numFmtId="49" fontId="58" fillId="0" borderId="0" xfId="351" applyNumberFormat="1" applyFont="1" applyAlignment="1">
      <alignment horizontal="center" vertical="top" wrapText="1"/>
    </xf>
    <xf numFmtId="49" fontId="57" fillId="0" borderId="53" xfId="351" applyNumberFormat="1" applyFont="1" applyBorder="1" applyAlignment="1">
      <alignment horizontal="center" vertical="top"/>
    </xf>
    <xf numFmtId="49" fontId="57" fillId="0" borderId="33" xfId="351" applyNumberFormat="1" applyFont="1" applyBorder="1" applyAlignment="1">
      <alignment horizontal="center" vertical="top"/>
    </xf>
    <xf numFmtId="49" fontId="72" fillId="0" borderId="0" xfId="351" applyNumberFormat="1" applyFont="1" applyAlignment="1">
      <alignment vertical="top"/>
    </xf>
    <xf numFmtId="49" fontId="63" fillId="0" borderId="31" xfId="351" applyNumberFormat="1" applyFont="1" applyBorder="1" applyAlignment="1">
      <alignment vertical="top"/>
    </xf>
    <xf numFmtId="49" fontId="72" fillId="0" borderId="33" xfId="351" applyNumberFormat="1" applyFont="1" applyBorder="1" applyAlignment="1">
      <alignment vertical="top"/>
    </xf>
    <xf numFmtId="0" fontId="55" fillId="0" borderId="42" xfId="0" applyFont="1" applyBorder="1" applyAlignment="1">
      <alignment horizontal="center"/>
    </xf>
    <xf numFmtId="0" fontId="55" fillId="0" borderId="43" xfId="0" applyFont="1" applyBorder="1" applyAlignment="1">
      <alignment horizontal="center"/>
    </xf>
    <xf numFmtId="0" fontId="55" fillId="0" borderId="44" xfId="0" applyFont="1" applyBorder="1" applyAlignment="1">
      <alignment horizontal="center"/>
    </xf>
    <xf numFmtId="0" fontId="55" fillId="0" borderId="0" xfId="0" applyFont="1" applyAlignment="1">
      <alignment horizontal="center"/>
    </xf>
    <xf numFmtId="49" fontId="57" fillId="0" borderId="73" xfId="0" applyNumberFormat="1" applyFont="1" applyBorder="1" applyAlignment="1">
      <alignment horizontal="center" vertical="top"/>
    </xf>
    <xf numFmtId="49" fontId="57" fillId="0" borderId="60" xfId="0" applyNumberFormat="1" applyFont="1" applyBorder="1" applyAlignment="1">
      <alignment horizontal="center" vertical="top"/>
    </xf>
    <xf numFmtId="49" fontId="57" fillId="0" borderId="42" xfId="0" applyNumberFormat="1" applyFont="1" applyBorder="1" applyAlignment="1">
      <alignment horizontal="center" vertical="top" wrapText="1"/>
    </xf>
    <xf numFmtId="49" fontId="57" fillId="0" borderId="44" xfId="0" applyNumberFormat="1" applyFont="1" applyBorder="1" applyAlignment="1">
      <alignment horizontal="center" vertical="top" wrapText="1"/>
    </xf>
    <xf numFmtId="49" fontId="57" fillId="0" borderId="43" xfId="0" applyNumberFormat="1" applyFont="1" applyBorder="1" applyAlignment="1">
      <alignment horizontal="center" vertical="top" wrapText="1"/>
    </xf>
    <xf numFmtId="49" fontId="57" fillId="0" borderId="32" xfId="0" applyNumberFormat="1" applyFont="1" applyBorder="1" applyAlignment="1">
      <alignment horizontal="center" vertical="top" wrapText="1"/>
    </xf>
    <xf numFmtId="49" fontId="57" fillId="0" borderId="38" xfId="0" applyNumberFormat="1" applyFont="1" applyBorder="1" applyAlignment="1">
      <alignment horizontal="center" vertical="top" wrapText="1"/>
    </xf>
    <xf numFmtId="49" fontId="57" fillId="0" borderId="31" xfId="0" applyNumberFormat="1" applyFont="1" applyBorder="1" applyAlignment="1">
      <alignment horizontal="center" vertical="top" wrapText="1"/>
    </xf>
    <xf numFmtId="49" fontId="57" fillId="0" borderId="62" xfId="0" applyNumberFormat="1" applyFont="1" applyBorder="1" applyAlignment="1">
      <alignment horizontal="center" vertical="top" wrapText="1"/>
    </xf>
    <xf numFmtId="49" fontId="57" fillId="0" borderId="1" xfId="353" applyNumberFormat="1" applyFont="1" applyBorder="1" applyAlignment="1">
      <alignment horizontal="center" vertical="top"/>
    </xf>
    <xf numFmtId="49" fontId="57" fillId="0" borderId="22" xfId="353" applyNumberFormat="1" applyFont="1" applyBorder="1" applyAlignment="1">
      <alignment horizontal="center" vertical="top"/>
    </xf>
    <xf numFmtId="49" fontId="72" fillId="0" borderId="0" xfId="353" applyNumberFormat="1" applyFont="1" applyAlignment="1">
      <alignment vertical="top"/>
    </xf>
    <xf numFmtId="49" fontId="63" fillId="0" borderId="0" xfId="353" applyNumberFormat="1" applyFont="1" applyAlignment="1">
      <alignment vertical="top"/>
    </xf>
    <xf numFmtId="49" fontId="63" fillId="0" borderId="31" xfId="353" applyNumberFormat="1" applyFont="1" applyBorder="1" applyAlignment="1">
      <alignment vertical="top"/>
    </xf>
    <xf numFmtId="49" fontId="72" fillId="0" borderId="33" xfId="353" applyNumberFormat="1" applyFont="1" applyBorder="1" applyAlignment="1">
      <alignment vertical="top"/>
    </xf>
    <xf numFmtId="49" fontId="60" fillId="0" borderId="33" xfId="353" applyNumberFormat="1" applyFont="1" applyBorder="1" applyAlignment="1">
      <alignment horizontal="center" vertical="top" wrapText="1"/>
    </xf>
    <xf numFmtId="49" fontId="57" fillId="0" borderId="4" xfId="353" applyNumberFormat="1" applyFont="1" applyBorder="1" applyAlignment="1">
      <alignment horizontal="center" vertical="top" wrapText="1"/>
    </xf>
    <xf numFmtId="49" fontId="57" fillId="0" borderId="0" xfId="353" applyNumberFormat="1" applyFont="1" applyAlignment="1">
      <alignment horizontal="center" vertical="top" wrapText="1"/>
    </xf>
    <xf numFmtId="49" fontId="58" fillId="0" borderId="34" xfId="353" applyNumberFormat="1" applyFont="1" applyBorder="1" applyAlignment="1">
      <alignment horizontal="center" vertical="top" wrapText="1"/>
    </xf>
    <xf numFmtId="49" fontId="58" fillId="0" borderId="31" xfId="353" applyNumberFormat="1" applyFont="1" applyBorder="1" applyAlignment="1">
      <alignment horizontal="center" vertical="top" wrapText="1"/>
    </xf>
    <xf numFmtId="49" fontId="57" fillId="0" borderId="53" xfId="352" applyNumberFormat="1" applyFont="1" applyBorder="1" applyAlignment="1">
      <alignment horizontal="center" vertical="top"/>
    </xf>
    <xf numFmtId="49" fontId="57" fillId="0" borderId="33" xfId="352" applyNumberFormat="1" applyFont="1" applyBorder="1" applyAlignment="1">
      <alignment horizontal="center" vertical="top"/>
    </xf>
    <xf numFmtId="49" fontId="72" fillId="0" borderId="0" xfId="352" applyNumberFormat="1" applyFont="1" applyAlignment="1">
      <alignment vertical="top"/>
    </xf>
    <xf numFmtId="49" fontId="63" fillId="0" borderId="0" xfId="352" applyNumberFormat="1" applyFont="1" applyAlignment="1">
      <alignment vertical="top"/>
    </xf>
    <xf numFmtId="49" fontId="63" fillId="0" borderId="31" xfId="352" applyNumberFormat="1" applyFont="1" applyBorder="1" applyAlignment="1">
      <alignment vertical="top"/>
    </xf>
    <xf numFmtId="49" fontId="72" fillId="0" borderId="33" xfId="352" applyNumberFormat="1" applyFont="1" applyBorder="1" applyAlignment="1">
      <alignment vertical="top"/>
    </xf>
    <xf numFmtId="49" fontId="60" fillId="0" borderId="33" xfId="352" applyNumberFormat="1" applyFont="1" applyBorder="1" applyAlignment="1">
      <alignment horizontal="center" vertical="top" wrapText="1"/>
    </xf>
    <xf numFmtId="49" fontId="57" fillId="0" borderId="4" xfId="352" applyNumberFormat="1" applyFont="1" applyBorder="1" applyAlignment="1">
      <alignment horizontal="center" vertical="top" wrapText="1"/>
    </xf>
    <xf numFmtId="49" fontId="57" fillId="0" borderId="0" xfId="352" applyNumberFormat="1" applyFont="1" applyAlignment="1">
      <alignment horizontal="center" vertical="top" wrapText="1"/>
    </xf>
    <xf numFmtId="49" fontId="58" fillId="0" borderId="4" xfId="352" applyNumberFormat="1" applyFont="1" applyBorder="1" applyAlignment="1">
      <alignment horizontal="center" vertical="top" wrapText="1"/>
    </xf>
    <xf numFmtId="49" fontId="58" fillId="0" borderId="0" xfId="352" applyNumberFormat="1" applyFont="1" applyAlignment="1">
      <alignment horizontal="center" vertical="top" wrapText="1"/>
    </xf>
    <xf numFmtId="0" fontId="55" fillId="0" borderId="0" xfId="0" applyFont="1" applyAlignment="1">
      <alignment horizontal="center" vertical="center"/>
    </xf>
    <xf numFmtId="49" fontId="57" fillId="44" borderId="34" xfId="0" applyNumberFormat="1" applyFont="1" applyFill="1" applyBorder="1" applyAlignment="1">
      <alignment horizontal="center" vertical="top"/>
    </xf>
    <xf numFmtId="49" fontId="57" fillId="44" borderId="31" xfId="0" applyNumberFormat="1" applyFont="1" applyFill="1" applyBorder="1" applyAlignment="1">
      <alignment horizontal="center" vertical="top"/>
    </xf>
    <xf numFmtId="49" fontId="57" fillId="44" borderId="20" xfId="0" applyNumberFormat="1" applyFont="1" applyFill="1" applyBorder="1" applyAlignment="1">
      <alignment horizontal="center" vertical="top"/>
    </xf>
    <xf numFmtId="186" fontId="57" fillId="44" borderId="1" xfId="0" applyNumberFormat="1" applyFont="1" applyFill="1" applyBorder="1" applyAlignment="1">
      <alignment horizontal="right" vertical="top" wrapText="1"/>
    </xf>
    <xf numFmtId="171" fontId="60" fillId="44" borderId="35" xfId="0" applyNumberFormat="1" applyFont="1" applyFill="1" applyBorder="1" applyAlignment="1">
      <alignment horizontal="right" vertical="top" wrapText="1"/>
    </xf>
    <xf numFmtId="186" fontId="57" fillId="44" borderId="35" xfId="0" applyNumberFormat="1" applyFont="1" applyFill="1" applyBorder="1" applyAlignment="1">
      <alignment horizontal="right" vertical="top" wrapText="1"/>
    </xf>
    <xf numFmtId="186" fontId="60" fillId="44" borderId="1" xfId="0" applyNumberFormat="1" applyFont="1" applyFill="1" applyBorder="1" applyAlignment="1">
      <alignment horizontal="right" vertical="top" wrapText="1"/>
    </xf>
    <xf numFmtId="171" fontId="58" fillId="44" borderId="35" xfId="0" applyNumberFormat="1" applyFont="1" applyFill="1" applyBorder="1" applyAlignment="1">
      <alignment horizontal="right" vertical="top" wrapText="1"/>
    </xf>
    <xf numFmtId="186" fontId="60" fillId="44" borderId="35" xfId="0" applyNumberFormat="1" applyFont="1" applyFill="1" applyBorder="1" applyAlignment="1">
      <alignment horizontal="right" vertical="top" wrapText="1"/>
    </xf>
    <xf numFmtId="170" fontId="60" fillId="44" borderId="1" xfId="0" applyNumberFormat="1" applyFont="1" applyFill="1" applyBorder="1" applyAlignment="1">
      <alignment horizontal="right" vertical="top"/>
    </xf>
    <xf numFmtId="170" fontId="60" fillId="44" borderId="22" xfId="0" applyNumberFormat="1" applyFont="1" applyFill="1" applyBorder="1" applyAlignment="1">
      <alignment horizontal="right" vertical="top"/>
    </xf>
    <xf numFmtId="49" fontId="72" fillId="44" borderId="0" xfId="0" applyNumberFormat="1" applyFont="1" applyFill="1" applyAlignment="1">
      <alignment vertical="top"/>
    </xf>
    <xf numFmtId="49" fontId="63" fillId="44" borderId="31" xfId="0" applyNumberFormat="1" applyFont="1" applyFill="1" applyBorder="1" applyAlignment="1">
      <alignment vertical="top"/>
    </xf>
    <xf numFmtId="49" fontId="57" fillId="44" borderId="33" xfId="0" applyNumberFormat="1" applyFont="1" applyFill="1" applyBorder="1" applyAlignment="1">
      <alignment horizontal="center" vertical="top" wrapText="1"/>
    </xf>
    <xf numFmtId="49" fontId="57" fillId="44" borderId="4" xfId="0" applyNumberFormat="1" applyFont="1" applyFill="1" applyBorder="1" applyAlignment="1">
      <alignment horizontal="center" vertical="top" wrapText="1"/>
    </xf>
    <xf numFmtId="49" fontId="57" fillId="44" borderId="0" xfId="0" applyNumberFormat="1" applyFont="1" applyFill="1" applyAlignment="1">
      <alignment horizontal="center" vertical="top" wrapText="1"/>
    </xf>
    <xf numFmtId="49" fontId="57" fillId="44" borderId="4" xfId="0" applyNumberFormat="1" applyFont="1" applyFill="1" applyBorder="1" applyAlignment="1">
      <alignment horizontal="center" vertical="top"/>
    </xf>
    <xf numFmtId="49" fontId="57" fillId="44" borderId="0" xfId="0" applyNumberFormat="1" applyFont="1" applyFill="1" applyAlignment="1">
      <alignment horizontal="center" vertical="top"/>
    </xf>
    <xf numFmtId="49" fontId="57" fillId="44" borderId="19" xfId="0" applyNumberFormat="1" applyFont="1" applyFill="1" applyBorder="1" applyAlignment="1">
      <alignment horizontal="center" vertical="top"/>
    </xf>
    <xf numFmtId="0" fontId="0" fillId="0" borderId="0" xfId="0" applyAlignment="1">
      <alignment horizontal="center"/>
    </xf>
    <xf numFmtId="49" fontId="7" fillId="0" borderId="0" xfId="0" applyNumberFormat="1" applyFont="1" applyAlignment="1">
      <alignment vertical="top"/>
    </xf>
    <xf numFmtId="49" fontId="101" fillId="0" borderId="53" xfId="0" applyNumberFormat="1" applyFont="1" applyBorder="1" applyAlignment="1">
      <alignment horizontal="center" vertical="top" wrapText="1"/>
    </xf>
    <xf numFmtId="49" fontId="101" fillId="0" borderId="33" xfId="0" applyNumberFormat="1" applyFont="1" applyBorder="1" applyAlignment="1">
      <alignment horizontal="center" vertical="top" wrapText="1"/>
    </xf>
    <xf numFmtId="49" fontId="50" fillId="0" borderId="4" xfId="0" applyNumberFormat="1" applyFont="1" applyBorder="1" applyAlignment="1">
      <alignment horizontal="center" vertical="top" wrapText="1"/>
    </xf>
    <xf numFmtId="49" fontId="50" fillId="0" borderId="0" xfId="0" applyNumberFormat="1" applyFont="1" applyAlignment="1">
      <alignment horizontal="center" vertical="top" wrapText="1"/>
    </xf>
    <xf numFmtId="49" fontId="101" fillId="0" borderId="53" xfId="0" applyNumberFormat="1" applyFont="1" applyBorder="1" applyAlignment="1">
      <alignment horizontal="center" vertical="top"/>
    </xf>
    <xf numFmtId="49" fontId="101" fillId="0" borderId="33" xfId="0" applyNumberFormat="1" applyFont="1" applyBorder="1" applyAlignment="1">
      <alignment horizontal="center" vertical="top"/>
    </xf>
    <xf numFmtId="49" fontId="103" fillId="0" borderId="0" xfId="0" applyNumberFormat="1" applyFont="1" applyAlignment="1">
      <alignment vertical="top"/>
    </xf>
    <xf numFmtId="49" fontId="7" fillId="0" borderId="31" xfId="0" applyNumberFormat="1" applyFont="1" applyBorder="1" applyAlignment="1">
      <alignment vertical="top"/>
    </xf>
    <xf numFmtId="49" fontId="103" fillId="0" borderId="33" xfId="0" applyNumberFormat="1" applyFont="1" applyBorder="1" applyAlignment="1">
      <alignment vertical="top"/>
    </xf>
    <xf numFmtId="0" fontId="76" fillId="52" borderId="37" xfId="0" applyFont="1" applyFill="1" applyBorder="1" applyAlignment="1">
      <alignment horizontal="center"/>
    </xf>
    <xf numFmtId="0" fontId="76" fillId="53" borderId="88" xfId="0" applyFont="1" applyFill="1" applyBorder="1" applyAlignment="1">
      <alignment horizontal="center"/>
    </xf>
    <xf numFmtId="0" fontId="78" fillId="0" borderId="34" xfId="0" applyFont="1" applyBorder="1" applyAlignment="1">
      <alignment horizontal="center"/>
    </xf>
    <xf numFmtId="0" fontId="78" fillId="0" borderId="20" xfId="0" applyFont="1" applyBorder="1" applyAlignment="1">
      <alignment horizontal="center"/>
    </xf>
    <xf numFmtId="49" fontId="126" fillId="0" borderId="1" xfId="0" applyNumberFormat="1" applyFont="1" applyBorder="1" applyAlignment="1">
      <alignment horizontal="center" vertical="top"/>
    </xf>
    <xf numFmtId="49" fontId="126" fillId="0" borderId="22" xfId="0" applyNumberFormat="1" applyFont="1" applyBorder="1" applyAlignment="1">
      <alignment horizontal="center" vertical="top"/>
    </xf>
    <xf numFmtId="49" fontId="126" fillId="0" borderId="0" xfId="0" applyNumberFormat="1" applyFont="1" applyAlignment="1">
      <alignment vertical="top"/>
    </xf>
    <xf numFmtId="49" fontId="126" fillId="0" borderId="33" xfId="0" applyNumberFormat="1" applyFont="1" applyBorder="1" applyAlignment="1">
      <alignment vertical="top"/>
    </xf>
    <xf numFmtId="49" fontId="127" fillId="0" borderId="0" xfId="0" applyNumberFormat="1" applyFont="1" applyAlignment="1">
      <alignment vertical="top"/>
    </xf>
    <xf numFmtId="49" fontId="57" fillId="0" borderId="1" xfId="0" applyNumberFormat="1" applyFont="1" applyBorder="1" applyAlignment="1">
      <alignment horizontal="center" vertical="top"/>
    </xf>
    <xf numFmtId="49" fontId="57" fillId="0" borderId="35" xfId="0" applyNumberFormat="1" applyFont="1" applyBorder="1" applyAlignment="1">
      <alignment horizontal="center" vertical="top"/>
    </xf>
    <xf numFmtId="49" fontId="58" fillId="0" borderId="34" xfId="0" applyNumberFormat="1" applyFont="1" applyBorder="1" applyAlignment="1">
      <alignment horizontal="center" vertical="top" wrapText="1"/>
    </xf>
    <xf numFmtId="49" fontId="57" fillId="36" borderId="15" xfId="0" applyNumberFormat="1" applyFont="1" applyFill="1" applyBorder="1" applyAlignment="1">
      <alignment horizontal="center" vertical="top"/>
    </xf>
    <xf numFmtId="49" fontId="72" fillId="36" borderId="15" xfId="0" applyNumberFormat="1" applyFont="1" applyFill="1" applyBorder="1" applyAlignment="1">
      <alignment vertical="top"/>
    </xf>
    <xf numFmtId="49" fontId="63" fillId="36" borderId="15" xfId="0" applyNumberFormat="1" applyFont="1" applyFill="1" applyBorder="1" applyAlignment="1">
      <alignment vertical="top"/>
    </xf>
    <xf numFmtId="49" fontId="57" fillId="36" borderId="15" xfId="0" applyNumberFormat="1" applyFont="1" applyFill="1" applyBorder="1" applyAlignment="1">
      <alignment horizontal="center" vertical="top" wrapText="1"/>
    </xf>
    <xf numFmtId="49" fontId="58" fillId="36" borderId="15" xfId="0" applyNumberFormat="1" applyFont="1" applyFill="1" applyBorder="1" applyAlignment="1">
      <alignment horizontal="center" vertical="top" wrapText="1"/>
    </xf>
    <xf numFmtId="49" fontId="57" fillId="36" borderId="37" xfId="0" applyNumberFormat="1" applyFont="1" applyFill="1" applyBorder="1" applyAlignment="1">
      <alignment horizontal="center" vertical="center"/>
    </xf>
    <xf numFmtId="49" fontId="57" fillId="36" borderId="88" xfId="0" applyNumberFormat="1" applyFont="1" applyFill="1" applyBorder="1" applyAlignment="1">
      <alignment horizontal="center" vertical="center"/>
    </xf>
    <xf numFmtId="49" fontId="57" fillId="36" borderId="24" xfId="0" applyNumberFormat="1" applyFont="1" applyFill="1" applyBorder="1" applyAlignment="1">
      <alignment horizontal="center" vertical="center"/>
    </xf>
    <xf numFmtId="49" fontId="70" fillId="44" borderId="34" xfId="0" applyNumberFormat="1" applyFont="1" applyFill="1" applyBorder="1" applyAlignment="1">
      <alignment horizontal="center" vertical="top"/>
    </xf>
    <xf numFmtId="49" fontId="70" fillId="44" borderId="31" xfId="0" applyNumberFormat="1" applyFont="1" applyFill="1" applyBorder="1" applyAlignment="1">
      <alignment horizontal="center" vertical="top"/>
    </xf>
    <xf numFmtId="49" fontId="70" fillId="44" borderId="20" xfId="0" applyNumberFormat="1" applyFont="1" applyFill="1" applyBorder="1" applyAlignment="1">
      <alignment horizontal="center" vertical="top"/>
    </xf>
    <xf numFmtId="186" fontId="70" fillId="44" borderId="1" xfId="0" applyNumberFormat="1" applyFont="1" applyFill="1" applyBorder="1" applyAlignment="1">
      <alignment horizontal="right" vertical="top" wrapText="1"/>
    </xf>
    <xf numFmtId="171" fontId="66" fillId="44" borderId="35" xfId="0" applyNumberFormat="1" applyFont="1" applyFill="1" applyBorder="1" applyAlignment="1">
      <alignment horizontal="right" vertical="top" wrapText="1"/>
    </xf>
    <xf numFmtId="186" fontId="70" fillId="44" borderId="35" xfId="0" applyNumberFormat="1" applyFont="1" applyFill="1" applyBorder="1" applyAlignment="1">
      <alignment horizontal="right" vertical="top" wrapText="1"/>
    </xf>
    <xf numFmtId="186" fontId="66" fillId="44" borderId="1" xfId="0" applyNumberFormat="1" applyFont="1" applyFill="1" applyBorder="1" applyAlignment="1">
      <alignment horizontal="right" vertical="top" wrapText="1"/>
    </xf>
    <xf numFmtId="171" fontId="65" fillId="44" borderId="35" xfId="0" applyNumberFormat="1" applyFont="1" applyFill="1" applyBorder="1" applyAlignment="1">
      <alignment horizontal="right" vertical="top" wrapText="1"/>
    </xf>
    <xf numFmtId="186" fontId="66" fillId="44" borderId="35" xfId="0" applyNumberFormat="1" applyFont="1" applyFill="1" applyBorder="1" applyAlignment="1">
      <alignment horizontal="right" vertical="top" wrapText="1"/>
    </xf>
    <xf numFmtId="170" fontId="66" fillId="44" borderId="1" xfId="0" applyNumberFormat="1" applyFont="1" applyFill="1" applyBorder="1" applyAlignment="1">
      <alignment horizontal="right" vertical="top"/>
    </xf>
    <xf numFmtId="170" fontId="66" fillId="44" borderId="22" xfId="0" applyNumberFormat="1" applyFont="1" applyFill="1" applyBorder="1" applyAlignment="1">
      <alignment horizontal="right" vertical="top"/>
    </xf>
    <xf numFmtId="49" fontId="99" fillId="44" borderId="0" xfId="0" applyNumberFormat="1" applyFont="1" applyFill="1" applyAlignment="1">
      <alignment vertical="top"/>
    </xf>
    <xf numFmtId="49" fontId="87" fillId="44" borderId="31" xfId="0" applyNumberFormat="1" applyFont="1" applyFill="1" applyBorder="1" applyAlignment="1">
      <alignment vertical="top"/>
    </xf>
    <xf numFmtId="49" fontId="70" fillId="44" borderId="33" xfId="0" applyNumberFormat="1" applyFont="1" applyFill="1" applyBorder="1" applyAlignment="1">
      <alignment horizontal="center" vertical="top" wrapText="1"/>
    </xf>
    <xf numFmtId="49" fontId="70" fillId="44" borderId="4" xfId="0" applyNumberFormat="1" applyFont="1" applyFill="1" applyBorder="1" applyAlignment="1">
      <alignment horizontal="center" vertical="top" wrapText="1"/>
    </xf>
    <xf numFmtId="49" fontId="70" fillId="44" borderId="0" xfId="0" applyNumberFormat="1" applyFont="1" applyFill="1" applyAlignment="1">
      <alignment horizontal="center" vertical="top" wrapText="1"/>
    </xf>
    <xf numFmtId="49" fontId="70" fillId="44" borderId="4" xfId="0" applyNumberFormat="1" applyFont="1" applyFill="1" applyBorder="1" applyAlignment="1">
      <alignment horizontal="center" vertical="top"/>
    </xf>
    <xf numFmtId="49" fontId="70" fillId="44" borderId="0" xfId="0" applyNumberFormat="1" applyFont="1" applyFill="1" applyAlignment="1">
      <alignment horizontal="center" vertical="top"/>
    </xf>
    <xf numFmtId="49" fontId="70" fillId="44" borderId="19" xfId="0" applyNumberFormat="1" applyFont="1" applyFill="1" applyBorder="1" applyAlignment="1">
      <alignment horizontal="center" vertical="top"/>
    </xf>
    <xf numFmtId="170" fontId="62" fillId="0" borderId="33" xfId="0" applyNumberFormat="1" applyFont="1" applyBorder="1" applyAlignment="1">
      <alignment horizontal="right" vertical="top"/>
    </xf>
    <xf numFmtId="49" fontId="62" fillId="44" borderId="34" xfId="0" applyNumberFormat="1" applyFont="1" applyFill="1" applyBorder="1" applyAlignment="1">
      <alignment horizontal="left" vertical="top" wrapText="1"/>
    </xf>
    <xf numFmtId="0" fontId="0" fillId="0" borderId="31" xfId="0" applyBorder="1" applyAlignment="1">
      <alignment wrapText="1"/>
    </xf>
    <xf numFmtId="0" fontId="0" fillId="0" borderId="20" xfId="0" applyBorder="1" applyAlignment="1">
      <alignment wrapText="1"/>
    </xf>
    <xf numFmtId="49" fontId="57" fillId="44" borderId="1" xfId="0" applyNumberFormat="1" applyFont="1" applyFill="1" applyBorder="1" applyAlignment="1">
      <alignment horizontal="center" vertical="top" wrapText="1"/>
    </xf>
    <xf numFmtId="0" fontId="0" fillId="0" borderId="35" xfId="0" applyBorder="1" applyAlignment="1">
      <alignment wrapText="1"/>
    </xf>
    <xf numFmtId="49" fontId="58" fillId="44" borderId="1" xfId="0" applyNumberFormat="1" applyFont="1" applyFill="1" applyBorder="1" applyAlignment="1">
      <alignment horizontal="center" vertical="top" wrapText="1"/>
    </xf>
    <xf numFmtId="0" fontId="0" fillId="0" borderId="22" xfId="0" applyBorder="1" applyAlignment="1">
      <alignment wrapText="1"/>
    </xf>
    <xf numFmtId="49" fontId="72" fillId="44" borderId="0" xfId="0" applyNumberFormat="1" applyFont="1" applyFill="1" applyAlignment="1">
      <alignment vertical="top" wrapText="1"/>
    </xf>
    <xf numFmtId="49" fontId="62" fillId="44" borderId="0" xfId="0" applyNumberFormat="1" applyFont="1" applyFill="1" applyAlignment="1">
      <alignment vertical="top" wrapText="1"/>
    </xf>
    <xf numFmtId="49" fontId="63" fillId="44" borderId="31" xfId="0" applyNumberFormat="1" applyFont="1" applyFill="1" applyBorder="1" applyAlignment="1">
      <alignment vertical="top" wrapText="1"/>
    </xf>
    <xf numFmtId="49" fontId="62" fillId="44" borderId="33" xfId="0" applyNumberFormat="1" applyFont="1" applyFill="1" applyBorder="1" applyAlignment="1">
      <alignment horizontal="left" vertical="top" wrapText="1"/>
    </xf>
    <xf numFmtId="49" fontId="62" fillId="44" borderId="4" xfId="0" applyNumberFormat="1" applyFont="1" applyFill="1" applyBorder="1" applyAlignment="1">
      <alignment horizontal="left" vertical="top" wrapText="1"/>
    </xf>
    <xf numFmtId="0" fontId="0" fillId="0" borderId="0" xfId="0" applyAlignment="1">
      <alignment wrapText="1"/>
    </xf>
    <xf numFmtId="49" fontId="72" fillId="44" borderId="4" xfId="0" applyNumberFormat="1" applyFont="1" applyFill="1" applyBorder="1" applyAlignment="1">
      <alignment horizontal="left" vertical="top" wrapText="1"/>
    </xf>
    <xf numFmtId="0" fontId="0" fillId="0" borderId="19" xfId="0" applyBorder="1" applyAlignment="1">
      <alignment wrapText="1"/>
    </xf>
    <xf numFmtId="49" fontId="57" fillId="41" borderId="34" xfId="0" applyNumberFormat="1" applyFont="1" applyFill="1" applyBorder="1" applyAlignment="1">
      <alignment horizontal="center" vertical="top"/>
    </xf>
    <xf numFmtId="49" fontId="57" fillId="41" borderId="31" xfId="0" applyNumberFormat="1" applyFont="1" applyFill="1" applyBorder="1" applyAlignment="1">
      <alignment horizontal="center" vertical="top"/>
    </xf>
    <xf numFmtId="49" fontId="57" fillId="41" borderId="20" xfId="0" applyNumberFormat="1" applyFont="1" applyFill="1" applyBorder="1" applyAlignment="1">
      <alignment horizontal="center" vertical="top"/>
    </xf>
    <xf numFmtId="186" fontId="57" fillId="41" borderId="1" xfId="0" applyNumberFormat="1" applyFont="1" applyFill="1" applyBorder="1" applyAlignment="1">
      <alignment horizontal="right" vertical="top" wrapText="1"/>
    </xf>
    <xf numFmtId="170" fontId="60" fillId="41" borderId="35" xfId="0" applyNumberFormat="1" applyFont="1" applyFill="1" applyBorder="1" applyAlignment="1">
      <alignment horizontal="right" vertical="top" wrapText="1"/>
    </xf>
    <xf numFmtId="186" fontId="57" fillId="41" borderId="35" xfId="0" applyNumberFormat="1" applyFont="1" applyFill="1" applyBorder="1" applyAlignment="1">
      <alignment horizontal="right" vertical="top" wrapText="1"/>
    </xf>
    <xf numFmtId="186" fontId="58" fillId="41" borderId="1" xfId="0" applyNumberFormat="1" applyFont="1" applyFill="1" applyBorder="1" applyAlignment="1">
      <alignment horizontal="right" vertical="top" wrapText="1"/>
    </xf>
    <xf numFmtId="170" fontId="58" fillId="41" borderId="35" xfId="0" applyNumberFormat="1" applyFont="1" applyFill="1" applyBorder="1" applyAlignment="1">
      <alignment horizontal="right" vertical="top" wrapText="1"/>
    </xf>
    <xf numFmtId="186" fontId="58" fillId="41" borderId="35" xfId="0" applyNumberFormat="1" applyFont="1" applyFill="1" applyBorder="1" applyAlignment="1">
      <alignment horizontal="right" vertical="top" wrapText="1"/>
    </xf>
    <xf numFmtId="171" fontId="60" fillId="41" borderId="1" xfId="0" applyNumberFormat="1" applyFont="1" applyFill="1" applyBorder="1" applyAlignment="1">
      <alignment horizontal="right" vertical="top"/>
    </xf>
    <xf numFmtId="171" fontId="60" fillId="41" borderId="22" xfId="0" applyNumberFormat="1" applyFont="1" applyFill="1" applyBorder="1" applyAlignment="1">
      <alignment horizontal="right" vertical="top"/>
    </xf>
    <xf numFmtId="49" fontId="72" fillId="41" borderId="0" xfId="0" applyNumberFormat="1" applyFont="1" applyFill="1" applyAlignment="1">
      <alignment vertical="top"/>
    </xf>
    <xf numFmtId="49" fontId="63" fillId="41" borderId="31" xfId="0" applyNumberFormat="1" applyFont="1" applyFill="1" applyBorder="1" applyAlignment="1">
      <alignment vertical="top"/>
    </xf>
    <xf numFmtId="49" fontId="57" fillId="41" borderId="33" xfId="0" applyNumberFormat="1" applyFont="1" applyFill="1" applyBorder="1" applyAlignment="1">
      <alignment horizontal="center" vertical="top" wrapText="1"/>
    </xf>
    <xf numFmtId="49" fontId="57" fillId="41" borderId="4" xfId="0" applyNumberFormat="1" applyFont="1" applyFill="1" applyBorder="1" applyAlignment="1">
      <alignment horizontal="center" vertical="top" wrapText="1"/>
    </xf>
    <xf numFmtId="49" fontId="57" fillId="41" borderId="0" xfId="0" applyNumberFormat="1" applyFont="1" applyFill="1" applyAlignment="1">
      <alignment horizontal="center" vertical="top" wrapText="1"/>
    </xf>
    <xf numFmtId="49" fontId="57" fillId="41" borderId="4" xfId="0" applyNumberFormat="1" applyFont="1" applyFill="1" applyBorder="1" applyAlignment="1">
      <alignment horizontal="center" vertical="top"/>
    </xf>
    <xf numFmtId="49" fontId="57" fillId="41" borderId="0" xfId="0" applyNumberFormat="1" applyFont="1" applyFill="1" applyAlignment="1">
      <alignment horizontal="center" vertical="top"/>
    </xf>
    <xf numFmtId="49" fontId="57" fillId="41" borderId="19" xfId="0" applyNumberFormat="1" applyFont="1" applyFill="1" applyBorder="1" applyAlignment="1">
      <alignment horizontal="center" vertical="top"/>
    </xf>
    <xf numFmtId="43" fontId="37" fillId="0" borderId="32" xfId="166" applyFont="1" applyFill="1" applyBorder="1" applyAlignment="1">
      <alignment horizontal="left" vertical="top" wrapText="1"/>
    </xf>
    <xf numFmtId="43" fontId="37" fillId="0" borderId="0" xfId="166" applyFont="1" applyFill="1" applyBorder="1" applyAlignment="1">
      <alignment horizontal="left" vertical="top" wrapText="1"/>
    </xf>
    <xf numFmtId="0" fontId="37" fillId="0" borderId="42" xfId="0" applyFont="1" applyBorder="1" applyAlignment="1">
      <alignment horizontal="left" vertical="top" wrapText="1"/>
    </xf>
    <xf numFmtId="0" fontId="37" fillId="0" borderId="43" xfId="0" applyFont="1" applyBorder="1" applyAlignment="1">
      <alignment horizontal="left" vertical="top" wrapText="1"/>
    </xf>
    <xf numFmtId="43" fontId="37" fillId="0" borderId="32" xfId="166" applyFont="1" applyBorder="1" applyAlignment="1">
      <alignment horizontal="left" wrapText="1"/>
    </xf>
    <xf numFmtId="43" fontId="37" fillId="0" borderId="0" xfId="166" applyFont="1" applyBorder="1" applyAlignment="1">
      <alignment horizontal="left" wrapText="1"/>
    </xf>
    <xf numFmtId="0" fontId="37" fillId="0" borderId="32" xfId="0" applyFont="1" applyBorder="1" applyAlignment="1">
      <alignment horizontal="left" vertical="top" wrapText="1"/>
    </xf>
    <xf numFmtId="0" fontId="37" fillId="0" borderId="0" xfId="0" applyFont="1" applyAlignment="1">
      <alignment horizontal="left" vertical="top" wrapText="1"/>
    </xf>
    <xf numFmtId="49" fontId="62" fillId="0" borderId="0" xfId="0" applyNumberFormat="1" applyFont="1" applyAlignment="1">
      <alignment vertical="top"/>
    </xf>
    <xf numFmtId="49" fontId="60" fillId="0" borderId="1" xfId="0" applyNumberFormat="1" applyFont="1" applyBorder="1" applyAlignment="1">
      <alignment horizontal="center" vertical="top" wrapText="1"/>
    </xf>
    <xf numFmtId="49" fontId="60" fillId="0" borderId="35" xfId="0" applyNumberFormat="1" applyFont="1" applyBorder="1" applyAlignment="1">
      <alignment horizontal="center" vertical="top" wrapText="1"/>
    </xf>
    <xf numFmtId="49" fontId="62" fillId="0" borderId="33" xfId="0" applyNumberFormat="1" applyFont="1" applyBorder="1" applyAlignment="1">
      <alignment horizontal="left" vertical="top"/>
    </xf>
    <xf numFmtId="49" fontId="62" fillId="0" borderId="34" xfId="0" applyNumberFormat="1" applyFont="1" applyBorder="1" applyAlignment="1">
      <alignment horizontal="left" vertical="top"/>
    </xf>
    <xf numFmtId="49" fontId="62" fillId="0" borderId="31" xfId="0" applyNumberFormat="1" applyFont="1" applyBorder="1" applyAlignment="1">
      <alignment horizontal="left" vertical="top"/>
    </xf>
    <xf numFmtId="49" fontId="72" fillId="0" borderId="53" xfId="0" applyNumberFormat="1" applyFont="1" applyBorder="1" applyAlignment="1">
      <alignment horizontal="left" vertical="top"/>
    </xf>
    <xf numFmtId="49" fontId="72" fillId="0" borderId="33" xfId="0" applyNumberFormat="1" applyFont="1" applyBorder="1" applyAlignment="1">
      <alignment horizontal="left" vertical="top"/>
    </xf>
    <xf numFmtId="49" fontId="62" fillId="0" borderId="20" xfId="0" applyNumberFormat="1" applyFont="1" applyBorder="1" applyAlignment="1">
      <alignment horizontal="left" vertical="top"/>
    </xf>
    <xf numFmtId="49" fontId="59" fillId="0" borderId="32" xfId="0" applyNumberFormat="1" applyFont="1" applyBorder="1" applyAlignment="1">
      <alignment horizontal="left" vertical="top"/>
    </xf>
    <xf numFmtId="49" fontId="59" fillId="0" borderId="0" xfId="0" applyNumberFormat="1" applyFont="1" applyAlignment="1">
      <alignment horizontal="left" vertical="top"/>
    </xf>
    <xf numFmtId="49" fontId="57" fillId="0" borderId="1" xfId="0" applyNumberFormat="1" applyFont="1" applyBorder="1" applyAlignment="1">
      <alignment horizontal="center" vertical="top" wrapText="1"/>
    </xf>
    <xf numFmtId="49" fontId="57" fillId="0" borderId="35" xfId="0" applyNumberFormat="1" applyFont="1" applyBorder="1" applyAlignment="1">
      <alignment horizontal="center" vertical="top" wrapText="1"/>
    </xf>
    <xf numFmtId="0" fontId="59" fillId="0" borderId="42" xfId="0" applyFont="1" applyBorder="1" applyAlignment="1">
      <alignment horizontal="left" vertical="center"/>
    </xf>
    <xf numFmtId="0" fontId="59" fillId="0" borderId="43" xfId="0" applyFont="1" applyBorder="1" applyAlignment="1">
      <alignment horizontal="left" vertical="center"/>
    </xf>
    <xf numFmtId="43" fontId="37" fillId="0" borderId="32" xfId="166" applyFont="1" applyFill="1" applyBorder="1" applyAlignment="1">
      <alignment horizontal="left" wrapText="1"/>
    </xf>
    <xf numFmtId="43" fontId="37" fillId="0" borderId="0" xfId="166" applyFont="1" applyFill="1" applyBorder="1" applyAlignment="1">
      <alignment horizontal="left" wrapText="1"/>
    </xf>
    <xf numFmtId="0" fontId="36" fillId="0" borderId="42" xfId="0" applyFont="1" applyBorder="1" applyAlignment="1">
      <alignment horizontal="center" vertical="top"/>
    </xf>
    <xf numFmtId="0" fontId="36" fillId="0" borderId="45" xfId="0" applyFont="1" applyBorder="1" applyAlignment="1">
      <alignment horizontal="center" vertical="top"/>
    </xf>
    <xf numFmtId="0" fontId="36" fillId="35" borderId="69" xfId="0" applyFont="1" applyFill="1" applyBorder="1" applyAlignment="1">
      <alignment horizontal="center" vertical="top" wrapText="1"/>
    </xf>
    <xf numFmtId="0" fontId="36" fillId="35" borderId="85" xfId="0" applyFont="1" applyFill="1" applyBorder="1" applyAlignment="1">
      <alignment horizontal="center" vertical="top" wrapText="1"/>
    </xf>
    <xf numFmtId="0" fontId="36" fillId="0" borderId="69" xfId="0" applyFont="1" applyBorder="1" applyAlignment="1">
      <alignment horizontal="center" vertical="top" wrapText="1"/>
    </xf>
    <xf numFmtId="0" fontId="36" fillId="0" borderId="79" xfId="0" applyFont="1" applyBorder="1" applyAlignment="1">
      <alignment horizontal="center" vertical="top" wrapText="1"/>
    </xf>
    <xf numFmtId="0" fontId="36" fillId="29" borderId="42" xfId="228" applyFont="1" applyFill="1" applyBorder="1" applyAlignment="1">
      <alignment horizontal="center" vertical="top"/>
    </xf>
    <xf numFmtId="0" fontId="36" fillId="29" borderId="43" xfId="228" applyFont="1" applyFill="1" applyBorder="1" applyAlignment="1">
      <alignment horizontal="center" vertical="top"/>
    </xf>
    <xf numFmtId="0" fontId="36" fillId="29" borderId="44" xfId="228" applyFont="1" applyFill="1" applyBorder="1" applyAlignment="1">
      <alignment horizontal="center" vertical="top"/>
    </xf>
    <xf numFmtId="0" fontId="39" fillId="0" borderId="32" xfId="0" applyFont="1" applyBorder="1" applyAlignment="1">
      <alignment horizontal="center" vertical="top"/>
    </xf>
    <xf numFmtId="0" fontId="39" fillId="0" borderId="0" xfId="0" applyFont="1" applyAlignment="1">
      <alignment horizontal="center" vertical="top"/>
    </xf>
    <xf numFmtId="0" fontId="39" fillId="0" borderId="38" xfId="0" applyFont="1" applyBorder="1" applyAlignment="1">
      <alignment horizontal="center" vertical="top"/>
    </xf>
    <xf numFmtId="0" fontId="40" fillId="0" borderId="32" xfId="0" applyFont="1" applyBorder="1" applyAlignment="1">
      <alignment horizontal="center" vertical="top"/>
    </xf>
    <xf numFmtId="0" fontId="40" fillId="0" borderId="0" xfId="0" applyFont="1" applyAlignment="1">
      <alignment horizontal="center" vertical="top"/>
    </xf>
    <xf numFmtId="0" fontId="40" fillId="0" borderId="38" xfId="0" applyFont="1" applyBorder="1" applyAlignment="1">
      <alignment horizontal="center" vertical="top"/>
    </xf>
    <xf numFmtId="0" fontId="36" fillId="0" borderId="6" xfId="0" applyFont="1" applyBorder="1" applyAlignment="1">
      <alignment horizontal="right" vertical="top"/>
    </xf>
    <xf numFmtId="0" fontId="36" fillId="0" borderId="65" xfId="0" applyFont="1" applyBorder="1" applyAlignment="1">
      <alignment horizontal="right" vertical="top"/>
    </xf>
    <xf numFmtId="43" fontId="36" fillId="35" borderId="69" xfId="166" applyFont="1" applyFill="1" applyBorder="1" applyAlignment="1">
      <alignment horizontal="center" vertical="top" wrapText="1"/>
    </xf>
    <xf numFmtId="43" fontId="36" fillId="35" borderId="85" xfId="166" applyFont="1" applyFill="1" applyBorder="1" applyAlignment="1">
      <alignment horizontal="center" vertical="top" wrapText="1"/>
    </xf>
    <xf numFmtId="43" fontId="36" fillId="0" borderId="69" xfId="166" applyFont="1" applyFill="1" applyBorder="1" applyAlignment="1">
      <alignment horizontal="center" vertical="top" wrapText="1"/>
    </xf>
    <xf numFmtId="43" fontId="36" fillId="0" borderId="79" xfId="166" applyFont="1" applyFill="1" applyBorder="1" applyAlignment="1">
      <alignment horizontal="center" vertical="top" wrapText="1"/>
    </xf>
    <xf numFmtId="0" fontId="37" fillId="0" borderId="19" xfId="0" applyFont="1" applyBorder="1" applyAlignment="1">
      <alignment horizontal="left" vertical="top" wrapText="1"/>
    </xf>
    <xf numFmtId="0" fontId="36" fillId="0" borderId="40" xfId="0" applyFont="1" applyBorder="1" applyAlignment="1">
      <alignment horizontal="left" vertical="top" wrapText="1"/>
    </xf>
    <xf numFmtId="0" fontId="36" fillId="0" borderId="41" xfId="0" applyFont="1" applyBorder="1" applyAlignment="1">
      <alignment horizontal="left" vertical="top" wrapText="1"/>
    </xf>
    <xf numFmtId="0" fontId="38" fillId="0" borderId="32" xfId="0" applyFont="1" applyBorder="1" applyAlignment="1">
      <alignment horizontal="left" vertical="top" wrapText="1"/>
    </xf>
    <xf numFmtId="0" fontId="38" fillId="0" borderId="19" xfId="0" applyFont="1" applyBorder="1" applyAlignment="1">
      <alignment horizontal="left" vertical="top" wrapText="1"/>
    </xf>
    <xf numFmtId="0" fontId="36" fillId="0" borderId="6" xfId="0" applyFont="1" applyBorder="1" applyAlignment="1">
      <alignment horizontal="left" vertical="top" wrapText="1"/>
    </xf>
    <xf numFmtId="0" fontId="36" fillId="0" borderId="65" xfId="0" applyFont="1" applyBorder="1" applyAlignment="1">
      <alignment horizontal="left" vertical="top" wrapText="1"/>
    </xf>
    <xf numFmtId="177" fontId="36" fillId="0" borderId="0" xfId="0" applyNumberFormat="1" applyFont="1" applyAlignment="1">
      <alignment horizontal="left" vertical="top"/>
    </xf>
    <xf numFmtId="178" fontId="6" fillId="0" borderId="0" xfId="0" applyNumberFormat="1" applyFont="1" applyAlignment="1">
      <alignment horizontal="left" vertical="top"/>
    </xf>
    <xf numFmtId="0" fontId="6" fillId="0" borderId="0" xfId="0" applyFont="1" applyAlignment="1">
      <alignment horizontal="left" vertical="top"/>
    </xf>
    <xf numFmtId="0" fontId="6" fillId="0" borderId="38" xfId="0" applyFont="1" applyBorder="1" applyAlignment="1">
      <alignment horizontal="left" vertical="top"/>
    </xf>
    <xf numFmtId="0" fontId="6" fillId="0" borderId="6" xfId="0" applyFont="1" applyBorder="1" applyAlignment="1">
      <alignment horizontal="left" vertical="top"/>
    </xf>
    <xf numFmtId="0" fontId="6" fillId="0" borderId="65" xfId="0" applyFont="1" applyBorder="1" applyAlignment="1">
      <alignment horizontal="left" vertical="top"/>
    </xf>
    <xf numFmtId="0" fontId="37" fillId="0" borderId="32" xfId="0" applyFont="1" applyBorder="1" applyAlignment="1">
      <alignment horizontal="left" vertical="top" wrapText="1" indent="2"/>
    </xf>
    <xf numFmtId="0" fontId="37" fillId="0" borderId="19" xfId="0" applyFont="1" applyBorder="1" applyAlignment="1">
      <alignment horizontal="left" vertical="top" wrapText="1" indent="2"/>
    </xf>
    <xf numFmtId="0" fontId="77" fillId="52" borderId="37" xfId="0" applyFont="1" applyFill="1" applyBorder="1" applyAlignment="1">
      <alignment horizontal="center"/>
    </xf>
    <xf numFmtId="0" fontId="77" fillId="53" borderId="88" xfId="0" applyFont="1" applyFill="1" applyBorder="1" applyAlignment="1">
      <alignment horizontal="center"/>
    </xf>
  </cellXfs>
  <cellStyles count="359">
    <cellStyle name="20% - Accent1 2" xfId="1" xr:uid="{00000000-0005-0000-0000-000000000000}"/>
    <cellStyle name="20% - Accent1 3" xfId="2" xr:uid="{00000000-0005-0000-0000-000001000000}"/>
    <cellStyle name="20% - Accent1 4" xfId="3" xr:uid="{00000000-0005-0000-0000-000002000000}"/>
    <cellStyle name="20% - Accent1 5" xfId="4" xr:uid="{00000000-0005-0000-0000-000003000000}"/>
    <cellStyle name="20% - Accent1 6"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2 5" xfId="9" xr:uid="{00000000-0005-0000-0000-000008000000}"/>
    <cellStyle name="20% - Accent2 6" xfId="10" xr:uid="{00000000-0005-0000-0000-000009000000}"/>
    <cellStyle name="20% - Accent3 2" xfId="11" xr:uid="{00000000-0005-0000-0000-00000A000000}"/>
    <cellStyle name="20% - Accent3 3" xfId="12" xr:uid="{00000000-0005-0000-0000-00000B000000}"/>
    <cellStyle name="20% - Accent3 4" xfId="13" xr:uid="{00000000-0005-0000-0000-00000C000000}"/>
    <cellStyle name="20% - Accent3 5" xfId="14" xr:uid="{00000000-0005-0000-0000-00000D000000}"/>
    <cellStyle name="20% - Accent3 6" xfId="15" xr:uid="{00000000-0005-0000-0000-00000E000000}"/>
    <cellStyle name="20% - Accent4 2" xfId="16" xr:uid="{00000000-0005-0000-0000-00000F000000}"/>
    <cellStyle name="20% - Accent4 3" xfId="17" xr:uid="{00000000-0005-0000-0000-000010000000}"/>
    <cellStyle name="20% - Accent4 4" xfId="18" xr:uid="{00000000-0005-0000-0000-000011000000}"/>
    <cellStyle name="20% - Accent4 5" xfId="19" xr:uid="{00000000-0005-0000-0000-000012000000}"/>
    <cellStyle name="20% - Accent4 6" xfId="20" xr:uid="{00000000-0005-0000-0000-000013000000}"/>
    <cellStyle name="20% - Accent5 2" xfId="21" xr:uid="{00000000-0005-0000-0000-000014000000}"/>
    <cellStyle name="20% - Accent5 3" xfId="22" xr:uid="{00000000-0005-0000-0000-000015000000}"/>
    <cellStyle name="20% - Accent5 4" xfId="23" xr:uid="{00000000-0005-0000-0000-000016000000}"/>
    <cellStyle name="20% - Accent5 5" xfId="24" xr:uid="{00000000-0005-0000-0000-000017000000}"/>
    <cellStyle name="20% - Accent5 6" xfId="25" xr:uid="{00000000-0005-0000-0000-000018000000}"/>
    <cellStyle name="20% - Accent6 2" xfId="26" xr:uid="{00000000-0005-0000-0000-000019000000}"/>
    <cellStyle name="20% - Accent6 3" xfId="27" xr:uid="{00000000-0005-0000-0000-00001A000000}"/>
    <cellStyle name="20% - Accent6 4" xfId="28" xr:uid="{00000000-0005-0000-0000-00001B000000}"/>
    <cellStyle name="20% - Accent6 5" xfId="29" xr:uid="{00000000-0005-0000-0000-00001C000000}"/>
    <cellStyle name="20% - Accent6 6" xfId="30" xr:uid="{00000000-0005-0000-0000-00001D000000}"/>
    <cellStyle name="40% - Accent1 2" xfId="31" xr:uid="{00000000-0005-0000-0000-00001E000000}"/>
    <cellStyle name="40% - Accent1 3" xfId="32" xr:uid="{00000000-0005-0000-0000-00001F000000}"/>
    <cellStyle name="40% - Accent1 4" xfId="33" xr:uid="{00000000-0005-0000-0000-000020000000}"/>
    <cellStyle name="40% - Accent1 5" xfId="34" xr:uid="{00000000-0005-0000-0000-000021000000}"/>
    <cellStyle name="40% - Accent1 6" xfId="35" xr:uid="{00000000-0005-0000-0000-000022000000}"/>
    <cellStyle name="40% - Accent2 2" xfId="36" xr:uid="{00000000-0005-0000-0000-000023000000}"/>
    <cellStyle name="40% - Accent2 3" xfId="37" xr:uid="{00000000-0005-0000-0000-000024000000}"/>
    <cellStyle name="40% - Accent2 4" xfId="38" xr:uid="{00000000-0005-0000-0000-000025000000}"/>
    <cellStyle name="40% - Accent2 5" xfId="39" xr:uid="{00000000-0005-0000-0000-000026000000}"/>
    <cellStyle name="40% - Accent2 6" xfId="40" xr:uid="{00000000-0005-0000-0000-000027000000}"/>
    <cellStyle name="40% - Accent3 2" xfId="41" xr:uid="{00000000-0005-0000-0000-000028000000}"/>
    <cellStyle name="40% - Accent3 3" xfId="42" xr:uid="{00000000-0005-0000-0000-000029000000}"/>
    <cellStyle name="40% - Accent3 4" xfId="43" xr:uid="{00000000-0005-0000-0000-00002A000000}"/>
    <cellStyle name="40% - Accent3 5" xfId="44" xr:uid="{00000000-0005-0000-0000-00002B000000}"/>
    <cellStyle name="40% - Accent3 6" xfId="45" xr:uid="{00000000-0005-0000-0000-00002C000000}"/>
    <cellStyle name="40% - Accent4 2" xfId="46" xr:uid="{00000000-0005-0000-0000-00002D000000}"/>
    <cellStyle name="40% - Accent4 3" xfId="47" xr:uid="{00000000-0005-0000-0000-00002E000000}"/>
    <cellStyle name="40% - Accent4 4" xfId="48" xr:uid="{00000000-0005-0000-0000-00002F000000}"/>
    <cellStyle name="40% - Accent4 5" xfId="49" xr:uid="{00000000-0005-0000-0000-000030000000}"/>
    <cellStyle name="40% - Accent4 6" xfId="50" xr:uid="{00000000-0005-0000-0000-000031000000}"/>
    <cellStyle name="40% - Accent5 2" xfId="51" xr:uid="{00000000-0005-0000-0000-000032000000}"/>
    <cellStyle name="40% - Accent5 3" xfId="52" xr:uid="{00000000-0005-0000-0000-000033000000}"/>
    <cellStyle name="40% - Accent5 4" xfId="53" xr:uid="{00000000-0005-0000-0000-000034000000}"/>
    <cellStyle name="40% - Accent5 5" xfId="54" xr:uid="{00000000-0005-0000-0000-000035000000}"/>
    <cellStyle name="40% - Accent5 6" xfId="55" xr:uid="{00000000-0005-0000-0000-000036000000}"/>
    <cellStyle name="40% - Accent6 2" xfId="56" xr:uid="{00000000-0005-0000-0000-000037000000}"/>
    <cellStyle name="40% - Accent6 3" xfId="57" xr:uid="{00000000-0005-0000-0000-000038000000}"/>
    <cellStyle name="40% - Accent6 4" xfId="58" xr:uid="{00000000-0005-0000-0000-000039000000}"/>
    <cellStyle name="40% - Accent6 5" xfId="59" xr:uid="{00000000-0005-0000-0000-00003A000000}"/>
    <cellStyle name="40% - Accent6 6" xfId="60" xr:uid="{00000000-0005-0000-0000-00003B000000}"/>
    <cellStyle name="60% - Accent1 2" xfId="61" xr:uid="{00000000-0005-0000-0000-00003C000000}"/>
    <cellStyle name="60% - Accent1 3" xfId="62" xr:uid="{00000000-0005-0000-0000-00003D000000}"/>
    <cellStyle name="60% - Accent1 4" xfId="63" xr:uid="{00000000-0005-0000-0000-00003E000000}"/>
    <cellStyle name="60% - Accent1 5" xfId="64" xr:uid="{00000000-0005-0000-0000-00003F000000}"/>
    <cellStyle name="60% - Accent1 6" xfId="65" xr:uid="{00000000-0005-0000-0000-000040000000}"/>
    <cellStyle name="60% - Accent2 2" xfId="66" xr:uid="{00000000-0005-0000-0000-000041000000}"/>
    <cellStyle name="60% - Accent2 3" xfId="67" xr:uid="{00000000-0005-0000-0000-000042000000}"/>
    <cellStyle name="60% - Accent2 4" xfId="68" xr:uid="{00000000-0005-0000-0000-000043000000}"/>
    <cellStyle name="60% - Accent2 5" xfId="69" xr:uid="{00000000-0005-0000-0000-000044000000}"/>
    <cellStyle name="60% - Accent2 6" xfId="70" xr:uid="{00000000-0005-0000-0000-000045000000}"/>
    <cellStyle name="60% - Accent3 2" xfId="71" xr:uid="{00000000-0005-0000-0000-000046000000}"/>
    <cellStyle name="60% - Accent3 3" xfId="72" xr:uid="{00000000-0005-0000-0000-000047000000}"/>
    <cellStyle name="60% - Accent3 4" xfId="73" xr:uid="{00000000-0005-0000-0000-000048000000}"/>
    <cellStyle name="60% - Accent3 5" xfId="74" xr:uid="{00000000-0005-0000-0000-000049000000}"/>
    <cellStyle name="60% - Accent3 6" xfId="75" xr:uid="{00000000-0005-0000-0000-00004A000000}"/>
    <cellStyle name="60% - Accent4 2" xfId="76" xr:uid="{00000000-0005-0000-0000-00004B000000}"/>
    <cellStyle name="60% - Accent4 3" xfId="77" xr:uid="{00000000-0005-0000-0000-00004C000000}"/>
    <cellStyle name="60% - Accent4 4" xfId="78" xr:uid="{00000000-0005-0000-0000-00004D000000}"/>
    <cellStyle name="60% - Accent4 5" xfId="79" xr:uid="{00000000-0005-0000-0000-00004E000000}"/>
    <cellStyle name="60% - Accent4 6" xfId="80" xr:uid="{00000000-0005-0000-0000-00004F000000}"/>
    <cellStyle name="60% - Accent5 2" xfId="81" xr:uid="{00000000-0005-0000-0000-000050000000}"/>
    <cellStyle name="60% - Accent5 3" xfId="82" xr:uid="{00000000-0005-0000-0000-000051000000}"/>
    <cellStyle name="60% - Accent5 4" xfId="83" xr:uid="{00000000-0005-0000-0000-000052000000}"/>
    <cellStyle name="60% - Accent5 5" xfId="84" xr:uid="{00000000-0005-0000-0000-000053000000}"/>
    <cellStyle name="60% - Accent5 6" xfId="85" xr:uid="{00000000-0005-0000-0000-000054000000}"/>
    <cellStyle name="60% - Accent6 2" xfId="86" xr:uid="{00000000-0005-0000-0000-000055000000}"/>
    <cellStyle name="60% - Accent6 3" xfId="87" xr:uid="{00000000-0005-0000-0000-000056000000}"/>
    <cellStyle name="60% - Accent6 4" xfId="88" xr:uid="{00000000-0005-0000-0000-000057000000}"/>
    <cellStyle name="60% - Accent6 5" xfId="89" xr:uid="{00000000-0005-0000-0000-000058000000}"/>
    <cellStyle name="60% - Accent6 6" xfId="90" xr:uid="{00000000-0005-0000-0000-000059000000}"/>
    <cellStyle name="Accent1 2" xfId="91" xr:uid="{00000000-0005-0000-0000-00005A000000}"/>
    <cellStyle name="Accent1 3" xfId="92" xr:uid="{00000000-0005-0000-0000-00005B000000}"/>
    <cellStyle name="Accent1 4" xfId="93" xr:uid="{00000000-0005-0000-0000-00005C000000}"/>
    <cellStyle name="Accent1 5" xfId="94" xr:uid="{00000000-0005-0000-0000-00005D000000}"/>
    <cellStyle name="Accent1 6" xfId="95" xr:uid="{00000000-0005-0000-0000-00005E000000}"/>
    <cellStyle name="Accent2 2" xfId="96" xr:uid="{00000000-0005-0000-0000-00005F000000}"/>
    <cellStyle name="Accent2 3" xfId="97" xr:uid="{00000000-0005-0000-0000-000060000000}"/>
    <cellStyle name="Accent2 4" xfId="98" xr:uid="{00000000-0005-0000-0000-000061000000}"/>
    <cellStyle name="Accent2 5" xfId="99" xr:uid="{00000000-0005-0000-0000-000062000000}"/>
    <cellStyle name="Accent2 6" xfId="100" xr:uid="{00000000-0005-0000-0000-000063000000}"/>
    <cellStyle name="Accent3 2" xfId="101" xr:uid="{00000000-0005-0000-0000-000064000000}"/>
    <cellStyle name="Accent3 3" xfId="102" xr:uid="{00000000-0005-0000-0000-000065000000}"/>
    <cellStyle name="Accent3 4" xfId="103" xr:uid="{00000000-0005-0000-0000-000066000000}"/>
    <cellStyle name="Accent3 5" xfId="104" xr:uid="{00000000-0005-0000-0000-000067000000}"/>
    <cellStyle name="Accent3 6" xfId="105" xr:uid="{00000000-0005-0000-0000-000068000000}"/>
    <cellStyle name="Accent4 2" xfId="106" xr:uid="{00000000-0005-0000-0000-000069000000}"/>
    <cellStyle name="Accent4 3" xfId="107" xr:uid="{00000000-0005-0000-0000-00006A000000}"/>
    <cellStyle name="Accent4 4" xfId="108" xr:uid="{00000000-0005-0000-0000-00006B000000}"/>
    <cellStyle name="Accent4 5" xfId="109" xr:uid="{00000000-0005-0000-0000-00006C000000}"/>
    <cellStyle name="Accent4 6" xfId="110" xr:uid="{00000000-0005-0000-0000-00006D000000}"/>
    <cellStyle name="Accent5 2" xfId="111" xr:uid="{00000000-0005-0000-0000-00006E000000}"/>
    <cellStyle name="Accent5 3" xfId="112" xr:uid="{00000000-0005-0000-0000-00006F000000}"/>
    <cellStyle name="Accent5 4" xfId="113" xr:uid="{00000000-0005-0000-0000-000070000000}"/>
    <cellStyle name="Accent5 5" xfId="114" xr:uid="{00000000-0005-0000-0000-000071000000}"/>
    <cellStyle name="Accent5 6" xfId="115" xr:uid="{00000000-0005-0000-0000-000072000000}"/>
    <cellStyle name="Accent6 2" xfId="116" xr:uid="{00000000-0005-0000-0000-000073000000}"/>
    <cellStyle name="Accent6 3" xfId="117" xr:uid="{00000000-0005-0000-0000-000074000000}"/>
    <cellStyle name="Accent6 4" xfId="118" xr:uid="{00000000-0005-0000-0000-000075000000}"/>
    <cellStyle name="Accent6 5" xfId="119" xr:uid="{00000000-0005-0000-0000-000076000000}"/>
    <cellStyle name="Accent6 6" xfId="120" xr:uid="{00000000-0005-0000-0000-000077000000}"/>
    <cellStyle name="amount" xfId="121" xr:uid="{00000000-0005-0000-0000-000078000000}"/>
    <cellStyle name="Bad 2" xfId="122" xr:uid="{00000000-0005-0000-0000-000079000000}"/>
    <cellStyle name="Bad 3" xfId="123" xr:uid="{00000000-0005-0000-0000-00007A000000}"/>
    <cellStyle name="Bad 4" xfId="124" xr:uid="{00000000-0005-0000-0000-00007B000000}"/>
    <cellStyle name="Bad 5" xfId="125" xr:uid="{00000000-0005-0000-0000-00007C000000}"/>
    <cellStyle name="Bad 6" xfId="126" xr:uid="{00000000-0005-0000-0000-00007D000000}"/>
    <cellStyle name="Body text" xfId="127" xr:uid="{00000000-0005-0000-0000-00007E000000}"/>
    <cellStyle name="Calculation 2" xfId="128" xr:uid="{00000000-0005-0000-0000-00007F000000}"/>
    <cellStyle name="Calculation 3" xfId="129" xr:uid="{00000000-0005-0000-0000-000080000000}"/>
    <cellStyle name="Calculation 4" xfId="130" xr:uid="{00000000-0005-0000-0000-000081000000}"/>
    <cellStyle name="Calculation 5" xfId="131" xr:uid="{00000000-0005-0000-0000-000082000000}"/>
    <cellStyle name="Calculation 6" xfId="132" xr:uid="{00000000-0005-0000-0000-000083000000}"/>
    <cellStyle name="Check Cell 2" xfId="133" xr:uid="{00000000-0005-0000-0000-000084000000}"/>
    <cellStyle name="Check Cell 3" xfId="134" xr:uid="{00000000-0005-0000-0000-000085000000}"/>
    <cellStyle name="Check Cell 4" xfId="135" xr:uid="{00000000-0005-0000-0000-000086000000}"/>
    <cellStyle name="Check Cell 5" xfId="136" xr:uid="{00000000-0005-0000-0000-000087000000}"/>
    <cellStyle name="Check Cell 6" xfId="137" xr:uid="{00000000-0005-0000-0000-000088000000}"/>
    <cellStyle name="Comma" xfId="138" builtinId="3"/>
    <cellStyle name="Comma 10" xfId="139" xr:uid="{00000000-0005-0000-0000-00008A000000}"/>
    <cellStyle name="Comma 11" xfId="140" xr:uid="{00000000-0005-0000-0000-00008B000000}"/>
    <cellStyle name="Comma 12" xfId="141" xr:uid="{00000000-0005-0000-0000-00008C000000}"/>
    <cellStyle name="Comma 12 2 2" xfId="347" xr:uid="{00000000-0005-0000-0000-00008D000000}"/>
    <cellStyle name="Comma 13" xfId="354" xr:uid="{00000000-0005-0000-0000-00008E000000}"/>
    <cellStyle name="Comma 14" xfId="356" xr:uid="{00000000-0005-0000-0000-00008F000000}"/>
    <cellStyle name="Comma 15" xfId="358" xr:uid="{00000000-0005-0000-0000-000090000000}"/>
    <cellStyle name="Comma 2" xfId="142" xr:uid="{00000000-0005-0000-0000-000091000000}"/>
    <cellStyle name="Comma 2 2" xfId="143" xr:uid="{00000000-0005-0000-0000-000092000000}"/>
    <cellStyle name="Comma 2 2 2" xfId="144" xr:uid="{00000000-0005-0000-0000-000093000000}"/>
    <cellStyle name="Comma 2 3" xfId="145" xr:uid="{00000000-0005-0000-0000-000094000000}"/>
    <cellStyle name="Comma 2 4" xfId="146" xr:uid="{00000000-0005-0000-0000-000095000000}"/>
    <cellStyle name="Comma 2 5" xfId="147" xr:uid="{00000000-0005-0000-0000-000096000000}"/>
    <cellStyle name="Comma 2 6" xfId="148" xr:uid="{00000000-0005-0000-0000-000097000000}"/>
    <cellStyle name="Comma 2 7" xfId="149" xr:uid="{00000000-0005-0000-0000-000098000000}"/>
    <cellStyle name="Comma 2 7 2" xfId="150" xr:uid="{00000000-0005-0000-0000-000099000000}"/>
    <cellStyle name="Comma 2 8" xfId="151" xr:uid="{00000000-0005-0000-0000-00009A000000}"/>
    <cellStyle name="Comma 2 9" xfId="152" xr:uid="{00000000-0005-0000-0000-00009B000000}"/>
    <cellStyle name="Comma 21" xfId="349" xr:uid="{00000000-0005-0000-0000-00009C000000}"/>
    <cellStyle name="Comma 28" xfId="153" xr:uid="{00000000-0005-0000-0000-00009D000000}"/>
    <cellStyle name="Comma 3" xfId="154" xr:uid="{00000000-0005-0000-0000-00009E000000}"/>
    <cellStyle name="Comma 3 2" xfId="155" xr:uid="{00000000-0005-0000-0000-00009F000000}"/>
    <cellStyle name="Comma 3 3" xfId="156" xr:uid="{00000000-0005-0000-0000-0000A0000000}"/>
    <cellStyle name="Comma 4" xfId="157" xr:uid="{00000000-0005-0000-0000-0000A1000000}"/>
    <cellStyle name="Comma 4 2" xfId="158" xr:uid="{00000000-0005-0000-0000-0000A2000000}"/>
    <cellStyle name="Comma 5" xfId="159" xr:uid="{00000000-0005-0000-0000-0000A3000000}"/>
    <cellStyle name="Comma 5 2" xfId="160" xr:uid="{00000000-0005-0000-0000-0000A4000000}"/>
    <cellStyle name="Comma 6" xfId="161" xr:uid="{00000000-0005-0000-0000-0000A5000000}"/>
    <cellStyle name="Comma 6 2" xfId="162" xr:uid="{00000000-0005-0000-0000-0000A6000000}"/>
    <cellStyle name="Comma 7" xfId="163" xr:uid="{00000000-0005-0000-0000-0000A7000000}"/>
    <cellStyle name="Comma 7 2" xfId="164" xr:uid="{00000000-0005-0000-0000-0000A8000000}"/>
    <cellStyle name="Comma 8" xfId="165" xr:uid="{00000000-0005-0000-0000-0000A9000000}"/>
    <cellStyle name="Comma 9" xfId="166" xr:uid="{00000000-0005-0000-0000-0000AA000000}"/>
    <cellStyle name="Comma 9 2" xfId="167" xr:uid="{00000000-0005-0000-0000-0000AB000000}"/>
    <cellStyle name="Comma_BALANCE SHEET FHI 03-04 DEC" xfId="168" xr:uid="{00000000-0005-0000-0000-0000AC000000}"/>
    <cellStyle name="Currency 2" xfId="169" xr:uid="{00000000-0005-0000-0000-0000AD000000}"/>
    <cellStyle name="Explanatory Text 2" xfId="170" xr:uid="{00000000-0005-0000-0000-0000AE000000}"/>
    <cellStyle name="Explanatory Text 3" xfId="171" xr:uid="{00000000-0005-0000-0000-0000AF000000}"/>
    <cellStyle name="Explanatory Text 4" xfId="172" xr:uid="{00000000-0005-0000-0000-0000B0000000}"/>
    <cellStyle name="Explanatory Text 5" xfId="173" xr:uid="{00000000-0005-0000-0000-0000B1000000}"/>
    <cellStyle name="Explanatory Text 6" xfId="174" xr:uid="{00000000-0005-0000-0000-0000B2000000}"/>
    <cellStyle name="Good 2" xfId="175" xr:uid="{00000000-0005-0000-0000-0000B3000000}"/>
    <cellStyle name="Good 3" xfId="176" xr:uid="{00000000-0005-0000-0000-0000B4000000}"/>
    <cellStyle name="Good 4" xfId="177" xr:uid="{00000000-0005-0000-0000-0000B5000000}"/>
    <cellStyle name="Good 5" xfId="178" xr:uid="{00000000-0005-0000-0000-0000B6000000}"/>
    <cellStyle name="Good 6" xfId="179" xr:uid="{00000000-0005-0000-0000-0000B7000000}"/>
    <cellStyle name="header" xfId="180" xr:uid="{00000000-0005-0000-0000-0000B8000000}"/>
    <cellStyle name="Header Total" xfId="181" xr:uid="{00000000-0005-0000-0000-0000B9000000}"/>
    <cellStyle name="Header1" xfId="182" xr:uid="{00000000-0005-0000-0000-0000BA000000}"/>
    <cellStyle name="Header2" xfId="183" xr:uid="{00000000-0005-0000-0000-0000BB000000}"/>
    <cellStyle name="Header3" xfId="184" xr:uid="{00000000-0005-0000-0000-0000BC000000}"/>
    <cellStyle name="Header4" xfId="185" xr:uid="{00000000-0005-0000-0000-0000BD000000}"/>
    <cellStyle name="Heading 1 2" xfId="186" xr:uid="{00000000-0005-0000-0000-0000BE000000}"/>
    <cellStyle name="Heading 1 3" xfId="187" xr:uid="{00000000-0005-0000-0000-0000BF000000}"/>
    <cellStyle name="Heading 1 4" xfId="188" xr:uid="{00000000-0005-0000-0000-0000C0000000}"/>
    <cellStyle name="Heading 1 5" xfId="189" xr:uid="{00000000-0005-0000-0000-0000C1000000}"/>
    <cellStyle name="Heading 1 6" xfId="190" xr:uid="{00000000-0005-0000-0000-0000C2000000}"/>
    <cellStyle name="Heading 2 2" xfId="191" xr:uid="{00000000-0005-0000-0000-0000C3000000}"/>
    <cellStyle name="Heading 2 3" xfId="192" xr:uid="{00000000-0005-0000-0000-0000C4000000}"/>
    <cellStyle name="Heading 2 4" xfId="193" xr:uid="{00000000-0005-0000-0000-0000C5000000}"/>
    <cellStyle name="Heading 2 5" xfId="194" xr:uid="{00000000-0005-0000-0000-0000C6000000}"/>
    <cellStyle name="Heading 2 6" xfId="195" xr:uid="{00000000-0005-0000-0000-0000C7000000}"/>
    <cellStyle name="Heading 3 2" xfId="196" xr:uid="{00000000-0005-0000-0000-0000C8000000}"/>
    <cellStyle name="Heading 3 3" xfId="197" xr:uid="{00000000-0005-0000-0000-0000C9000000}"/>
    <cellStyle name="Heading 3 4" xfId="198" xr:uid="{00000000-0005-0000-0000-0000CA000000}"/>
    <cellStyle name="Heading 3 5" xfId="199" xr:uid="{00000000-0005-0000-0000-0000CB000000}"/>
    <cellStyle name="Heading 3 6" xfId="200" xr:uid="{00000000-0005-0000-0000-0000CC000000}"/>
    <cellStyle name="Heading 4 2" xfId="201" xr:uid="{00000000-0005-0000-0000-0000CD000000}"/>
    <cellStyle name="Heading 4 3" xfId="202" xr:uid="{00000000-0005-0000-0000-0000CE000000}"/>
    <cellStyle name="Heading 4 4" xfId="203" xr:uid="{00000000-0005-0000-0000-0000CF000000}"/>
    <cellStyle name="Heading 4 5" xfId="204" xr:uid="{00000000-0005-0000-0000-0000D0000000}"/>
    <cellStyle name="Heading 4 6" xfId="205" xr:uid="{00000000-0005-0000-0000-0000D1000000}"/>
    <cellStyle name="Hyperlink 2" xfId="206" xr:uid="{00000000-0005-0000-0000-0000D2000000}"/>
    <cellStyle name="Hyperlink 2 2" xfId="207" xr:uid="{00000000-0005-0000-0000-0000D3000000}"/>
    <cellStyle name="Hyperlink 3" xfId="208" xr:uid="{00000000-0005-0000-0000-0000D4000000}"/>
    <cellStyle name="Input 2" xfId="209" xr:uid="{00000000-0005-0000-0000-0000D5000000}"/>
    <cellStyle name="Input 3" xfId="210" xr:uid="{00000000-0005-0000-0000-0000D6000000}"/>
    <cellStyle name="Input 4" xfId="211" xr:uid="{00000000-0005-0000-0000-0000D7000000}"/>
    <cellStyle name="Input 5" xfId="212" xr:uid="{00000000-0005-0000-0000-0000D8000000}"/>
    <cellStyle name="Input 6" xfId="213" xr:uid="{00000000-0005-0000-0000-0000D9000000}"/>
    <cellStyle name="Linked Cell 2" xfId="214" xr:uid="{00000000-0005-0000-0000-0000DA000000}"/>
    <cellStyle name="Linked Cell 3" xfId="215" xr:uid="{00000000-0005-0000-0000-0000DB000000}"/>
    <cellStyle name="Linked Cell 4" xfId="216" xr:uid="{00000000-0005-0000-0000-0000DC000000}"/>
    <cellStyle name="Linked Cell 5" xfId="217" xr:uid="{00000000-0005-0000-0000-0000DD000000}"/>
    <cellStyle name="Linked Cell 6" xfId="218" xr:uid="{00000000-0005-0000-0000-0000DE000000}"/>
    <cellStyle name="Neutral" xfId="344" builtinId="28"/>
    <cellStyle name="Neutral 2" xfId="219" xr:uid="{00000000-0005-0000-0000-0000E0000000}"/>
    <cellStyle name="Neutral 3" xfId="220" xr:uid="{00000000-0005-0000-0000-0000E1000000}"/>
    <cellStyle name="Neutral 4" xfId="221" xr:uid="{00000000-0005-0000-0000-0000E2000000}"/>
    <cellStyle name="Neutral 5" xfId="222" xr:uid="{00000000-0005-0000-0000-0000E3000000}"/>
    <cellStyle name="Neutral 6" xfId="223" xr:uid="{00000000-0005-0000-0000-0000E4000000}"/>
    <cellStyle name="NonPrint_Heading" xfId="224" xr:uid="{00000000-0005-0000-0000-0000E5000000}"/>
    <cellStyle name="Nor}al" xfId="350" xr:uid="{00000000-0005-0000-0000-0000E6000000}"/>
    <cellStyle name="Normal" xfId="0" builtinId="0"/>
    <cellStyle name="Normal 10" xfId="225" xr:uid="{00000000-0005-0000-0000-0000E8000000}"/>
    <cellStyle name="Normal 10 2" xfId="226" xr:uid="{00000000-0005-0000-0000-0000E9000000}"/>
    <cellStyle name="Normal 11" xfId="227" xr:uid="{00000000-0005-0000-0000-0000EA000000}"/>
    <cellStyle name="Normal 12" xfId="351" xr:uid="{00000000-0005-0000-0000-0000EB000000}"/>
    <cellStyle name="Normal 13" xfId="352" xr:uid="{00000000-0005-0000-0000-0000EC000000}"/>
    <cellStyle name="Normal 14" xfId="353" xr:uid="{00000000-0005-0000-0000-0000ED000000}"/>
    <cellStyle name="Normal 15" xfId="355" xr:uid="{00000000-0005-0000-0000-0000EE000000}"/>
    <cellStyle name="Normal 16" xfId="357" xr:uid="{00000000-0005-0000-0000-0000EF000000}"/>
    <cellStyle name="Normal 18 2" xfId="346" xr:uid="{00000000-0005-0000-0000-0000F0000000}"/>
    <cellStyle name="Normal 2" xfId="228" xr:uid="{00000000-0005-0000-0000-0000F1000000}"/>
    <cellStyle name="Normal 2 10" xfId="229" xr:uid="{00000000-0005-0000-0000-0000F2000000}"/>
    <cellStyle name="Normal 2 11" xfId="230" xr:uid="{00000000-0005-0000-0000-0000F3000000}"/>
    <cellStyle name="Normal 2 12" xfId="231" xr:uid="{00000000-0005-0000-0000-0000F4000000}"/>
    <cellStyle name="Normal 2 13" xfId="232" xr:uid="{00000000-0005-0000-0000-0000F5000000}"/>
    <cellStyle name="Normal 2 14" xfId="233" xr:uid="{00000000-0005-0000-0000-0000F6000000}"/>
    <cellStyle name="Normal 2 15" xfId="234" xr:uid="{00000000-0005-0000-0000-0000F7000000}"/>
    <cellStyle name="Normal 2 16" xfId="235" xr:uid="{00000000-0005-0000-0000-0000F8000000}"/>
    <cellStyle name="Normal 2 17" xfId="236" xr:uid="{00000000-0005-0000-0000-0000F9000000}"/>
    <cellStyle name="Normal 2 18" xfId="237" xr:uid="{00000000-0005-0000-0000-0000FA000000}"/>
    <cellStyle name="Normal 2 19" xfId="238" xr:uid="{00000000-0005-0000-0000-0000FB000000}"/>
    <cellStyle name="Normal 2 2" xfId="239" xr:uid="{00000000-0005-0000-0000-0000FC000000}"/>
    <cellStyle name="Normal 2 20" xfId="240" xr:uid="{00000000-0005-0000-0000-0000FD000000}"/>
    <cellStyle name="Normal 2 21" xfId="241" xr:uid="{00000000-0005-0000-0000-0000FE000000}"/>
    <cellStyle name="Normal 2 22" xfId="242" xr:uid="{00000000-0005-0000-0000-0000FF000000}"/>
    <cellStyle name="Normal 2 3" xfId="243" xr:uid="{00000000-0005-0000-0000-000000010000}"/>
    <cellStyle name="Normal 2 4" xfId="244" xr:uid="{00000000-0005-0000-0000-000001010000}"/>
    <cellStyle name="Normal 2 5" xfId="245" xr:uid="{00000000-0005-0000-0000-000002010000}"/>
    <cellStyle name="Normal 2 6" xfId="246" xr:uid="{00000000-0005-0000-0000-000003010000}"/>
    <cellStyle name="Normal 2 7" xfId="247" xr:uid="{00000000-0005-0000-0000-000004010000}"/>
    <cellStyle name="Normal 2 7 2" xfId="248" xr:uid="{00000000-0005-0000-0000-000005010000}"/>
    <cellStyle name="Normal 2 8" xfId="249" xr:uid="{00000000-0005-0000-0000-000006010000}"/>
    <cellStyle name="Normal 2 9" xfId="250" xr:uid="{00000000-0005-0000-0000-000007010000}"/>
    <cellStyle name="Normal 2_CAR workings" xfId="251" xr:uid="{00000000-0005-0000-0000-000008010000}"/>
    <cellStyle name="Normal 25" xfId="252" xr:uid="{00000000-0005-0000-0000-000009010000}"/>
    <cellStyle name="Normal 3" xfId="253" xr:uid="{00000000-0005-0000-0000-00000A010000}"/>
    <cellStyle name="Normal 3 10" xfId="254" xr:uid="{00000000-0005-0000-0000-00000B010000}"/>
    <cellStyle name="Normal 3 11" xfId="255" xr:uid="{00000000-0005-0000-0000-00000C010000}"/>
    <cellStyle name="Normal 3 12" xfId="256" xr:uid="{00000000-0005-0000-0000-00000D010000}"/>
    <cellStyle name="Normal 3 13" xfId="257" xr:uid="{00000000-0005-0000-0000-00000E010000}"/>
    <cellStyle name="Normal 3 14" xfId="258" xr:uid="{00000000-0005-0000-0000-00000F010000}"/>
    <cellStyle name="Normal 3 15" xfId="259" xr:uid="{00000000-0005-0000-0000-000010010000}"/>
    <cellStyle name="Normal 3 16" xfId="260" xr:uid="{00000000-0005-0000-0000-000011010000}"/>
    <cellStyle name="Normal 3 17" xfId="261" xr:uid="{00000000-0005-0000-0000-000012010000}"/>
    <cellStyle name="Normal 3 18" xfId="262" xr:uid="{00000000-0005-0000-0000-000013010000}"/>
    <cellStyle name="Normal 3 19" xfId="263" xr:uid="{00000000-0005-0000-0000-000014010000}"/>
    <cellStyle name="Normal 3 2" xfId="264" xr:uid="{00000000-0005-0000-0000-000015010000}"/>
    <cellStyle name="Normal 3 20" xfId="265" xr:uid="{00000000-0005-0000-0000-000016010000}"/>
    <cellStyle name="Normal 3 21" xfId="266" xr:uid="{00000000-0005-0000-0000-000017010000}"/>
    <cellStyle name="Normal 3 3" xfId="267" xr:uid="{00000000-0005-0000-0000-000018010000}"/>
    <cellStyle name="Normal 3 4" xfId="268" xr:uid="{00000000-0005-0000-0000-000019010000}"/>
    <cellStyle name="Normal 3 5" xfId="269" xr:uid="{00000000-0005-0000-0000-00001A010000}"/>
    <cellStyle name="Normal 3 6" xfId="270" xr:uid="{00000000-0005-0000-0000-00001B010000}"/>
    <cellStyle name="Normal 3 7" xfId="271" xr:uid="{00000000-0005-0000-0000-00001C010000}"/>
    <cellStyle name="Normal 3 8" xfId="272" xr:uid="{00000000-0005-0000-0000-00001D010000}"/>
    <cellStyle name="Normal 3 9" xfId="273" xr:uid="{00000000-0005-0000-0000-00001E010000}"/>
    <cellStyle name="Normal 4" xfId="274" xr:uid="{00000000-0005-0000-0000-00001F010000}"/>
    <cellStyle name="Normal 4 10" xfId="275" xr:uid="{00000000-0005-0000-0000-000020010000}"/>
    <cellStyle name="Normal 4 11" xfId="276" xr:uid="{00000000-0005-0000-0000-000021010000}"/>
    <cellStyle name="Normal 4 12" xfId="277" xr:uid="{00000000-0005-0000-0000-000022010000}"/>
    <cellStyle name="Normal 4 13" xfId="278" xr:uid="{00000000-0005-0000-0000-000023010000}"/>
    <cellStyle name="Normal 4 14" xfId="279" xr:uid="{00000000-0005-0000-0000-000024010000}"/>
    <cellStyle name="Normal 4 15" xfId="280" xr:uid="{00000000-0005-0000-0000-000025010000}"/>
    <cellStyle name="Normal 4 16" xfId="281" xr:uid="{00000000-0005-0000-0000-000026010000}"/>
    <cellStyle name="Normal 4 17" xfId="282" xr:uid="{00000000-0005-0000-0000-000027010000}"/>
    <cellStyle name="Normal 4 18" xfId="283" xr:uid="{00000000-0005-0000-0000-000028010000}"/>
    <cellStyle name="Normal 4 19" xfId="284" xr:uid="{00000000-0005-0000-0000-000029010000}"/>
    <cellStyle name="Normal 4 2" xfId="285" xr:uid="{00000000-0005-0000-0000-00002A010000}"/>
    <cellStyle name="Normal 4 2 2" xfId="345" xr:uid="{00000000-0005-0000-0000-00002B010000}"/>
    <cellStyle name="Normal 4 20" xfId="286" xr:uid="{00000000-0005-0000-0000-00002C010000}"/>
    <cellStyle name="Normal 4 21" xfId="287" xr:uid="{00000000-0005-0000-0000-00002D010000}"/>
    <cellStyle name="Normal 4 3" xfId="288" xr:uid="{00000000-0005-0000-0000-00002E010000}"/>
    <cellStyle name="Normal 4 4" xfId="289" xr:uid="{00000000-0005-0000-0000-00002F010000}"/>
    <cellStyle name="Normal 4 5" xfId="290" xr:uid="{00000000-0005-0000-0000-000030010000}"/>
    <cellStyle name="Normal 4 6" xfId="291" xr:uid="{00000000-0005-0000-0000-000031010000}"/>
    <cellStyle name="Normal 4 7" xfId="292" xr:uid="{00000000-0005-0000-0000-000032010000}"/>
    <cellStyle name="Normal 4 8" xfId="293" xr:uid="{00000000-0005-0000-0000-000033010000}"/>
    <cellStyle name="Normal 4 9" xfId="294" xr:uid="{00000000-0005-0000-0000-000034010000}"/>
    <cellStyle name="Normal 5" xfId="295" xr:uid="{00000000-0005-0000-0000-000035010000}"/>
    <cellStyle name="Normal 6" xfId="296" xr:uid="{00000000-0005-0000-0000-000036010000}"/>
    <cellStyle name="Normal 7" xfId="297" xr:uid="{00000000-0005-0000-0000-000037010000}"/>
    <cellStyle name="Normal 8" xfId="298" xr:uid="{00000000-0005-0000-0000-000038010000}"/>
    <cellStyle name="Normal 9" xfId="299" xr:uid="{00000000-0005-0000-0000-000039010000}"/>
    <cellStyle name="Normal 9 2" xfId="300" xr:uid="{00000000-0005-0000-0000-00003A010000}"/>
    <cellStyle name="Normal 9 2 2" xfId="301" xr:uid="{00000000-0005-0000-0000-00003B010000}"/>
    <cellStyle name="Normal 9 2 3" xfId="343" xr:uid="{00000000-0005-0000-0000-00003C010000}"/>
    <cellStyle name="Normal 9 3" xfId="302" xr:uid="{00000000-0005-0000-0000-00003D010000}"/>
    <cellStyle name="Normal_Sarvodaya-31(1).03.2008 final" xfId="303" xr:uid="{00000000-0005-0000-0000-00003E010000}"/>
    <cellStyle name="Note 2" xfId="304" xr:uid="{00000000-0005-0000-0000-00003F010000}"/>
    <cellStyle name="Note 3" xfId="305" xr:uid="{00000000-0005-0000-0000-000040010000}"/>
    <cellStyle name="Note 4" xfId="306" xr:uid="{00000000-0005-0000-0000-000041010000}"/>
    <cellStyle name="Note 5" xfId="307" xr:uid="{00000000-0005-0000-0000-000042010000}"/>
    <cellStyle name="Note 6" xfId="308" xr:uid="{00000000-0005-0000-0000-000043010000}"/>
    <cellStyle name="Output 2" xfId="309" xr:uid="{00000000-0005-0000-0000-000044010000}"/>
    <cellStyle name="Output 3" xfId="310" xr:uid="{00000000-0005-0000-0000-000045010000}"/>
    <cellStyle name="Output 4" xfId="311" xr:uid="{00000000-0005-0000-0000-000046010000}"/>
    <cellStyle name="Output 5" xfId="312" xr:uid="{00000000-0005-0000-0000-000047010000}"/>
    <cellStyle name="Output 6" xfId="313" xr:uid="{00000000-0005-0000-0000-000048010000}"/>
    <cellStyle name="Percent" xfId="314" builtinId="5"/>
    <cellStyle name="Percent 2" xfId="315" xr:uid="{00000000-0005-0000-0000-00004A010000}"/>
    <cellStyle name="Percent 2 3" xfId="348" xr:uid="{00000000-0005-0000-0000-00004B010000}"/>
    <cellStyle name="Percent 3" xfId="316" xr:uid="{00000000-0005-0000-0000-00004C010000}"/>
    <cellStyle name="Percent 4" xfId="317" xr:uid="{00000000-0005-0000-0000-00004D010000}"/>
    <cellStyle name="Percent 5" xfId="318" xr:uid="{00000000-0005-0000-0000-00004E010000}"/>
    <cellStyle name="Percent 6" xfId="319" xr:uid="{00000000-0005-0000-0000-00004F010000}"/>
    <cellStyle name="Percent 7" xfId="320" xr:uid="{00000000-0005-0000-0000-000050010000}"/>
    <cellStyle name="Percent 8" xfId="321" xr:uid="{00000000-0005-0000-0000-000051010000}"/>
    <cellStyle name="Percent 9" xfId="322" xr:uid="{00000000-0005-0000-0000-000052010000}"/>
    <cellStyle name="Product Title" xfId="323" xr:uid="{00000000-0005-0000-0000-000053010000}"/>
    <cellStyle name="Style 1" xfId="324" xr:uid="{00000000-0005-0000-0000-000054010000}"/>
    <cellStyle name="Style 1 2" xfId="325" xr:uid="{00000000-0005-0000-0000-000055010000}"/>
    <cellStyle name="Style 1_Esaf All Statements 2008" xfId="326" xr:uid="{00000000-0005-0000-0000-000056010000}"/>
    <cellStyle name="Text" xfId="327" xr:uid="{00000000-0005-0000-0000-000057010000}"/>
    <cellStyle name="Title 2" xfId="328" xr:uid="{00000000-0005-0000-0000-000058010000}"/>
    <cellStyle name="Title 3" xfId="329" xr:uid="{00000000-0005-0000-0000-000059010000}"/>
    <cellStyle name="Title 4" xfId="330" xr:uid="{00000000-0005-0000-0000-00005A010000}"/>
    <cellStyle name="Title 5" xfId="331" xr:uid="{00000000-0005-0000-0000-00005B010000}"/>
    <cellStyle name="Title 6" xfId="332" xr:uid="{00000000-0005-0000-0000-00005C010000}"/>
    <cellStyle name="Total 2" xfId="333" xr:uid="{00000000-0005-0000-0000-00005D010000}"/>
    <cellStyle name="Total 3" xfId="334" xr:uid="{00000000-0005-0000-0000-00005E010000}"/>
    <cellStyle name="Total 4" xfId="335" xr:uid="{00000000-0005-0000-0000-00005F010000}"/>
    <cellStyle name="Total 5" xfId="336" xr:uid="{00000000-0005-0000-0000-000060010000}"/>
    <cellStyle name="Total 6" xfId="337" xr:uid="{00000000-0005-0000-0000-000061010000}"/>
    <cellStyle name="Warning Text 2" xfId="338" xr:uid="{00000000-0005-0000-0000-000062010000}"/>
    <cellStyle name="Warning Text 3" xfId="339" xr:uid="{00000000-0005-0000-0000-000063010000}"/>
    <cellStyle name="Warning Text 4" xfId="340" xr:uid="{00000000-0005-0000-0000-000064010000}"/>
    <cellStyle name="Warning Text 5" xfId="341" xr:uid="{00000000-0005-0000-0000-000065010000}"/>
    <cellStyle name="Warning Text 6" xfId="342" xr:uid="{00000000-0005-0000-0000-000066010000}"/>
  </cellStyles>
  <dxfs count="1">
    <dxf>
      <fill>
        <patternFill patternType="solid">
          <fgColor rgb="FFFABF8F"/>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5.xml"/><Relationship Id="rId84" Type="http://schemas.openxmlformats.org/officeDocument/2006/relationships/externalLink" Target="externalLinks/externalLink21.xml"/><Relationship Id="rId89"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1.xml"/><Relationship Id="rId79" Type="http://schemas.openxmlformats.org/officeDocument/2006/relationships/externalLink" Target="externalLinks/externalLink16.xml"/><Relationship Id="rId102" Type="http://schemas.openxmlformats.org/officeDocument/2006/relationships/powerPivotData" Target="model/item.data"/><Relationship Id="rId5" Type="http://schemas.openxmlformats.org/officeDocument/2006/relationships/worksheet" Target="worksheets/sheet5.xml"/><Relationship Id="rId90" Type="http://schemas.openxmlformats.org/officeDocument/2006/relationships/externalLink" Target="externalLinks/externalLink27.xml"/><Relationship Id="rId95" Type="http://schemas.openxmlformats.org/officeDocument/2006/relationships/externalLink" Target="externalLinks/externalLink32.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xml"/><Relationship Id="rId69" Type="http://schemas.openxmlformats.org/officeDocument/2006/relationships/externalLink" Target="externalLinks/externalLink6.xml"/><Relationship Id="rId80" Type="http://schemas.openxmlformats.org/officeDocument/2006/relationships/externalLink" Target="externalLinks/externalLink17.xml"/><Relationship Id="rId85" Type="http://schemas.openxmlformats.org/officeDocument/2006/relationships/externalLink" Target="externalLinks/externalLink22.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4.xml"/><Relationship Id="rId103"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7.xml"/><Relationship Id="rId75" Type="http://schemas.openxmlformats.org/officeDocument/2006/relationships/externalLink" Target="externalLinks/externalLink12.xml"/><Relationship Id="rId83" Type="http://schemas.openxmlformats.org/officeDocument/2006/relationships/externalLink" Target="externalLinks/externalLink20.xml"/><Relationship Id="rId88" Type="http://schemas.openxmlformats.org/officeDocument/2006/relationships/externalLink" Target="externalLinks/externalLink25.xml"/><Relationship Id="rId91" Type="http://schemas.openxmlformats.org/officeDocument/2006/relationships/externalLink" Target="externalLinks/externalLink28.xml"/><Relationship Id="rId96" Type="http://schemas.openxmlformats.org/officeDocument/2006/relationships/externalLink" Target="externalLinks/externalLink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2.xml"/><Relationship Id="rId73" Type="http://schemas.openxmlformats.org/officeDocument/2006/relationships/externalLink" Target="externalLinks/externalLink10.xml"/><Relationship Id="rId78" Type="http://schemas.openxmlformats.org/officeDocument/2006/relationships/externalLink" Target="externalLinks/externalLink15.xml"/><Relationship Id="rId81" Type="http://schemas.openxmlformats.org/officeDocument/2006/relationships/externalLink" Target="externalLinks/externalLink18.xml"/><Relationship Id="rId86" Type="http://schemas.openxmlformats.org/officeDocument/2006/relationships/externalLink" Target="externalLinks/externalLink23.xml"/><Relationship Id="rId94" Type="http://schemas.openxmlformats.org/officeDocument/2006/relationships/externalLink" Target="externalLinks/externalLink31.xml"/><Relationship Id="rId99" Type="http://schemas.openxmlformats.org/officeDocument/2006/relationships/connections" Target="connections.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3.xml"/><Relationship Id="rId97" Type="http://schemas.openxmlformats.org/officeDocument/2006/relationships/pivotCacheDefinition" Target="pivotCache/pivotCacheDefinition1.xml"/><Relationship Id="rId7" Type="http://schemas.openxmlformats.org/officeDocument/2006/relationships/worksheet" Target="worksheets/sheet7.xml"/><Relationship Id="rId71" Type="http://schemas.openxmlformats.org/officeDocument/2006/relationships/externalLink" Target="externalLinks/externalLink8.xml"/><Relationship Id="rId92"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3.xml"/><Relationship Id="rId87" Type="http://schemas.openxmlformats.org/officeDocument/2006/relationships/externalLink" Target="externalLinks/externalLink24.xml"/><Relationship Id="rId61" Type="http://schemas.openxmlformats.org/officeDocument/2006/relationships/worksheet" Target="worksheets/sheet61.xml"/><Relationship Id="rId82" Type="http://schemas.openxmlformats.org/officeDocument/2006/relationships/externalLink" Target="externalLinks/externalLink19.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4.xml"/><Relationship Id="rId100"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9.xml"/><Relationship Id="rId93" Type="http://schemas.openxmlformats.org/officeDocument/2006/relationships/externalLink" Target="externalLinks/externalLink30.xml"/><Relationship Id="rId98" Type="http://schemas.openxmlformats.org/officeDocument/2006/relationships/theme" Target="theme/theme1.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1\sikha\LOCALS~1\Temp\notesE1EF34\ISSL%20Balance%20Shee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ari\Tax%20Audit\windows\TEMP\My%20Documents\EXCEL\Financials%201998\Financials%20Schedules\monthly%20accounts\WINDOWS\Personal\STOCK96\AC9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ub-fin\budget2001-b\windows\TEMP\Ositha\Stocks98\Ac9806-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ub-fin\budget2001-b\windows\TEMP\Ositha\Stocks98\Ac9805new.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DOCUME~1\PradeepS\LOCALS~1\Temp\MIS%20June%2020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Rr\rr\My%20Documents\JvfrBody\JVReporter\BL010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drivebkp\Amit\MIS\September\MIS2003-Au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Ac9904.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JUNE_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hari\Tax%20Audit\windows\TEMP\Ositha\Stocks98\Ac98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hari\Tax%20Audit\windows\TEMP\My%20Documents\EXCEL\Financials%201999\Ac99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X:\DOCUME~1\blaird\LOCALS~1\TEMPOR~1\Documents%20and%20Settings\mrudey\Local%20Settings\Temporary%20Internet%20Files\OLK9A\3-Year%20Model%20-%2010030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jm10\F\VIDHYA\2002-Files\HSBC%20BANK\BRS\2002\BRS-INR\9.BRS-SEP-200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r-server\shareddocs\KRDocs\2006\Four_P\etds05-06\Form24Q_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USERS\FIN\RAWMA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BL0198.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Dec-je3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hari\Tax%20Audit\windows\TEMP\Ositha\Stocks98\Ac981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hari\Tax%20Audit\windows\TEMP\Ositha\Stocks98\Ac981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HVSRV01\PV\WINDOWS\TEMP\Group%20Sal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hari\Tax%20Audit\windows\TEMP\Ositha\Stocks99\Ac99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Ac9803.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2000-PRO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jm10\F\Vidhya\IMPORTS\Exchange%20Difference\2003\01.Exch.%20Diff.%20-%20February%20-%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hari\Tax%20Audit\windows\TEMP\Ositha\Stocks98\Ac9808nEW.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c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hari\Tax%20Audit\windows\TEMP\Ositha\Stocks98\Ac9806-n.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hari\Tax%20Audit\windows\TEMP\Ositha\Stocks98\Ac9805new.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2260%20Trial%20balance%202007-08"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F/muthu/Companies/2013/Sathiapal%20Engg/Users/suresho.JOHNMORIS/Desktop/SATHIAPAL/New%20folder/old%20balance%20sheet.xlsx" TargetMode="External"/><Relationship Id="rId1" Type="http://schemas.openxmlformats.org/officeDocument/2006/relationships/externalLinkPath" Target="/F/muthu/Companies/2013/Sathiapal%20Engg/Users/suresho.JOHNMORIS/Desktop/SATHIAPAL/New%20folder/old%20balance%20sheet.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server\K\Other%20Resources\Companies\Sathiapal%20engineering\2016-17\Sathiapal%20Engineerings%20(INDIA)\Financials\Sathiapal%20Engineering%20India%20FY%202016-17.xlsx"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Maaraz/Audits/sathiapal/Sathiyapal%20Enginerings/2014-15/TrialBal.xlsx" TargetMode="External"/><Relationship Id="rId1" Type="http://schemas.openxmlformats.org/officeDocument/2006/relationships/externalLinkPath" Target="/Maaraz/Audits/sathiapal/Sathiyapal%20Enginerings/2014-15/TrialBal.xlsx"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Users/RADHIKA/Downloads/EPF%20STAFF%20CODE%20REMITTED%20SPILT%20UPS%20%2020-21%20(1).xlsx" TargetMode="External"/><Relationship Id="rId1" Type="http://schemas.openxmlformats.org/officeDocument/2006/relationships/externalLinkPath" Target="/Users/RADHIKA/Downloads/EPF%20STAFF%20CODE%20REMITTED%20SPILT%20UPS%20%2020-21%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
      <sheetName val="Cash Flow"/>
      <sheetName val="GROUPINGS"/>
      <sheetName val="Final TB"/>
      <sheetName val="BALANCE SHEET"/>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OST"/>
      <sheetName val="Article"/>
      <sheetName val="CUMAA"/>
      <sheetName val="LIST"/>
      <sheetName val="laroux"/>
      <sheetName val="WIP97"/>
      <sheetName val="issuenneeeeee"/>
      <sheetName val="STOCKS"/>
      <sheetName val="OP"/>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s>
    <sheetDataSet>
      <sheetData sheetId="0" refreshError="1"/>
      <sheetData sheetId="1" refreshError="1">
        <row r="10">
          <cell r="B10" t="str">
            <v>205-811</v>
          </cell>
          <cell r="C10">
            <v>255.64</v>
          </cell>
          <cell r="D10">
            <v>14139</v>
          </cell>
          <cell r="E10">
            <v>3614493.96</v>
          </cell>
          <cell r="F10">
            <v>3.6195558384609945</v>
          </cell>
          <cell r="G10">
            <v>51176.9</v>
          </cell>
          <cell r="H10">
            <v>108.25</v>
          </cell>
          <cell r="I10">
            <v>1530546.75</v>
          </cell>
          <cell r="J10">
            <v>11.909999999999998</v>
          </cell>
          <cell r="K10">
            <v>9.5279999999999987</v>
          </cell>
          <cell r="L10">
            <v>134716.39199999999</v>
          </cell>
          <cell r="M10">
            <v>1716440.0419999999</v>
          </cell>
          <cell r="N10">
            <v>134.242444161539</v>
          </cell>
          <cell r="O10">
            <v>1898053.9180000001</v>
          </cell>
          <cell r="P10">
            <v>52.512300172719065</v>
          </cell>
        </row>
        <row r="11">
          <cell r="B11" t="str">
            <v>206-164</v>
          </cell>
          <cell r="C11">
            <v>316.41707547169813</v>
          </cell>
          <cell r="D11">
            <v>11872</v>
          </cell>
          <cell r="E11">
            <v>3756503.52</v>
          </cell>
          <cell r="F11">
            <v>3.7628200808625341</v>
          </cell>
          <cell r="G11">
            <v>44672.200000000004</v>
          </cell>
          <cell r="H11">
            <v>116.67</v>
          </cell>
          <cell r="I11">
            <v>1385106.24</v>
          </cell>
          <cell r="J11">
            <v>16</v>
          </cell>
          <cell r="K11">
            <v>12.8</v>
          </cell>
          <cell r="L11">
            <v>151961.60000000001</v>
          </cell>
          <cell r="M11">
            <v>1581740.04</v>
          </cell>
          <cell r="N11">
            <v>183.18425539083557</v>
          </cell>
          <cell r="O11">
            <v>2174763.48</v>
          </cell>
          <cell r="P11">
            <v>57.893290088012485</v>
          </cell>
        </row>
        <row r="12">
          <cell r="B12" t="str">
            <v>209-459</v>
          </cell>
          <cell r="C12">
            <v>431.20000000000005</v>
          </cell>
          <cell r="D12">
            <v>1674</v>
          </cell>
          <cell r="E12">
            <v>721828.8</v>
          </cell>
          <cell r="F12">
            <v>3.6107526881720435</v>
          </cell>
          <cell r="G12">
            <v>6044.4000000000005</v>
          </cell>
          <cell r="H12">
            <v>161</v>
          </cell>
          <cell r="I12">
            <v>269514</v>
          </cell>
          <cell r="J12">
            <v>14.32</v>
          </cell>
          <cell r="K12">
            <v>11.456000000000001</v>
          </cell>
          <cell r="L12">
            <v>19177.344000000001</v>
          </cell>
          <cell r="M12">
            <v>294735.74400000001</v>
          </cell>
          <cell r="N12">
            <v>255.13324731182797</v>
          </cell>
          <cell r="O12">
            <v>427093.05600000004</v>
          </cell>
          <cell r="P12">
            <v>59.168192790312602</v>
          </cell>
        </row>
        <row r="13">
          <cell r="B13" t="str">
            <v>209-468</v>
          </cell>
          <cell r="C13">
            <v>283.36</v>
          </cell>
          <cell r="D13">
            <v>13528</v>
          </cell>
          <cell r="E13">
            <v>3833294.08</v>
          </cell>
          <cell r="F13">
            <v>3.4445446481371973</v>
          </cell>
          <cell r="G13">
            <v>46597.8</v>
          </cell>
          <cell r="H13">
            <v>88.82</v>
          </cell>
          <cell r="I13">
            <v>1201556.96</v>
          </cell>
          <cell r="J13">
            <v>15</v>
          </cell>
          <cell r="K13">
            <v>12</v>
          </cell>
          <cell r="L13">
            <v>162336</v>
          </cell>
          <cell r="M13">
            <v>1410490.76</v>
          </cell>
          <cell r="N13">
            <v>179.09545535186282</v>
          </cell>
          <cell r="O13">
            <v>2422803.3200000003</v>
          </cell>
          <cell r="P13">
            <v>63.204212080696934</v>
          </cell>
        </row>
        <row r="14">
          <cell r="B14" t="str">
            <v>209-533</v>
          </cell>
          <cell r="C14">
            <v>335.72</v>
          </cell>
          <cell r="D14">
            <v>3189</v>
          </cell>
          <cell r="E14">
            <v>1070611.08</v>
          </cell>
          <cell r="F14">
            <v>3.1</v>
          </cell>
          <cell r="G14">
            <v>9885.9</v>
          </cell>
          <cell r="H14">
            <v>152.16999999999999</v>
          </cell>
          <cell r="I14">
            <v>485270.12999999995</v>
          </cell>
          <cell r="J14">
            <v>16</v>
          </cell>
          <cell r="K14">
            <v>12.8</v>
          </cell>
          <cell r="L14">
            <v>40819.200000000004</v>
          </cell>
          <cell r="M14">
            <v>535975.23</v>
          </cell>
          <cell r="N14">
            <v>167.65000000000003</v>
          </cell>
          <cell r="O14">
            <v>534635.85000000009</v>
          </cell>
          <cell r="P14">
            <v>49.937447873227697</v>
          </cell>
        </row>
        <row r="15">
          <cell r="B15" t="str">
            <v>209-534</v>
          </cell>
          <cell r="C15">
            <v>261.8</v>
          </cell>
          <cell r="D15">
            <v>1840</v>
          </cell>
          <cell r="E15">
            <v>481712</v>
          </cell>
          <cell r="F15">
            <v>3.5695652173913044</v>
          </cell>
          <cell r="G15">
            <v>6568</v>
          </cell>
          <cell r="H15">
            <v>94.25</v>
          </cell>
          <cell r="I15">
            <v>173420</v>
          </cell>
          <cell r="J15">
            <v>16</v>
          </cell>
          <cell r="K15">
            <v>12.8</v>
          </cell>
          <cell r="L15">
            <v>23552</v>
          </cell>
          <cell r="M15">
            <v>203540</v>
          </cell>
          <cell r="N15">
            <v>151.1804347826087</v>
          </cell>
          <cell r="O15">
            <v>278172</v>
          </cell>
          <cell r="P15">
            <v>57.746537350117912</v>
          </cell>
        </row>
        <row r="16">
          <cell r="B16" t="str">
            <v>209-535</v>
          </cell>
          <cell r="C16">
            <v>250.81291486163911</v>
          </cell>
          <cell r="D16">
            <v>22622</v>
          </cell>
          <cell r="E16">
            <v>5673889.7599999998</v>
          </cell>
          <cell r="F16">
            <v>3.6657766775705065</v>
          </cell>
          <cell r="G16">
            <v>82927.199999999997</v>
          </cell>
          <cell r="H16">
            <v>79.48</v>
          </cell>
          <cell r="I16">
            <v>1797996.56</v>
          </cell>
          <cell r="J16">
            <v>15</v>
          </cell>
          <cell r="K16">
            <v>12</v>
          </cell>
          <cell r="L16">
            <v>271464</v>
          </cell>
          <cell r="M16">
            <v>2152387.7600000002</v>
          </cell>
          <cell r="N16">
            <v>155.66713818406859</v>
          </cell>
          <cell r="O16">
            <v>3521501.9999999995</v>
          </cell>
          <cell r="P16">
            <v>62.065040897093496</v>
          </cell>
        </row>
        <row r="17">
          <cell r="B17" t="str">
            <v>209-545</v>
          </cell>
          <cell r="C17">
            <v>269.9213293768546</v>
          </cell>
          <cell r="D17">
            <v>1685</v>
          </cell>
          <cell r="E17">
            <v>454817.44</v>
          </cell>
          <cell r="F17">
            <v>3.6091988130563797</v>
          </cell>
          <cell r="G17">
            <v>6081.5</v>
          </cell>
          <cell r="H17">
            <v>102.97000000000001</v>
          </cell>
          <cell r="I17">
            <v>173504.45</v>
          </cell>
          <cell r="J17">
            <v>15</v>
          </cell>
          <cell r="K17">
            <v>12</v>
          </cell>
          <cell r="L17">
            <v>20220</v>
          </cell>
          <cell r="M17">
            <v>199805.95</v>
          </cell>
          <cell r="N17">
            <v>151.34213056379821</v>
          </cell>
          <cell r="O17">
            <v>255011.49</v>
          </cell>
          <cell r="P17">
            <v>56.068977917821258</v>
          </cell>
        </row>
        <row r="18">
          <cell r="B18" t="str">
            <v>209A340</v>
          </cell>
          <cell r="C18">
            <v>274.12</v>
          </cell>
          <cell r="D18">
            <v>2084</v>
          </cell>
          <cell r="E18">
            <v>571266.07999999996</v>
          </cell>
          <cell r="F18">
            <v>3.6043186180422269</v>
          </cell>
          <cell r="G18">
            <v>7511.4000000000005</v>
          </cell>
          <cell r="H18">
            <v>92.74</v>
          </cell>
          <cell r="I18">
            <v>193270.16</v>
          </cell>
          <cell r="J18">
            <v>13</v>
          </cell>
          <cell r="K18">
            <v>10.4</v>
          </cell>
          <cell r="L18">
            <v>21673.600000000002</v>
          </cell>
          <cell r="M18">
            <v>222455.16</v>
          </cell>
          <cell r="N18">
            <v>167.37568138195775</v>
          </cell>
          <cell r="O18">
            <v>348810.91999999993</v>
          </cell>
          <cell r="P18">
            <v>61.059273815102053</v>
          </cell>
        </row>
        <row r="19">
          <cell r="B19" t="str">
            <v>209A533</v>
          </cell>
          <cell r="C19">
            <v>505.12</v>
          </cell>
          <cell r="D19">
            <v>1197</v>
          </cell>
          <cell r="E19">
            <v>604628.64</v>
          </cell>
          <cell r="F19">
            <v>4.7775271512113626</v>
          </cell>
          <cell r="G19">
            <v>5718.7000000000007</v>
          </cell>
          <cell r="H19">
            <v>260.02</v>
          </cell>
          <cell r="I19">
            <v>311243.94</v>
          </cell>
          <cell r="J19">
            <v>16</v>
          </cell>
          <cell r="K19">
            <v>12.8</v>
          </cell>
          <cell r="L19">
            <v>15321.6</v>
          </cell>
          <cell r="M19">
            <v>332284.24</v>
          </cell>
          <cell r="N19">
            <v>227.52247284878865</v>
          </cell>
          <cell r="O19">
            <v>272344.40000000002</v>
          </cell>
          <cell r="P19">
            <v>45.043251672629999</v>
          </cell>
        </row>
        <row r="20">
          <cell r="B20" t="str">
            <v>217-428</v>
          </cell>
          <cell r="C20">
            <v>375.38659178534016</v>
          </cell>
          <cell r="D20">
            <v>89742</v>
          </cell>
          <cell r="E20">
            <v>33687943.519999996</v>
          </cell>
          <cell r="F20">
            <v>3.8845044683648684</v>
          </cell>
          <cell r="G20">
            <v>348603.2</v>
          </cell>
          <cell r="H20">
            <v>151</v>
          </cell>
          <cell r="I20">
            <v>13551042</v>
          </cell>
          <cell r="J20">
            <v>15.750000000000002</v>
          </cell>
          <cell r="K20">
            <v>12.600000000000001</v>
          </cell>
          <cell r="L20">
            <v>1130749.2000000002</v>
          </cell>
          <cell r="M20">
            <v>15030394.399999999</v>
          </cell>
          <cell r="N20">
            <v>207.9020873169753</v>
          </cell>
          <cell r="O20">
            <v>18657549.119999997</v>
          </cell>
          <cell r="P20">
            <v>55.383461174836356</v>
          </cell>
        </row>
        <row r="21">
          <cell r="B21" t="str">
            <v>217-540</v>
          </cell>
          <cell r="C21">
            <v>453.14552223059536</v>
          </cell>
          <cell r="D21">
            <v>13270</v>
          </cell>
          <cell r="E21">
            <v>6013241.0800000001</v>
          </cell>
          <cell r="F21">
            <v>3.9519216277317257</v>
          </cell>
          <cell r="G21">
            <v>52442</v>
          </cell>
          <cell r="H21">
            <v>193.72</v>
          </cell>
          <cell r="I21">
            <v>2570664.4</v>
          </cell>
          <cell r="J21">
            <v>15.980000000000002</v>
          </cell>
          <cell r="K21">
            <v>12.784000000000002</v>
          </cell>
          <cell r="L21">
            <v>169643.68000000002</v>
          </cell>
          <cell r="M21">
            <v>2792750.08</v>
          </cell>
          <cell r="N21">
            <v>242.68960060286361</v>
          </cell>
          <cell r="O21">
            <v>3220491</v>
          </cell>
          <cell r="P21">
            <v>53.556658666344369</v>
          </cell>
        </row>
        <row r="22">
          <cell r="B22" t="str">
            <v>217-573</v>
          </cell>
          <cell r="C22">
            <v>539</v>
          </cell>
          <cell r="D22">
            <v>1191</v>
          </cell>
          <cell r="E22">
            <v>641949</v>
          </cell>
          <cell r="F22">
            <v>3.2889168765743073</v>
          </cell>
          <cell r="G22">
            <v>3917.1</v>
          </cell>
          <cell r="H22">
            <v>232</v>
          </cell>
          <cell r="I22">
            <v>276312</v>
          </cell>
          <cell r="J22">
            <v>22.7</v>
          </cell>
          <cell r="K22">
            <v>18.16</v>
          </cell>
          <cell r="L22">
            <v>21628.560000000001</v>
          </cell>
          <cell r="M22">
            <v>301857.65999999997</v>
          </cell>
          <cell r="N22">
            <v>285.55108312342571</v>
          </cell>
          <cell r="O22">
            <v>340091.34</v>
          </cell>
          <cell r="P22">
            <v>52.977937499707927</v>
          </cell>
        </row>
        <row r="23">
          <cell r="B23" t="str">
            <v>217-661</v>
          </cell>
          <cell r="C23">
            <v>332.64</v>
          </cell>
          <cell r="D23">
            <v>3470</v>
          </cell>
          <cell r="E23">
            <v>1154260.8</v>
          </cell>
          <cell r="F23">
            <v>4.3608069164265126</v>
          </cell>
          <cell r="G23">
            <v>15132</v>
          </cell>
          <cell r="H23">
            <v>134.01</v>
          </cell>
          <cell r="I23">
            <v>465014.69999999995</v>
          </cell>
          <cell r="J23">
            <v>20</v>
          </cell>
          <cell r="K23">
            <v>16</v>
          </cell>
          <cell r="L23">
            <v>55520</v>
          </cell>
          <cell r="M23">
            <v>535666.69999999995</v>
          </cell>
          <cell r="N23">
            <v>178.26919308357353</v>
          </cell>
          <cell r="O23">
            <v>618594.10000000009</v>
          </cell>
          <cell r="P23">
            <v>53.592229762979059</v>
          </cell>
        </row>
        <row r="24">
          <cell r="B24" t="str">
            <v>217A428</v>
          </cell>
          <cell r="C24">
            <v>428.12</v>
          </cell>
          <cell r="D24">
            <v>2415</v>
          </cell>
          <cell r="E24">
            <v>1033909.8</v>
          </cell>
          <cell r="F24">
            <v>4.2706004140786753</v>
          </cell>
          <cell r="G24">
            <v>10313.5</v>
          </cell>
          <cell r="H24">
            <v>210.92</v>
          </cell>
          <cell r="I24">
            <v>509371.8</v>
          </cell>
          <cell r="J24">
            <v>16.100000000000001</v>
          </cell>
          <cell r="K24">
            <v>12.880000000000003</v>
          </cell>
          <cell r="L24">
            <v>31105.200000000004</v>
          </cell>
          <cell r="M24">
            <v>550790.5</v>
          </cell>
          <cell r="N24">
            <v>200.04939958592135</v>
          </cell>
          <cell r="O24">
            <v>483119.30000000005</v>
          </cell>
          <cell r="P24">
            <v>46.72741277817466</v>
          </cell>
        </row>
        <row r="28">
          <cell r="B28" t="str">
            <v>209-333</v>
          </cell>
          <cell r="C28">
            <v>347.02782972492417</v>
          </cell>
          <cell r="D28">
            <v>19122</v>
          </cell>
          <cell r="E28">
            <v>6635866.1600000001</v>
          </cell>
          <cell r="F28">
            <v>2.4813827005543354</v>
          </cell>
          <cell r="G28">
            <v>47449</v>
          </cell>
          <cell r="H28">
            <v>161.82</v>
          </cell>
          <cell r="I28">
            <v>3094322.04</v>
          </cell>
          <cell r="J28">
            <v>11.4</v>
          </cell>
          <cell r="K28">
            <v>9.120000000000001</v>
          </cell>
          <cell r="L28">
            <v>174392.64</v>
          </cell>
          <cell r="M28">
            <v>3316163.68</v>
          </cell>
          <cell r="N28">
            <v>173.60644702436983</v>
          </cell>
          <cell r="O28">
            <v>3319702.48</v>
          </cell>
          <cell r="P28">
            <v>50.026664190586992</v>
          </cell>
        </row>
        <row r="29">
          <cell r="B29" t="str">
            <v>209-338</v>
          </cell>
          <cell r="C29">
            <v>255.21881179715677</v>
          </cell>
          <cell r="D29">
            <v>28278</v>
          </cell>
          <cell r="E29">
            <v>7217077.5599999996</v>
          </cell>
          <cell r="F29">
            <v>2.563653723742839</v>
          </cell>
          <cell r="G29">
            <v>72495</v>
          </cell>
          <cell r="H29">
            <v>98.4</v>
          </cell>
          <cell r="I29">
            <v>2782555.2</v>
          </cell>
          <cell r="J29">
            <v>10.829999999999998</v>
          </cell>
          <cell r="K29">
            <v>8.6639999999999997</v>
          </cell>
          <cell r="L29">
            <v>245000.592</v>
          </cell>
          <cell r="M29">
            <v>3100050.7920000004</v>
          </cell>
          <cell r="N29">
            <v>145.59115807341394</v>
          </cell>
          <cell r="O29">
            <v>4117026.7679999992</v>
          </cell>
          <cell r="P29">
            <v>57.045621773808399</v>
          </cell>
        </row>
        <row r="30">
          <cell r="B30" t="str">
            <v>209-460</v>
          </cell>
          <cell r="C30">
            <v>264.87713742317061</v>
          </cell>
          <cell r="D30">
            <v>362166</v>
          </cell>
          <cell r="E30">
            <v>95929493.352000013</v>
          </cell>
          <cell r="F30">
            <v>2.4772397188029798</v>
          </cell>
          <cell r="G30">
            <v>897172</v>
          </cell>
          <cell r="H30">
            <v>124</v>
          </cell>
          <cell r="I30">
            <v>44908584</v>
          </cell>
          <cell r="J30">
            <v>14.960000000000004</v>
          </cell>
          <cell r="K30">
            <v>11.968000000000004</v>
          </cell>
          <cell r="L30">
            <v>4334402.688000001</v>
          </cell>
          <cell r="M30">
            <v>50140158.688000001</v>
          </cell>
          <cell r="N30">
            <v>126.43189770436764</v>
          </cell>
          <cell r="O30">
            <v>45789334.664000012</v>
          </cell>
          <cell r="P30">
            <v>47.732280307144315</v>
          </cell>
        </row>
        <row r="31">
          <cell r="B31" t="str">
            <v>209-473</v>
          </cell>
          <cell r="C31">
            <v>516.20799999999997</v>
          </cell>
          <cell r="D31">
            <v>2854</v>
          </cell>
          <cell r="E31">
            <v>1473257.632</v>
          </cell>
          <cell r="F31">
            <v>2.4113524877365102</v>
          </cell>
          <cell r="G31">
            <v>6882</v>
          </cell>
          <cell r="H31">
            <v>257.39</v>
          </cell>
          <cell r="I31">
            <v>734591.05999999994</v>
          </cell>
          <cell r="J31">
            <v>15</v>
          </cell>
          <cell r="K31">
            <v>12</v>
          </cell>
          <cell r="L31">
            <v>34248</v>
          </cell>
          <cell r="M31">
            <v>775721.05999999994</v>
          </cell>
          <cell r="N31">
            <v>244.4066475122635</v>
          </cell>
          <cell r="O31">
            <v>697536.57200000004</v>
          </cell>
          <cell r="P31">
            <v>47.346543934279111</v>
          </cell>
        </row>
        <row r="32">
          <cell r="B32" t="str">
            <v>209-591</v>
          </cell>
          <cell r="C32">
            <v>240.24</v>
          </cell>
          <cell r="D32">
            <v>16</v>
          </cell>
          <cell r="E32">
            <v>3843.84</v>
          </cell>
          <cell r="F32">
            <v>2</v>
          </cell>
          <cell r="G32">
            <v>32</v>
          </cell>
          <cell r="H32">
            <v>116</v>
          </cell>
          <cell r="I32">
            <v>1856</v>
          </cell>
          <cell r="J32">
            <v>11.7</v>
          </cell>
          <cell r="K32">
            <v>9.36</v>
          </cell>
          <cell r="L32">
            <v>149.76</v>
          </cell>
          <cell r="M32">
            <v>2037.76</v>
          </cell>
          <cell r="N32">
            <v>112.88000000000001</v>
          </cell>
          <cell r="O32">
            <v>1806.0800000000002</v>
          </cell>
          <cell r="P32">
            <v>46.986346986346987</v>
          </cell>
        </row>
        <row r="33">
          <cell r="B33" t="str">
            <v>209-624</v>
          </cell>
          <cell r="C33">
            <v>250.6</v>
          </cell>
          <cell r="D33">
            <v>22</v>
          </cell>
          <cell r="E33">
            <v>5513.2</v>
          </cell>
          <cell r="F33">
            <v>2</v>
          </cell>
          <cell r="G33">
            <v>44</v>
          </cell>
          <cell r="H33">
            <v>106.21</v>
          </cell>
          <cell r="I33">
            <v>2336.62</v>
          </cell>
          <cell r="J33">
            <v>12.080000000000002</v>
          </cell>
          <cell r="K33">
            <v>9.6640000000000015</v>
          </cell>
          <cell r="L33">
            <v>212.60800000000003</v>
          </cell>
          <cell r="M33">
            <v>2593.2280000000001</v>
          </cell>
          <cell r="N33">
            <v>132.726</v>
          </cell>
          <cell r="O33">
            <v>2919.9719999999998</v>
          </cell>
          <cell r="P33">
            <v>52.963288108539508</v>
          </cell>
        </row>
        <row r="34">
          <cell r="B34" t="str">
            <v>217-675</v>
          </cell>
          <cell r="C34">
            <v>445.46828103076552</v>
          </cell>
          <cell r="D34">
            <v>29221</v>
          </cell>
          <cell r="E34">
            <v>13017028.639999999</v>
          </cell>
          <cell r="F34">
            <v>2.9329933951610143</v>
          </cell>
          <cell r="G34">
            <v>85705</v>
          </cell>
          <cell r="H34">
            <v>204.1</v>
          </cell>
          <cell r="I34">
            <v>5964006.0999999996</v>
          </cell>
          <cell r="J34">
            <v>19.21</v>
          </cell>
          <cell r="K34">
            <v>15.368000000000002</v>
          </cell>
          <cell r="L34">
            <v>449068.32800000004</v>
          </cell>
          <cell r="M34">
            <v>6498779.4279999994</v>
          </cell>
          <cell r="N34">
            <v>223.06728763560452</v>
          </cell>
          <cell r="O34">
            <v>6518249.2119999994</v>
          </cell>
          <cell r="P34">
            <v>50.074785823010991</v>
          </cell>
        </row>
        <row r="35">
          <cell r="B35" t="str">
            <v>217-718</v>
          </cell>
          <cell r="C35">
            <v>348.4361421158174</v>
          </cell>
          <cell r="D35">
            <v>65327</v>
          </cell>
          <cell r="E35">
            <v>22762287.856000002</v>
          </cell>
          <cell r="F35">
            <v>2.8145789642873544</v>
          </cell>
          <cell r="G35">
            <v>183868</v>
          </cell>
          <cell r="H35">
            <v>199.22</v>
          </cell>
          <cell r="I35">
            <v>13014444.939999999</v>
          </cell>
          <cell r="J35">
            <v>15</v>
          </cell>
          <cell r="K35">
            <v>12</v>
          </cell>
          <cell r="L35">
            <v>783924</v>
          </cell>
          <cell r="M35">
            <v>13982236.939999999</v>
          </cell>
          <cell r="N35">
            <v>134.40156315153004</v>
          </cell>
          <cell r="O35">
            <v>8780050.916000003</v>
          </cell>
          <cell r="P35">
            <v>38.572796247656775</v>
          </cell>
        </row>
        <row r="36">
          <cell r="B36" t="str">
            <v>217-722</v>
          </cell>
          <cell r="C36">
            <v>255.64000000000001</v>
          </cell>
          <cell r="D36">
            <v>29887</v>
          </cell>
          <cell r="E36">
            <v>7640312.6800000006</v>
          </cell>
          <cell r="F36">
            <v>3.2140730083313813</v>
          </cell>
          <cell r="G36">
            <v>96059</v>
          </cell>
          <cell r="H36">
            <v>136.11000000000001</v>
          </cell>
          <cell r="I36">
            <v>4067919.5700000003</v>
          </cell>
          <cell r="J36">
            <v>15</v>
          </cell>
          <cell r="K36">
            <v>12</v>
          </cell>
          <cell r="L36">
            <v>358644</v>
          </cell>
          <cell r="M36">
            <v>4522622.57</v>
          </cell>
          <cell r="N36">
            <v>104.31592699166863</v>
          </cell>
          <cell r="O36">
            <v>3117690.1100000003</v>
          </cell>
          <cell r="P36">
            <v>40.805792126298165</v>
          </cell>
        </row>
        <row r="37">
          <cell r="B37" t="str">
            <v>217-781</v>
          </cell>
          <cell r="C37">
            <v>688.68799999999999</v>
          </cell>
          <cell r="D37">
            <v>8</v>
          </cell>
          <cell r="E37">
            <v>5509.5039999999999</v>
          </cell>
          <cell r="F37">
            <v>2</v>
          </cell>
          <cell r="G37">
            <v>16</v>
          </cell>
          <cell r="H37">
            <v>357.44</v>
          </cell>
          <cell r="I37">
            <v>2859.52</v>
          </cell>
          <cell r="J37">
            <v>18.22</v>
          </cell>
          <cell r="K37">
            <v>14.576000000000001</v>
          </cell>
          <cell r="L37">
            <v>116.608</v>
          </cell>
          <cell r="M37">
            <v>2992.1280000000002</v>
          </cell>
          <cell r="N37">
            <v>314.67199999999997</v>
          </cell>
          <cell r="O37">
            <v>2517.3759999999997</v>
          </cell>
          <cell r="P37">
            <v>45.691517784541034</v>
          </cell>
        </row>
        <row r="38">
          <cell r="B38" t="str">
            <v>217-782</v>
          </cell>
          <cell r="C38">
            <v>252.55999999999997</v>
          </cell>
          <cell r="D38">
            <v>12</v>
          </cell>
          <cell r="E38">
            <v>3030.72</v>
          </cell>
          <cell r="F38">
            <v>2</v>
          </cell>
          <cell r="G38">
            <v>24</v>
          </cell>
          <cell r="H38">
            <v>131.69999999999999</v>
          </cell>
          <cell r="I38">
            <v>1580.3999999999999</v>
          </cell>
          <cell r="J38">
            <v>16.940000000000001</v>
          </cell>
          <cell r="K38">
            <v>13.552000000000001</v>
          </cell>
          <cell r="L38">
            <v>162.62400000000002</v>
          </cell>
          <cell r="M38">
            <v>1767.0239999999999</v>
          </cell>
          <cell r="N38">
            <v>105.30799999999999</v>
          </cell>
          <cell r="O38">
            <v>1263.6959999999999</v>
          </cell>
          <cell r="P38">
            <v>41.696230598669629</v>
          </cell>
        </row>
        <row r="39">
          <cell r="B39" t="str">
            <v>237-114</v>
          </cell>
          <cell r="C39">
            <v>423.13521126760565</v>
          </cell>
          <cell r="D39">
            <v>18744</v>
          </cell>
          <cell r="E39">
            <v>7931246.4000000004</v>
          </cell>
          <cell r="F39">
            <v>2.6033930857874519</v>
          </cell>
          <cell r="G39">
            <v>48798</v>
          </cell>
          <cell r="H39">
            <v>178.74</v>
          </cell>
          <cell r="I39">
            <v>3350302.56</v>
          </cell>
          <cell r="J39">
            <v>15</v>
          </cell>
          <cell r="K39">
            <v>12</v>
          </cell>
          <cell r="L39">
            <v>224928</v>
          </cell>
          <cell r="M39">
            <v>3624028.56</v>
          </cell>
          <cell r="N39">
            <v>229.79181818181817</v>
          </cell>
          <cell r="O39">
            <v>4307217.84</v>
          </cell>
          <cell r="P39">
            <v>54.306947770529476</v>
          </cell>
        </row>
        <row r="40">
          <cell r="B40" t="str">
            <v>317-022</v>
          </cell>
          <cell r="C40">
            <v>332.64</v>
          </cell>
          <cell r="D40">
            <v>14</v>
          </cell>
          <cell r="E40">
            <v>4656.96</v>
          </cell>
          <cell r="F40">
            <v>2</v>
          </cell>
          <cell r="G40">
            <v>28</v>
          </cell>
          <cell r="H40">
            <v>212.22</v>
          </cell>
          <cell r="I40">
            <v>2971.08</v>
          </cell>
          <cell r="J40">
            <v>20.43</v>
          </cell>
          <cell r="K40">
            <v>16.344000000000001</v>
          </cell>
          <cell r="L40">
            <v>228.81600000000003</v>
          </cell>
          <cell r="M40">
            <v>3227.8959999999997</v>
          </cell>
          <cell r="N40">
            <v>102.07600000000002</v>
          </cell>
          <cell r="O40">
            <v>1429.0640000000003</v>
          </cell>
          <cell r="P40">
            <v>30.686628186628194</v>
          </cell>
        </row>
        <row r="41">
          <cell r="B41" t="str">
            <v>317-023</v>
          </cell>
          <cell r="C41">
            <v>381.875</v>
          </cell>
          <cell r="D41">
            <v>8</v>
          </cell>
          <cell r="E41">
            <v>3055</v>
          </cell>
          <cell r="F41">
            <v>2</v>
          </cell>
          <cell r="G41">
            <v>16</v>
          </cell>
          <cell r="H41">
            <v>179.9</v>
          </cell>
          <cell r="I41">
            <v>1439.2</v>
          </cell>
          <cell r="J41">
            <v>19.37</v>
          </cell>
          <cell r="K41">
            <v>15.496000000000002</v>
          </cell>
          <cell r="L41">
            <v>123.96800000000002</v>
          </cell>
          <cell r="M41">
            <v>1579.1680000000001</v>
          </cell>
          <cell r="N41">
            <v>184.47899999999998</v>
          </cell>
          <cell r="O41">
            <v>1475.8319999999999</v>
          </cell>
          <cell r="P41">
            <v>48.308739770867426</v>
          </cell>
        </row>
        <row r="51">
          <cell r="B51" t="str">
            <v>209-333</v>
          </cell>
          <cell r="C51">
            <v>348.86804536357573</v>
          </cell>
          <cell r="D51">
            <v>4497</v>
          </cell>
          <cell r="E51">
            <v>1568859.6</v>
          </cell>
          <cell r="F51">
            <v>2.7627307093617968</v>
          </cell>
          <cell r="G51">
            <v>12424</v>
          </cell>
          <cell r="H51">
            <v>161.82</v>
          </cell>
          <cell r="I51">
            <v>727704.53999999992</v>
          </cell>
          <cell r="J51">
            <v>11.4</v>
          </cell>
          <cell r="K51">
            <v>9.120000000000001</v>
          </cell>
          <cell r="L51">
            <v>41012.640000000007</v>
          </cell>
          <cell r="M51">
            <v>781141.17999999993</v>
          </cell>
          <cell r="N51">
            <v>175.16531465421394</v>
          </cell>
          <cell r="O51">
            <v>787718.42000000016</v>
          </cell>
          <cell r="P51">
            <v>50.20961850250972</v>
          </cell>
        </row>
        <row r="52">
          <cell r="B52" t="str">
            <v>217-431</v>
          </cell>
          <cell r="C52">
            <v>378.84</v>
          </cell>
          <cell r="D52">
            <v>5491</v>
          </cell>
          <cell r="E52">
            <v>2080210.44</v>
          </cell>
          <cell r="F52">
            <v>3.4969950828628664</v>
          </cell>
          <cell r="G52">
            <v>19202</v>
          </cell>
          <cell r="H52">
            <v>143.12</v>
          </cell>
          <cell r="I52">
            <v>785871.92</v>
          </cell>
          <cell r="J52">
            <v>15.41</v>
          </cell>
          <cell r="K52">
            <v>12.328000000000001</v>
          </cell>
          <cell r="L52">
            <v>67693.04800000001</v>
          </cell>
          <cell r="M52">
            <v>872766.96800000011</v>
          </cell>
          <cell r="N52">
            <v>219.8950049171371</v>
          </cell>
          <cell r="O52">
            <v>1207443.4719999998</v>
          </cell>
          <cell r="P52">
            <v>58.044294403214316</v>
          </cell>
        </row>
        <row r="53">
          <cell r="B53" t="str">
            <v>217-675</v>
          </cell>
          <cell r="C53">
            <v>442.26289913159655</v>
          </cell>
          <cell r="D53">
            <v>2994</v>
          </cell>
          <cell r="E53">
            <v>1324135.1200000001</v>
          </cell>
          <cell r="F53">
            <v>5.94188376753507</v>
          </cell>
          <cell r="G53">
            <v>17790</v>
          </cell>
          <cell r="H53">
            <v>204.1</v>
          </cell>
          <cell r="I53">
            <v>611075.4</v>
          </cell>
          <cell r="J53">
            <v>19.21</v>
          </cell>
          <cell r="K53">
            <v>15.368000000000002</v>
          </cell>
          <cell r="L53">
            <v>46011.792000000009</v>
          </cell>
          <cell r="M53">
            <v>674877.19200000004</v>
          </cell>
          <cell r="N53">
            <v>216.85301536406149</v>
          </cell>
          <cell r="O53">
            <v>649257.92800000007</v>
          </cell>
          <cell r="P53">
            <v>49.032603862965288</v>
          </cell>
        </row>
        <row r="59">
          <cell r="B59" t="str">
            <v>209-555</v>
          </cell>
          <cell r="C59">
            <v>246.4</v>
          </cell>
          <cell r="D59">
            <v>12589</v>
          </cell>
          <cell r="E59">
            <v>3101929.6</v>
          </cell>
          <cell r="F59">
            <v>1.5739999999999998</v>
          </cell>
          <cell r="G59">
            <v>19815.085999999999</v>
          </cell>
          <cell r="H59">
            <v>135.69</v>
          </cell>
          <cell r="I59">
            <v>1708201.41</v>
          </cell>
          <cell r="J59">
            <v>12.5</v>
          </cell>
          <cell r="K59">
            <v>10</v>
          </cell>
          <cell r="L59">
            <v>125890</v>
          </cell>
          <cell r="M59">
            <v>1853906.4959999998</v>
          </cell>
          <cell r="N59">
            <v>99.136000000000024</v>
          </cell>
          <cell r="O59">
            <v>1248023.1040000003</v>
          </cell>
          <cell r="P59">
            <v>40.233766233766247</v>
          </cell>
        </row>
        <row r="60">
          <cell r="B60" t="str">
            <v>751-071</v>
          </cell>
          <cell r="C60">
            <v>71.455999999999989</v>
          </cell>
          <cell r="D60">
            <v>1199</v>
          </cell>
          <cell r="E60">
            <v>85675.743999999992</v>
          </cell>
          <cell r="F60">
            <v>1.5740000000000001</v>
          </cell>
          <cell r="G60">
            <v>1887.2260000000001</v>
          </cell>
          <cell r="H60">
            <v>34.979999999999997</v>
          </cell>
          <cell r="I60">
            <v>41941.019999999997</v>
          </cell>
          <cell r="J60">
            <v>4.7</v>
          </cell>
          <cell r="K60">
            <v>3.7600000000000007</v>
          </cell>
          <cell r="L60">
            <v>4508.2400000000007</v>
          </cell>
          <cell r="M60">
            <v>48336.485999999997</v>
          </cell>
          <cell r="N60">
            <v>31.141999999999996</v>
          </cell>
          <cell r="O60">
            <v>37339.257999999994</v>
          </cell>
          <cell r="P60">
            <v>43.582064487236906</v>
          </cell>
        </row>
        <row r="61">
          <cell r="B61" t="str">
            <v>751-075</v>
          </cell>
          <cell r="C61">
            <v>127.512</v>
          </cell>
          <cell r="D61">
            <v>760</v>
          </cell>
          <cell r="E61">
            <v>96909.119999999995</v>
          </cell>
          <cell r="F61">
            <v>1.5740000000000001</v>
          </cell>
          <cell r="G61">
            <v>1196.24</v>
          </cell>
          <cell r="H61">
            <v>66.290000000000006</v>
          </cell>
          <cell r="I61">
            <v>50380.4</v>
          </cell>
          <cell r="J61">
            <v>5.1899999999999995</v>
          </cell>
          <cell r="K61">
            <v>4.1520000000000001</v>
          </cell>
          <cell r="L61">
            <v>3155.52</v>
          </cell>
          <cell r="M61">
            <v>54732.159999999996</v>
          </cell>
          <cell r="N61">
            <v>55.496000000000002</v>
          </cell>
          <cell r="O61">
            <v>42176.959999999999</v>
          </cell>
          <cell r="P61">
            <v>43.522178304787005</v>
          </cell>
        </row>
        <row r="62">
          <cell r="B62" t="str">
            <v>751-751</v>
          </cell>
          <cell r="C62">
            <v>191.57599999999999</v>
          </cell>
          <cell r="D62">
            <v>1692</v>
          </cell>
          <cell r="E62">
            <v>324146.592</v>
          </cell>
          <cell r="F62">
            <v>1.5740000000000001</v>
          </cell>
          <cell r="G62">
            <v>2663.2080000000001</v>
          </cell>
          <cell r="H62">
            <v>102.30999999999999</v>
          </cell>
          <cell r="I62">
            <v>173108.52</v>
          </cell>
          <cell r="J62">
            <v>6.2000000000000011</v>
          </cell>
          <cell r="K62">
            <v>4.9600000000000009</v>
          </cell>
          <cell r="L62">
            <v>8392.3200000000015</v>
          </cell>
          <cell r="M62">
            <v>184164.04800000001</v>
          </cell>
          <cell r="N62">
            <v>82.731999999999999</v>
          </cell>
          <cell r="O62">
            <v>139982.54399999999</v>
          </cell>
          <cell r="P62">
            <v>43.184950098133378</v>
          </cell>
        </row>
        <row r="63">
          <cell r="B63" t="str">
            <v>751-752</v>
          </cell>
          <cell r="C63">
            <v>133.05599999999998</v>
          </cell>
          <cell r="D63">
            <v>570</v>
          </cell>
          <cell r="E63">
            <v>75841.919999999998</v>
          </cell>
          <cell r="F63">
            <v>1.5740000000000001</v>
          </cell>
          <cell r="G63">
            <v>897.18000000000006</v>
          </cell>
          <cell r="H63">
            <v>69.180000000000007</v>
          </cell>
          <cell r="I63">
            <v>39432.600000000006</v>
          </cell>
          <cell r="J63">
            <v>5.44</v>
          </cell>
          <cell r="K63">
            <v>4.3520000000000003</v>
          </cell>
          <cell r="L63">
            <v>2480.6400000000003</v>
          </cell>
          <cell r="M63">
            <v>42810.420000000006</v>
          </cell>
          <cell r="N63">
            <v>57.949999999999989</v>
          </cell>
          <cell r="O63">
            <v>33031.499999999993</v>
          </cell>
          <cell r="P63">
            <v>43.553090428090421</v>
          </cell>
        </row>
        <row r="64">
          <cell r="G64">
            <v>0</v>
          </cell>
        </row>
        <row r="65">
          <cell r="B65" t="str">
            <v>70-730</v>
          </cell>
          <cell r="C65">
            <v>73.92</v>
          </cell>
          <cell r="D65">
            <v>2467</v>
          </cell>
          <cell r="E65">
            <v>182360.64</v>
          </cell>
          <cell r="F65">
            <v>1.5740000000000001</v>
          </cell>
          <cell r="G65">
            <v>3883.058</v>
          </cell>
          <cell r="H65">
            <v>37.94</v>
          </cell>
          <cell r="I65">
            <v>93597.98</v>
          </cell>
          <cell r="J65">
            <v>5.7599999999999989</v>
          </cell>
          <cell r="K65">
            <v>4.6079999999999997</v>
          </cell>
          <cell r="L65">
            <v>11367.936</v>
          </cell>
          <cell r="M65">
            <v>108848.974</v>
          </cell>
          <cell r="N65">
            <v>29.798000000000005</v>
          </cell>
          <cell r="O65">
            <v>73511.666000000012</v>
          </cell>
          <cell r="P65">
            <v>40.311147186147195</v>
          </cell>
        </row>
        <row r="66">
          <cell r="B66" t="str">
            <v>70-734</v>
          </cell>
          <cell r="C66">
            <v>94.864000000000004</v>
          </cell>
          <cell r="D66">
            <v>1482</v>
          </cell>
          <cell r="E66">
            <v>140588.448</v>
          </cell>
          <cell r="F66">
            <v>1.5740000000000001</v>
          </cell>
          <cell r="G66">
            <v>2332.6680000000001</v>
          </cell>
          <cell r="H66">
            <v>59.43</v>
          </cell>
          <cell r="I66">
            <v>88075.26</v>
          </cell>
          <cell r="J66">
            <v>4.83</v>
          </cell>
          <cell r="K66">
            <v>3.8640000000000003</v>
          </cell>
          <cell r="L66">
            <v>5726.4480000000003</v>
          </cell>
          <cell r="M66">
            <v>96134.376000000004</v>
          </cell>
          <cell r="N66">
            <v>29.995999999999999</v>
          </cell>
          <cell r="O66">
            <v>44454.072</v>
          </cell>
          <cell r="P66">
            <v>31.620003373250121</v>
          </cell>
        </row>
        <row r="67">
          <cell r="G67">
            <v>0</v>
          </cell>
        </row>
        <row r="68">
          <cell r="B68" t="str">
            <v>70-703</v>
          </cell>
          <cell r="C68">
            <v>102.256</v>
          </cell>
          <cell r="D68">
            <v>1188</v>
          </cell>
          <cell r="E68">
            <v>121480.128</v>
          </cell>
          <cell r="F68">
            <v>1.5740000000000001</v>
          </cell>
          <cell r="G68">
            <v>1869.912</v>
          </cell>
          <cell r="H68">
            <v>61.45</v>
          </cell>
          <cell r="I68">
            <v>73002.600000000006</v>
          </cell>
          <cell r="J68">
            <v>5.67</v>
          </cell>
          <cell r="K68">
            <v>4.5360000000000005</v>
          </cell>
          <cell r="L68">
            <v>5388.7680000000009</v>
          </cell>
          <cell r="M68">
            <v>80261.279999999999</v>
          </cell>
          <cell r="N68">
            <v>34.695999999999998</v>
          </cell>
          <cell r="O68">
            <v>41218.847999999998</v>
          </cell>
          <cell r="P68">
            <v>33.930527304021282</v>
          </cell>
        </row>
        <row r="69">
          <cell r="G69">
            <v>0</v>
          </cell>
        </row>
        <row r="70">
          <cell r="B70" t="str">
            <v>70-580</v>
          </cell>
          <cell r="C70">
            <v>86.856000000000009</v>
          </cell>
          <cell r="D70">
            <v>6</v>
          </cell>
          <cell r="E70">
            <v>521.13600000000008</v>
          </cell>
          <cell r="F70">
            <v>1.5740000000000001</v>
          </cell>
          <cell r="G70">
            <v>9.4440000000000008</v>
          </cell>
          <cell r="H70">
            <v>43.35</v>
          </cell>
          <cell r="I70">
            <v>260.10000000000002</v>
          </cell>
          <cell r="J70">
            <v>5.43</v>
          </cell>
          <cell r="K70">
            <v>4.3440000000000003</v>
          </cell>
          <cell r="L70">
            <v>26.064</v>
          </cell>
          <cell r="M70">
            <v>295.60800000000006</v>
          </cell>
          <cell r="N70">
            <v>37.588000000000001</v>
          </cell>
          <cell r="O70">
            <v>225.52800000000002</v>
          </cell>
          <cell r="P70">
            <v>43.276227318780506</v>
          </cell>
        </row>
        <row r="71">
          <cell r="B71" t="str">
            <v>70-611</v>
          </cell>
          <cell r="C71">
            <v>73.92</v>
          </cell>
          <cell r="D71">
            <v>892</v>
          </cell>
          <cell r="E71">
            <v>65936.639999999999</v>
          </cell>
          <cell r="F71">
            <v>1.5740000000000001</v>
          </cell>
          <cell r="G71">
            <v>1404.008</v>
          </cell>
          <cell r="H71">
            <v>37.64</v>
          </cell>
          <cell r="I71">
            <v>33574.879999999997</v>
          </cell>
          <cell r="J71">
            <v>4.7699999999999996</v>
          </cell>
          <cell r="K71">
            <v>3.8159999999999998</v>
          </cell>
          <cell r="L71">
            <v>3403.8719999999998</v>
          </cell>
          <cell r="M71">
            <v>38382.76</v>
          </cell>
          <cell r="N71">
            <v>30.889999999999997</v>
          </cell>
          <cell r="O71">
            <v>27553.879999999997</v>
          </cell>
          <cell r="P71">
            <v>41.788419913419908</v>
          </cell>
        </row>
        <row r="72">
          <cell r="B72" t="str">
            <v>70-627</v>
          </cell>
          <cell r="C72">
            <v>107.8</v>
          </cell>
          <cell r="D72">
            <v>275</v>
          </cell>
          <cell r="E72">
            <v>29645</v>
          </cell>
          <cell r="F72">
            <v>1.5740000000000001</v>
          </cell>
          <cell r="G72">
            <v>432.85</v>
          </cell>
          <cell r="H72">
            <v>53.27</v>
          </cell>
          <cell r="I72">
            <v>14649.25</v>
          </cell>
          <cell r="J72">
            <v>4.78</v>
          </cell>
          <cell r="K72">
            <v>3.8240000000000003</v>
          </cell>
          <cell r="L72">
            <v>1051.6000000000001</v>
          </cell>
          <cell r="M72">
            <v>16133.7</v>
          </cell>
          <cell r="N72">
            <v>49.131999999999998</v>
          </cell>
          <cell r="O72">
            <v>13511.3</v>
          </cell>
          <cell r="P72">
            <v>45.576994434137291</v>
          </cell>
        </row>
        <row r="73">
          <cell r="B73" t="str">
            <v>70-633</v>
          </cell>
          <cell r="C73">
            <v>73.92</v>
          </cell>
          <cell r="D73">
            <v>149</v>
          </cell>
          <cell r="E73">
            <v>11014.08</v>
          </cell>
          <cell r="F73">
            <v>1.5740000000000001</v>
          </cell>
          <cell r="G73">
            <v>234.52600000000001</v>
          </cell>
          <cell r="H73">
            <v>39</v>
          </cell>
          <cell r="I73">
            <v>5811</v>
          </cell>
          <cell r="J73">
            <v>4.74</v>
          </cell>
          <cell r="K73">
            <v>3.7920000000000003</v>
          </cell>
          <cell r="L73">
            <v>565.00800000000004</v>
          </cell>
          <cell r="M73">
            <v>6610.5339999999997</v>
          </cell>
          <cell r="N73">
            <v>29.554000000000002</v>
          </cell>
          <cell r="O73">
            <v>4403.5460000000003</v>
          </cell>
          <cell r="P73">
            <v>39.981060606060609</v>
          </cell>
        </row>
        <row r="74">
          <cell r="B74" t="str">
            <v>70- 734</v>
          </cell>
          <cell r="C74">
            <v>94.864000000000004</v>
          </cell>
          <cell r="D74">
            <v>495</v>
          </cell>
          <cell r="E74">
            <v>46957.68</v>
          </cell>
          <cell r="F74">
            <v>1.5740000000000001</v>
          </cell>
          <cell r="G74">
            <v>779.13</v>
          </cell>
          <cell r="H74">
            <v>59.43</v>
          </cell>
          <cell r="I74">
            <v>29417.85</v>
          </cell>
          <cell r="J74">
            <v>4.83</v>
          </cell>
          <cell r="K74">
            <v>3.8640000000000003</v>
          </cell>
          <cell r="L74">
            <v>1912.68</v>
          </cell>
          <cell r="M74">
            <v>32109.66</v>
          </cell>
          <cell r="N74">
            <v>29.996000000000002</v>
          </cell>
          <cell r="O74">
            <v>14848.02</v>
          </cell>
          <cell r="P74">
            <v>31.620003373250128</v>
          </cell>
        </row>
        <row r="75">
          <cell r="B75" t="str">
            <v>77-454</v>
          </cell>
          <cell r="C75">
            <v>58.519999999999996</v>
          </cell>
          <cell r="D75">
            <v>1999</v>
          </cell>
          <cell r="E75">
            <v>116981.48</v>
          </cell>
          <cell r="F75">
            <v>1.5740000000000001</v>
          </cell>
          <cell r="G75">
            <v>3146.4259999999999</v>
          </cell>
          <cell r="H75">
            <v>35.6</v>
          </cell>
          <cell r="I75">
            <v>71164.400000000009</v>
          </cell>
          <cell r="J75">
            <v>3.77</v>
          </cell>
          <cell r="K75">
            <v>3.016</v>
          </cell>
          <cell r="L75">
            <v>6028.9840000000004</v>
          </cell>
          <cell r="M75">
            <v>80339.810000000012</v>
          </cell>
          <cell r="N75">
            <v>18.329999999999991</v>
          </cell>
          <cell r="O75">
            <v>36641.669999999984</v>
          </cell>
          <cell r="P75">
            <v>31.322624743677363</v>
          </cell>
        </row>
        <row r="76">
          <cell r="B76" t="str">
            <v>77-480</v>
          </cell>
          <cell r="C76">
            <v>54.824000000000005</v>
          </cell>
          <cell r="D76">
            <v>4744</v>
          </cell>
          <cell r="E76">
            <v>260085.05600000001</v>
          </cell>
          <cell r="F76">
            <v>1.5740000000000001</v>
          </cell>
          <cell r="G76">
            <v>7467.0560000000005</v>
          </cell>
          <cell r="H76">
            <v>33.200000000000003</v>
          </cell>
          <cell r="I76">
            <v>157500.80000000002</v>
          </cell>
          <cell r="J76">
            <v>3.79</v>
          </cell>
          <cell r="K76">
            <v>3.032</v>
          </cell>
          <cell r="L76">
            <v>14383.808000000001</v>
          </cell>
          <cell r="M76">
            <v>179351.66400000002</v>
          </cell>
          <cell r="N76">
            <v>17.017999999999997</v>
          </cell>
          <cell r="O76">
            <v>80733.391999999993</v>
          </cell>
          <cell r="P76">
            <v>31.041149861374574</v>
          </cell>
        </row>
        <row r="77">
          <cell r="B77" t="str">
            <v>77-481</v>
          </cell>
          <cell r="C77">
            <v>66.528000000000006</v>
          </cell>
          <cell r="D77">
            <v>5073</v>
          </cell>
          <cell r="E77">
            <v>337496.54399999999</v>
          </cell>
          <cell r="F77">
            <v>1.5740000000000001</v>
          </cell>
          <cell r="G77">
            <v>7984.902</v>
          </cell>
          <cell r="H77">
            <v>39.549999999999997</v>
          </cell>
          <cell r="I77">
            <v>200637.15</v>
          </cell>
          <cell r="J77">
            <v>4.5199999999999987</v>
          </cell>
          <cell r="K77">
            <v>3.6159999999999992</v>
          </cell>
          <cell r="L77">
            <v>18343.967999999997</v>
          </cell>
          <cell r="M77">
            <v>226966.02</v>
          </cell>
          <cell r="N77">
            <v>21.788</v>
          </cell>
          <cell r="O77">
            <v>110530.524</v>
          </cell>
          <cell r="P77">
            <v>32.750120250120247</v>
          </cell>
        </row>
        <row r="78">
          <cell r="B78" t="str">
            <v>77-490</v>
          </cell>
          <cell r="C78">
            <v>99.792000000000002</v>
          </cell>
          <cell r="D78">
            <v>7169</v>
          </cell>
          <cell r="E78">
            <v>715408.848</v>
          </cell>
          <cell r="F78">
            <v>1.5740000000000001</v>
          </cell>
          <cell r="G78">
            <v>11284.006000000001</v>
          </cell>
          <cell r="H78">
            <v>52.9</v>
          </cell>
          <cell r="I78">
            <v>379240.1</v>
          </cell>
          <cell r="J78">
            <v>3.96</v>
          </cell>
          <cell r="K78">
            <v>3.1680000000000001</v>
          </cell>
          <cell r="L78">
            <v>22711.392</v>
          </cell>
          <cell r="M78">
            <v>413235.49799999996</v>
          </cell>
          <cell r="N78">
            <v>42.150000000000006</v>
          </cell>
          <cell r="O78">
            <v>302173.35000000003</v>
          </cell>
          <cell r="P78">
            <v>42.23785473785474</v>
          </cell>
        </row>
        <row r="79">
          <cell r="B79" t="str">
            <v>79X194</v>
          </cell>
          <cell r="C79">
            <v>66.528000000000006</v>
          </cell>
          <cell r="D79">
            <v>39</v>
          </cell>
          <cell r="E79">
            <v>2594.5920000000001</v>
          </cell>
          <cell r="F79">
            <v>1.5740000000000001</v>
          </cell>
          <cell r="G79">
            <v>61.386000000000003</v>
          </cell>
          <cell r="H79">
            <v>32.299999999999997</v>
          </cell>
          <cell r="I79">
            <v>1259.6999999999998</v>
          </cell>
          <cell r="J79">
            <v>4.7099999999999991</v>
          </cell>
          <cell r="K79">
            <v>3.7679999999999998</v>
          </cell>
          <cell r="L79">
            <v>146.952</v>
          </cell>
          <cell r="M79">
            <v>1468.0379999999998</v>
          </cell>
          <cell r="N79">
            <v>28.886000000000006</v>
          </cell>
          <cell r="O79">
            <v>1126.5540000000003</v>
          </cell>
          <cell r="P79">
            <v>43.419312169312171</v>
          </cell>
        </row>
        <row r="80">
          <cell r="B80" t="str">
            <v>79X208</v>
          </cell>
          <cell r="C80">
            <v>82.543999999999997</v>
          </cell>
          <cell r="D80">
            <v>228</v>
          </cell>
          <cell r="E80">
            <v>18820.031999999999</v>
          </cell>
          <cell r="F80">
            <v>1.5740000000000001</v>
          </cell>
          <cell r="G80">
            <v>358.87200000000001</v>
          </cell>
          <cell r="H80">
            <v>37.5</v>
          </cell>
          <cell r="I80">
            <v>8550</v>
          </cell>
          <cell r="J80">
            <v>5.1099999999999994</v>
          </cell>
          <cell r="K80">
            <v>4.0880000000000001</v>
          </cell>
          <cell r="L80">
            <v>932.06399999999996</v>
          </cell>
          <cell r="M80">
            <v>9840.9359999999997</v>
          </cell>
          <cell r="N80">
            <v>39.381999999999998</v>
          </cell>
          <cell r="O80">
            <v>8979.0959999999995</v>
          </cell>
          <cell r="P80">
            <v>47.710312075983715</v>
          </cell>
        </row>
        <row r="81">
          <cell r="B81" t="str">
            <v>79X215</v>
          </cell>
          <cell r="C81">
            <v>85.623999999999995</v>
          </cell>
          <cell r="D81">
            <v>77</v>
          </cell>
          <cell r="E81">
            <v>6593.0479999999998</v>
          </cell>
          <cell r="F81">
            <v>1.5740000000000001</v>
          </cell>
          <cell r="G81">
            <v>121.19800000000001</v>
          </cell>
          <cell r="H81">
            <v>52.18</v>
          </cell>
          <cell r="I81">
            <v>4017.86</v>
          </cell>
          <cell r="J81">
            <v>6.09</v>
          </cell>
          <cell r="K81">
            <v>4.8719999999999999</v>
          </cell>
          <cell r="L81">
            <v>375.14400000000001</v>
          </cell>
          <cell r="M81">
            <v>4514.2020000000002</v>
          </cell>
          <cell r="N81">
            <v>26.997999999999994</v>
          </cell>
          <cell r="O81">
            <v>2078.8459999999995</v>
          </cell>
          <cell r="P81">
            <v>31.530879192749691</v>
          </cell>
        </row>
        <row r="82">
          <cell r="B82" t="str">
            <v>79X217</v>
          </cell>
          <cell r="C82">
            <v>60.368000000000002</v>
          </cell>
          <cell r="D82">
            <v>615</v>
          </cell>
          <cell r="E82">
            <v>37126.32</v>
          </cell>
          <cell r="F82">
            <v>1.5740000000000001</v>
          </cell>
          <cell r="G82">
            <v>968.01</v>
          </cell>
          <cell r="H82">
            <v>40</v>
          </cell>
          <cell r="I82">
            <v>24600</v>
          </cell>
          <cell r="J82">
            <v>5.1099999999999994</v>
          </cell>
          <cell r="K82">
            <v>4.0880000000000001</v>
          </cell>
          <cell r="L82">
            <v>2514.12</v>
          </cell>
          <cell r="M82">
            <v>28082.129999999997</v>
          </cell>
          <cell r="N82">
            <v>14.706000000000003</v>
          </cell>
          <cell r="O82">
            <v>9044.1900000000023</v>
          </cell>
          <cell r="P82">
            <v>24.36058839120064</v>
          </cell>
        </row>
        <row r="83">
          <cell r="B83" t="str">
            <v>D12-001</v>
          </cell>
          <cell r="C83">
            <v>59.136000000000003</v>
          </cell>
          <cell r="D83">
            <v>3162</v>
          </cell>
          <cell r="E83">
            <v>186988.03200000001</v>
          </cell>
          <cell r="F83">
            <v>1.5740000000000001</v>
          </cell>
          <cell r="G83">
            <v>4976.9880000000003</v>
          </cell>
          <cell r="H83">
            <v>36.380000000000003</v>
          </cell>
          <cell r="I83">
            <v>115033.56000000001</v>
          </cell>
          <cell r="J83">
            <v>3.83</v>
          </cell>
          <cell r="K83">
            <v>3.0640000000000001</v>
          </cell>
          <cell r="L83">
            <v>9688.3680000000004</v>
          </cell>
          <cell r="M83">
            <v>129698.91600000001</v>
          </cell>
          <cell r="N83">
            <v>18.117999999999999</v>
          </cell>
          <cell r="O83">
            <v>57289.115999999995</v>
          </cell>
          <cell r="P83">
            <v>30.637851731601728</v>
          </cell>
        </row>
        <row r="84">
          <cell r="B84" t="str">
            <v>N23-004</v>
          </cell>
          <cell r="C84">
            <v>45.584000000000003</v>
          </cell>
          <cell r="D84">
            <v>12186</v>
          </cell>
          <cell r="E84">
            <v>555486.62400000007</v>
          </cell>
          <cell r="F84">
            <v>1.5739999999999998</v>
          </cell>
          <cell r="G84">
            <v>19180.763999999999</v>
          </cell>
          <cell r="H84">
            <v>26.22</v>
          </cell>
          <cell r="I84">
            <v>319516.92</v>
          </cell>
          <cell r="J84">
            <v>4.25</v>
          </cell>
          <cell r="K84">
            <v>3.4</v>
          </cell>
          <cell r="L84">
            <v>41432.400000000001</v>
          </cell>
          <cell r="M84">
            <v>380130.08400000003</v>
          </cell>
          <cell r="N84">
            <v>14.390000000000002</v>
          </cell>
          <cell r="O84">
            <v>175356.54000000004</v>
          </cell>
          <cell r="P84">
            <v>31.568094068094073</v>
          </cell>
        </row>
        <row r="85">
          <cell r="B85" t="str">
            <v>N28-004</v>
          </cell>
          <cell r="C85">
            <v>52.36</v>
          </cell>
          <cell r="D85">
            <v>9477</v>
          </cell>
          <cell r="E85">
            <v>496215.72</v>
          </cell>
          <cell r="F85">
            <v>1.5740000000000001</v>
          </cell>
          <cell r="G85">
            <v>14916.798000000001</v>
          </cell>
          <cell r="H85">
            <v>25.27</v>
          </cell>
          <cell r="I85">
            <v>239483.79</v>
          </cell>
          <cell r="J85">
            <v>4.18</v>
          </cell>
          <cell r="K85">
            <v>3.3439999999999999</v>
          </cell>
          <cell r="L85">
            <v>31691.088</v>
          </cell>
          <cell r="M85">
            <v>286091.67600000004</v>
          </cell>
          <cell r="N85">
            <v>22.171999999999993</v>
          </cell>
          <cell r="O85">
            <v>210124.04399999994</v>
          </cell>
          <cell r="P85">
            <v>42.345301757066451</v>
          </cell>
        </row>
        <row r="86">
          <cell r="B86" t="str">
            <v>X11-001</v>
          </cell>
          <cell r="C86">
            <v>85.007999999999996</v>
          </cell>
          <cell r="D86">
            <v>1474</v>
          </cell>
          <cell r="E86">
            <v>125301.792</v>
          </cell>
          <cell r="F86">
            <v>1.5740000000000001</v>
          </cell>
          <cell r="G86">
            <v>2320.076</v>
          </cell>
          <cell r="H86">
            <v>44.07</v>
          </cell>
          <cell r="I86">
            <v>64959.18</v>
          </cell>
          <cell r="J86">
            <v>3.92</v>
          </cell>
          <cell r="K86">
            <v>3.1360000000000001</v>
          </cell>
          <cell r="L86">
            <v>4622.4639999999999</v>
          </cell>
          <cell r="M86">
            <v>71901.72</v>
          </cell>
          <cell r="N86">
            <v>36.228000000000002</v>
          </cell>
          <cell r="O86">
            <v>53400.072</v>
          </cell>
          <cell r="P86">
            <v>42.617165443252404</v>
          </cell>
        </row>
        <row r="94">
          <cell r="B94" t="str">
            <v>200-848</v>
          </cell>
          <cell r="C94">
            <v>34.810160000000003</v>
          </cell>
          <cell r="D94">
            <v>15</v>
          </cell>
          <cell r="E94">
            <v>522.15240000000006</v>
          </cell>
          <cell r="F94">
            <v>1.3</v>
          </cell>
          <cell r="G94">
            <v>19.5</v>
          </cell>
          <cell r="H94">
            <v>51.311900000000001</v>
          </cell>
          <cell r="I94">
            <v>769.67849999999999</v>
          </cell>
          <cell r="J94">
            <v>8.8000000000000007</v>
          </cell>
          <cell r="K94">
            <v>7.0400000000000009</v>
          </cell>
          <cell r="L94">
            <v>105.60000000000001</v>
          </cell>
          <cell r="M94">
            <v>894.77850000000001</v>
          </cell>
          <cell r="N94">
            <v>-24.841739999999998</v>
          </cell>
          <cell r="O94">
            <v>-372.62609999999995</v>
          </cell>
          <cell r="P94">
            <v>-71.363475491063511</v>
          </cell>
        </row>
        <row r="95">
          <cell r="B95" t="str">
            <v>200L639</v>
          </cell>
          <cell r="C95">
            <v>43.120000000000005</v>
          </cell>
          <cell r="D95">
            <v>3143</v>
          </cell>
          <cell r="E95">
            <v>135526.16</v>
          </cell>
          <cell r="F95">
            <v>1.3</v>
          </cell>
          <cell r="G95">
            <v>4085.9</v>
          </cell>
          <cell r="H95">
            <v>62.389999999999993</v>
          </cell>
          <cell r="I95">
            <v>196091.77</v>
          </cell>
          <cell r="J95">
            <v>7.5999999999999988</v>
          </cell>
          <cell r="K95">
            <v>6.0799999999999992</v>
          </cell>
          <cell r="L95">
            <v>19109.439999999999</v>
          </cell>
          <cell r="M95">
            <v>219287.11</v>
          </cell>
          <cell r="N95">
            <v>-26.649999999999995</v>
          </cell>
          <cell r="O95">
            <v>-83760.949999999983</v>
          </cell>
          <cell r="P95">
            <v>-61.804267161409996</v>
          </cell>
        </row>
        <row r="96">
          <cell r="B96" t="str">
            <v>201D984</v>
          </cell>
          <cell r="C96">
            <v>34.81016000000001</v>
          </cell>
          <cell r="D96">
            <v>11837</v>
          </cell>
          <cell r="E96">
            <v>412047.86392000009</v>
          </cell>
          <cell r="F96">
            <v>1.3</v>
          </cell>
          <cell r="G96">
            <v>15388.1</v>
          </cell>
          <cell r="H96">
            <v>48.198</v>
          </cell>
          <cell r="I96">
            <v>570519.72600000002</v>
          </cell>
          <cell r="J96">
            <v>7.8999999999999986</v>
          </cell>
          <cell r="K96">
            <v>6.3199999999999994</v>
          </cell>
          <cell r="L96">
            <v>74809.84</v>
          </cell>
          <cell r="M96">
            <v>660717.66599999997</v>
          </cell>
          <cell r="N96">
            <v>-21.007839999999991</v>
          </cell>
          <cell r="O96">
            <v>-248669.80207999988</v>
          </cell>
          <cell r="P96">
            <v>-60.349736973343369</v>
          </cell>
        </row>
        <row r="97">
          <cell r="B97" t="str">
            <v>201E746</v>
          </cell>
          <cell r="C97">
            <v>34.810160000000003</v>
          </cell>
          <cell r="D97">
            <v>210</v>
          </cell>
          <cell r="E97">
            <v>7310.1336000000001</v>
          </cell>
          <cell r="F97">
            <v>1.3</v>
          </cell>
          <cell r="G97">
            <v>273</v>
          </cell>
          <cell r="H97">
            <v>0</v>
          </cell>
          <cell r="I97">
            <v>0</v>
          </cell>
          <cell r="J97">
            <v>0</v>
          </cell>
          <cell r="K97">
            <v>0</v>
          </cell>
          <cell r="L97">
            <v>0</v>
          </cell>
          <cell r="M97">
            <v>273</v>
          </cell>
          <cell r="N97">
            <v>33.510159999999999</v>
          </cell>
          <cell r="O97">
            <v>7037.1336000000001</v>
          </cell>
          <cell r="P97">
            <v>96.265458130614718</v>
          </cell>
        </row>
        <row r="98">
          <cell r="B98" t="str">
            <v>201F984</v>
          </cell>
          <cell r="C98">
            <v>34.810160000000003</v>
          </cell>
          <cell r="D98">
            <v>3520</v>
          </cell>
          <cell r="E98">
            <v>122531.76320000002</v>
          </cell>
          <cell r="F98">
            <v>1.3</v>
          </cell>
          <cell r="G98">
            <v>4576</v>
          </cell>
          <cell r="H98">
            <v>44.6</v>
          </cell>
          <cell r="I98">
            <v>156992</v>
          </cell>
          <cell r="J98">
            <v>7.9</v>
          </cell>
          <cell r="K98">
            <v>6.32</v>
          </cell>
          <cell r="L98">
            <v>22246.400000000001</v>
          </cell>
          <cell r="M98">
            <v>183814.39999999999</v>
          </cell>
          <cell r="N98">
            <v>-17.409839999999996</v>
          </cell>
          <cell r="O98">
            <v>-61282.636799999978</v>
          </cell>
          <cell r="P98">
            <v>-50.013674168690955</v>
          </cell>
        </row>
        <row r="99">
          <cell r="B99" t="str">
            <v>201L252</v>
          </cell>
          <cell r="C99">
            <v>43.073498377168427</v>
          </cell>
          <cell r="D99">
            <v>1787</v>
          </cell>
          <cell r="E99">
            <v>76972.341599999985</v>
          </cell>
          <cell r="F99">
            <v>1.3</v>
          </cell>
          <cell r="G99">
            <v>2323.1</v>
          </cell>
          <cell r="H99">
            <v>0</v>
          </cell>
          <cell r="I99">
            <v>0</v>
          </cell>
          <cell r="J99">
            <v>0</v>
          </cell>
          <cell r="K99">
            <v>0</v>
          </cell>
          <cell r="L99">
            <v>0</v>
          </cell>
          <cell r="M99">
            <v>2323.1</v>
          </cell>
          <cell r="N99">
            <v>41.77349837716843</v>
          </cell>
          <cell r="O99">
            <v>74649.241599999979</v>
          </cell>
          <cell r="P99">
            <v>96.981902912513192</v>
          </cell>
        </row>
        <row r="100">
          <cell r="B100" t="str">
            <v>201L600</v>
          </cell>
          <cell r="C100">
            <v>42.911322403587448</v>
          </cell>
          <cell r="D100">
            <v>2230</v>
          </cell>
          <cell r="E100">
            <v>95692.248960000012</v>
          </cell>
          <cell r="F100">
            <v>1.3</v>
          </cell>
          <cell r="G100">
            <v>2899</v>
          </cell>
          <cell r="H100">
            <v>0</v>
          </cell>
          <cell r="I100">
            <v>0</v>
          </cell>
          <cell r="J100">
            <v>0</v>
          </cell>
          <cell r="K100">
            <v>0</v>
          </cell>
          <cell r="L100">
            <v>0</v>
          </cell>
          <cell r="M100">
            <v>2899</v>
          </cell>
          <cell r="N100">
            <v>41.611322403587451</v>
          </cell>
          <cell r="O100">
            <v>92793.248960000012</v>
          </cell>
          <cell r="P100">
            <v>96.970496532888689</v>
          </cell>
        </row>
        <row r="101">
          <cell r="B101" t="str">
            <v>201L746</v>
          </cell>
          <cell r="C101">
            <v>34.810160000000003</v>
          </cell>
          <cell r="D101">
            <v>516</v>
          </cell>
          <cell r="E101">
            <v>17962.042560000002</v>
          </cell>
          <cell r="F101">
            <v>1.3</v>
          </cell>
          <cell r="G101">
            <v>670.80000000000007</v>
          </cell>
          <cell r="H101">
            <v>43.48</v>
          </cell>
          <cell r="I101">
            <v>22435.679999999997</v>
          </cell>
          <cell r="J101">
            <v>11.14</v>
          </cell>
          <cell r="K101">
            <v>8.9120000000000008</v>
          </cell>
          <cell r="L101">
            <v>4598.5920000000006</v>
          </cell>
          <cell r="M101">
            <v>27705.071999999996</v>
          </cell>
          <cell r="N101">
            <v>-18.88183999999999</v>
          </cell>
          <cell r="O101">
            <v>-9743.0294399999948</v>
          </cell>
          <cell r="P101">
            <v>-54.242324654641024</v>
          </cell>
        </row>
        <row r="102">
          <cell r="B102" t="str">
            <v>201L751</v>
          </cell>
          <cell r="C102">
            <v>40.745759999999997</v>
          </cell>
          <cell r="D102">
            <v>903</v>
          </cell>
          <cell r="E102">
            <v>36793.421279999995</v>
          </cell>
          <cell r="F102">
            <v>1.3</v>
          </cell>
          <cell r="G102">
            <v>1173.9000000000001</v>
          </cell>
          <cell r="H102">
            <v>0</v>
          </cell>
          <cell r="I102">
            <v>0</v>
          </cell>
          <cell r="J102">
            <v>0</v>
          </cell>
          <cell r="K102">
            <v>0</v>
          </cell>
          <cell r="L102">
            <v>0</v>
          </cell>
          <cell r="M102">
            <v>1173.9000000000001</v>
          </cell>
          <cell r="N102">
            <v>39.445759999999993</v>
          </cell>
          <cell r="O102">
            <v>35619.521279999994</v>
          </cell>
          <cell r="P102">
            <v>96.809483980664481</v>
          </cell>
        </row>
        <row r="103">
          <cell r="B103" t="str">
            <v>201L752</v>
          </cell>
          <cell r="C103">
            <v>34.81016000000001</v>
          </cell>
          <cell r="D103">
            <v>10</v>
          </cell>
          <cell r="E103">
            <v>348.10160000000008</v>
          </cell>
          <cell r="F103">
            <v>1.3</v>
          </cell>
          <cell r="G103">
            <v>13</v>
          </cell>
          <cell r="H103">
            <v>0</v>
          </cell>
          <cell r="I103">
            <v>0</v>
          </cell>
          <cell r="J103">
            <v>0</v>
          </cell>
          <cell r="K103">
            <v>0</v>
          </cell>
          <cell r="L103">
            <v>0</v>
          </cell>
          <cell r="M103">
            <v>13</v>
          </cell>
          <cell r="N103">
            <v>33.510160000000006</v>
          </cell>
          <cell r="O103">
            <v>335.10160000000008</v>
          </cell>
          <cell r="P103">
            <v>96.265458130614732</v>
          </cell>
        </row>
        <row r="104">
          <cell r="B104" t="str">
            <v>201L912</v>
          </cell>
          <cell r="C104">
            <v>43.12</v>
          </cell>
          <cell r="D104">
            <v>25</v>
          </cell>
          <cell r="E104">
            <v>1078</v>
          </cell>
          <cell r="F104">
            <v>1.3</v>
          </cell>
          <cell r="G104">
            <v>32.5</v>
          </cell>
          <cell r="H104">
            <v>65.709999999999994</v>
          </cell>
          <cell r="I104">
            <v>1642.7499999999998</v>
          </cell>
          <cell r="J104">
            <v>14.19</v>
          </cell>
          <cell r="K104">
            <v>11.352</v>
          </cell>
          <cell r="L104">
            <v>283.8</v>
          </cell>
          <cell r="M104">
            <v>1959.0499999999997</v>
          </cell>
          <cell r="N104">
            <v>-35.24199999999999</v>
          </cell>
          <cell r="O104">
            <v>-881.04999999999973</v>
          </cell>
          <cell r="P104">
            <v>-81.730055658627066</v>
          </cell>
        </row>
        <row r="105">
          <cell r="B105" t="str">
            <v>201L984</v>
          </cell>
          <cell r="C105">
            <v>43.12</v>
          </cell>
          <cell r="D105">
            <v>7131</v>
          </cell>
          <cell r="E105">
            <v>307488.71999999997</v>
          </cell>
          <cell r="F105">
            <v>1.3</v>
          </cell>
          <cell r="G105">
            <v>9270.3000000000011</v>
          </cell>
          <cell r="H105">
            <v>0</v>
          </cell>
          <cell r="I105">
            <v>0</v>
          </cell>
          <cell r="J105">
            <v>0</v>
          </cell>
          <cell r="K105">
            <v>0</v>
          </cell>
          <cell r="L105">
            <v>0</v>
          </cell>
          <cell r="M105">
            <v>9270.3000000000011</v>
          </cell>
          <cell r="N105">
            <v>41.82</v>
          </cell>
          <cell r="O105">
            <v>298218.42</v>
          </cell>
          <cell r="P105">
            <v>96.98515769944342</v>
          </cell>
        </row>
        <row r="106">
          <cell r="B106" t="str">
            <v>202-454</v>
          </cell>
          <cell r="C106">
            <v>34.810160000000003</v>
          </cell>
          <cell r="D106">
            <v>318</v>
          </cell>
          <cell r="E106">
            <v>11069.630880000001</v>
          </cell>
          <cell r="F106">
            <v>1.3</v>
          </cell>
          <cell r="G106">
            <v>413.40000000000003</v>
          </cell>
          <cell r="H106">
            <v>0</v>
          </cell>
          <cell r="I106">
            <v>0</v>
          </cell>
          <cell r="J106">
            <v>0</v>
          </cell>
          <cell r="K106">
            <v>0</v>
          </cell>
          <cell r="L106">
            <v>0</v>
          </cell>
          <cell r="M106">
            <v>413.40000000000003</v>
          </cell>
          <cell r="N106">
            <v>33.510160000000006</v>
          </cell>
          <cell r="O106">
            <v>10656.230880000001</v>
          </cell>
          <cell r="P106">
            <v>96.265458130614746</v>
          </cell>
        </row>
        <row r="107">
          <cell r="B107" t="str">
            <v>202B407</v>
          </cell>
          <cell r="C107">
            <v>34.810160000000003</v>
          </cell>
          <cell r="D107">
            <v>9</v>
          </cell>
          <cell r="E107">
            <v>313.29144000000002</v>
          </cell>
          <cell r="F107">
            <v>1.3</v>
          </cell>
          <cell r="G107">
            <v>11.700000000000001</v>
          </cell>
          <cell r="H107">
            <v>0</v>
          </cell>
          <cell r="I107">
            <v>0</v>
          </cell>
          <cell r="J107">
            <v>0</v>
          </cell>
          <cell r="K107">
            <v>0</v>
          </cell>
          <cell r="L107">
            <v>0</v>
          </cell>
          <cell r="M107">
            <v>11.700000000000001</v>
          </cell>
          <cell r="N107">
            <v>33.510160000000006</v>
          </cell>
          <cell r="O107">
            <v>301.59144000000003</v>
          </cell>
          <cell r="P107">
            <v>96.265458130614746</v>
          </cell>
        </row>
        <row r="108">
          <cell r="B108" t="str">
            <v>202L382</v>
          </cell>
          <cell r="C108">
            <v>43.120000000000005</v>
          </cell>
          <cell r="D108">
            <v>951</v>
          </cell>
          <cell r="E108">
            <v>41007.120000000003</v>
          </cell>
          <cell r="F108">
            <v>1.3</v>
          </cell>
          <cell r="G108">
            <v>1236.3</v>
          </cell>
          <cell r="H108">
            <v>0</v>
          </cell>
          <cell r="I108">
            <v>0</v>
          </cell>
          <cell r="J108">
            <v>0</v>
          </cell>
          <cell r="K108">
            <v>0</v>
          </cell>
          <cell r="L108">
            <v>0</v>
          </cell>
          <cell r="M108">
            <v>1236.3</v>
          </cell>
          <cell r="N108">
            <v>41.82</v>
          </cell>
          <cell r="O108">
            <v>39770.82</v>
          </cell>
          <cell r="P108">
            <v>96.985157699443405</v>
          </cell>
        </row>
        <row r="109">
          <cell r="B109" t="str">
            <v>202L507</v>
          </cell>
          <cell r="C109">
            <v>42.963654163247988</v>
          </cell>
          <cell r="D109">
            <v>7069</v>
          </cell>
          <cell r="E109">
            <v>303710.07128000003</v>
          </cell>
          <cell r="F109">
            <v>1.3</v>
          </cell>
          <cell r="G109">
            <v>9189.7000000000007</v>
          </cell>
          <cell r="H109">
            <v>0</v>
          </cell>
          <cell r="I109">
            <v>0</v>
          </cell>
          <cell r="J109">
            <v>0</v>
          </cell>
          <cell r="K109">
            <v>0</v>
          </cell>
          <cell r="L109">
            <v>0</v>
          </cell>
          <cell r="M109">
            <v>9189.7000000000007</v>
          </cell>
          <cell r="N109">
            <v>41.66365416324799</v>
          </cell>
          <cell r="O109">
            <v>294520.37128000002</v>
          </cell>
          <cell r="P109">
            <v>96.974186611175071</v>
          </cell>
        </row>
        <row r="110">
          <cell r="B110" t="str">
            <v>202L656</v>
          </cell>
          <cell r="C110">
            <v>34.810160000000003</v>
          </cell>
          <cell r="D110">
            <v>126</v>
          </cell>
          <cell r="E110">
            <v>4386.0801600000004</v>
          </cell>
          <cell r="F110">
            <v>1.3</v>
          </cell>
          <cell r="G110">
            <v>163.80000000000001</v>
          </cell>
          <cell r="H110">
            <v>31.39</v>
          </cell>
          <cell r="I110">
            <v>3955.14</v>
          </cell>
          <cell r="J110">
            <v>8.48</v>
          </cell>
          <cell r="K110">
            <v>6.7840000000000007</v>
          </cell>
          <cell r="L110">
            <v>854.78400000000011</v>
          </cell>
          <cell r="M110">
            <v>4973.7240000000002</v>
          </cell>
          <cell r="N110">
            <v>-4.6638399999999978</v>
          </cell>
          <cell r="O110">
            <v>-587.64383999999973</v>
          </cell>
          <cell r="P110">
            <v>-13.397927501625952</v>
          </cell>
        </row>
        <row r="111">
          <cell r="B111" t="str">
            <v>202L732</v>
          </cell>
          <cell r="C111">
            <v>42.110238565737049</v>
          </cell>
          <cell r="D111">
            <v>502</v>
          </cell>
          <cell r="E111">
            <v>21139.339759999999</v>
          </cell>
          <cell r="F111">
            <v>1.3</v>
          </cell>
          <cell r="G111">
            <v>652.6</v>
          </cell>
          <cell r="H111">
            <v>49.93</v>
          </cell>
          <cell r="I111">
            <v>25064.86</v>
          </cell>
          <cell r="J111">
            <v>11.06</v>
          </cell>
          <cell r="K111">
            <v>8.8480000000000008</v>
          </cell>
          <cell r="L111">
            <v>4441.6960000000008</v>
          </cell>
          <cell r="M111">
            <v>30159.155999999999</v>
          </cell>
          <cell r="N111">
            <v>-17.967761434262947</v>
          </cell>
          <cell r="O111">
            <v>-9019.8162400000001</v>
          </cell>
          <cell r="P111">
            <v>-42.668391455949617</v>
          </cell>
        </row>
        <row r="112">
          <cell r="B112" t="str">
            <v>205-184</v>
          </cell>
          <cell r="C112">
            <v>34.810160000000003</v>
          </cell>
          <cell r="D112">
            <v>144</v>
          </cell>
          <cell r="E112">
            <v>5012.6630400000004</v>
          </cell>
          <cell r="F112">
            <v>1.3</v>
          </cell>
          <cell r="G112">
            <v>187.20000000000002</v>
          </cell>
          <cell r="H112">
            <v>0</v>
          </cell>
          <cell r="I112">
            <v>0</v>
          </cell>
          <cell r="J112">
            <v>0</v>
          </cell>
          <cell r="K112">
            <v>0</v>
          </cell>
          <cell r="L112">
            <v>0</v>
          </cell>
          <cell r="M112">
            <v>187.20000000000002</v>
          </cell>
          <cell r="N112">
            <v>33.510160000000006</v>
          </cell>
          <cell r="O112">
            <v>4825.4630400000005</v>
          </cell>
          <cell r="P112">
            <v>96.265458130614746</v>
          </cell>
        </row>
        <row r="113">
          <cell r="B113" t="str">
            <v>205-424</v>
          </cell>
          <cell r="C113">
            <v>43.12</v>
          </cell>
          <cell r="D113">
            <v>234</v>
          </cell>
          <cell r="E113">
            <v>10090.08</v>
          </cell>
          <cell r="F113">
            <v>1.3</v>
          </cell>
          <cell r="G113">
            <v>304.2</v>
          </cell>
          <cell r="H113">
            <v>0</v>
          </cell>
          <cell r="I113">
            <v>0</v>
          </cell>
          <cell r="J113">
            <v>0</v>
          </cell>
          <cell r="K113">
            <v>0</v>
          </cell>
          <cell r="L113">
            <v>0</v>
          </cell>
          <cell r="M113">
            <v>304.2</v>
          </cell>
          <cell r="N113">
            <v>41.819999999999993</v>
          </cell>
          <cell r="O113">
            <v>9785.8799999999992</v>
          </cell>
          <cell r="P113">
            <v>96.985157699443405</v>
          </cell>
        </row>
        <row r="114">
          <cell r="B114" t="str">
            <v>205D519</v>
          </cell>
          <cell r="C114">
            <v>43.12</v>
          </cell>
          <cell r="D114">
            <v>279</v>
          </cell>
          <cell r="E114">
            <v>12030.48</v>
          </cell>
          <cell r="F114">
            <v>1.3</v>
          </cell>
          <cell r="G114">
            <v>362.7</v>
          </cell>
          <cell r="H114">
            <v>0</v>
          </cell>
          <cell r="I114">
            <v>0</v>
          </cell>
          <cell r="J114">
            <v>0</v>
          </cell>
          <cell r="K114">
            <v>0</v>
          </cell>
          <cell r="L114">
            <v>0</v>
          </cell>
          <cell r="M114">
            <v>362.7</v>
          </cell>
          <cell r="N114">
            <v>41.819999999999993</v>
          </cell>
          <cell r="O114">
            <v>11667.779999999999</v>
          </cell>
          <cell r="P114">
            <v>96.985157699443405</v>
          </cell>
        </row>
        <row r="115">
          <cell r="B115" t="str">
            <v>205D827</v>
          </cell>
          <cell r="C115">
            <v>34.810160000000003</v>
          </cell>
          <cell r="D115">
            <v>1963</v>
          </cell>
          <cell r="E115">
            <v>68332.34408000001</v>
          </cell>
          <cell r="F115">
            <v>1.3</v>
          </cell>
          <cell r="G115">
            <v>2551.9</v>
          </cell>
          <cell r="H115">
            <v>0</v>
          </cell>
          <cell r="I115">
            <v>0</v>
          </cell>
          <cell r="J115">
            <v>0</v>
          </cell>
          <cell r="K115">
            <v>0</v>
          </cell>
          <cell r="L115">
            <v>0</v>
          </cell>
          <cell r="M115">
            <v>2551.9</v>
          </cell>
          <cell r="N115">
            <v>33.510160000000006</v>
          </cell>
          <cell r="O115">
            <v>65780.444080000016</v>
          </cell>
          <cell r="P115">
            <v>96.265458130614746</v>
          </cell>
        </row>
        <row r="116">
          <cell r="B116" t="str">
            <v>205L424</v>
          </cell>
          <cell r="C116">
            <v>34.810160000000003</v>
          </cell>
          <cell r="D116">
            <v>1600</v>
          </cell>
          <cell r="E116">
            <v>55696.256000000008</v>
          </cell>
          <cell r="F116">
            <v>1.3</v>
          </cell>
          <cell r="G116">
            <v>2080</v>
          </cell>
          <cell r="H116">
            <v>0</v>
          </cell>
          <cell r="I116">
            <v>0</v>
          </cell>
          <cell r="J116">
            <v>0</v>
          </cell>
          <cell r="K116">
            <v>0</v>
          </cell>
          <cell r="L116">
            <v>0</v>
          </cell>
          <cell r="M116">
            <v>2080</v>
          </cell>
          <cell r="N116">
            <v>33.510160000000006</v>
          </cell>
          <cell r="O116">
            <v>53616.256000000008</v>
          </cell>
          <cell r="P116">
            <v>96.265458130614746</v>
          </cell>
        </row>
        <row r="117">
          <cell r="B117" t="str">
            <v>205L652</v>
          </cell>
          <cell r="C117">
            <v>34.810160000000003</v>
          </cell>
          <cell r="D117">
            <v>50</v>
          </cell>
          <cell r="E117">
            <v>1740.5080000000003</v>
          </cell>
          <cell r="F117">
            <v>1.3</v>
          </cell>
          <cell r="G117">
            <v>65</v>
          </cell>
          <cell r="H117">
            <v>56.85</v>
          </cell>
          <cell r="I117">
            <v>2842.5</v>
          </cell>
          <cell r="J117">
            <v>13.19</v>
          </cell>
          <cell r="K117">
            <v>10.552</v>
          </cell>
          <cell r="L117">
            <v>527.6</v>
          </cell>
          <cell r="M117">
            <v>3435.1</v>
          </cell>
          <cell r="N117">
            <v>-33.891839999999995</v>
          </cell>
          <cell r="O117">
            <v>-1694.5919999999996</v>
          </cell>
          <cell r="P117">
            <v>-97.361919623466235</v>
          </cell>
        </row>
        <row r="118">
          <cell r="B118" t="str">
            <v>209-555</v>
          </cell>
          <cell r="C118">
            <v>34.810160000000003</v>
          </cell>
          <cell r="D118">
            <v>3</v>
          </cell>
          <cell r="E118">
            <v>104.43048</v>
          </cell>
          <cell r="F118">
            <v>1.3</v>
          </cell>
          <cell r="G118">
            <v>3.9000000000000004</v>
          </cell>
          <cell r="H118">
            <v>135.69</v>
          </cell>
          <cell r="I118">
            <v>407.07</v>
          </cell>
          <cell r="J118">
            <v>12.5</v>
          </cell>
          <cell r="K118">
            <v>10</v>
          </cell>
          <cell r="L118">
            <v>30</v>
          </cell>
          <cell r="M118">
            <v>440.96999999999997</v>
          </cell>
          <cell r="N118">
            <v>-112.17984</v>
          </cell>
          <cell r="O118">
            <v>-336.53951999999998</v>
          </cell>
          <cell r="P118">
            <v>-322.26177644687641</v>
          </cell>
        </row>
        <row r="119">
          <cell r="B119" t="str">
            <v>216-127</v>
          </cell>
          <cell r="C119">
            <v>34.810160000000003</v>
          </cell>
          <cell r="D119">
            <v>58</v>
          </cell>
          <cell r="E119">
            <v>2018.9892800000002</v>
          </cell>
          <cell r="F119">
            <v>1.3</v>
          </cell>
          <cell r="G119">
            <v>75.400000000000006</v>
          </cell>
          <cell r="H119">
            <v>126.3531</v>
          </cell>
          <cell r="I119">
            <v>7328.4798000000001</v>
          </cell>
          <cell r="J119">
            <v>16.32</v>
          </cell>
          <cell r="K119">
            <v>13.056000000000001</v>
          </cell>
          <cell r="L119">
            <v>757.24800000000005</v>
          </cell>
          <cell r="M119">
            <v>8161.1278000000002</v>
          </cell>
          <cell r="N119">
            <v>-105.89894000000001</v>
          </cell>
          <cell r="O119">
            <v>-6142.1385200000004</v>
          </cell>
          <cell r="P119">
            <v>-304.21848104116731</v>
          </cell>
        </row>
        <row r="120">
          <cell r="B120" t="str">
            <v>216-148</v>
          </cell>
          <cell r="C120">
            <v>34.81016000000001</v>
          </cell>
          <cell r="D120">
            <v>10</v>
          </cell>
          <cell r="E120">
            <v>348.10160000000008</v>
          </cell>
          <cell r="F120">
            <v>1.3</v>
          </cell>
          <cell r="G120">
            <v>13</v>
          </cell>
          <cell r="H120">
            <v>180.95</v>
          </cell>
          <cell r="I120">
            <v>1809.5</v>
          </cell>
          <cell r="J120">
            <v>16</v>
          </cell>
          <cell r="K120">
            <v>12.8</v>
          </cell>
          <cell r="L120">
            <v>128</v>
          </cell>
          <cell r="M120">
            <v>1950.5</v>
          </cell>
          <cell r="N120">
            <v>-160.23984000000002</v>
          </cell>
          <cell r="O120">
            <v>-1602.3984</v>
          </cell>
          <cell r="P120">
            <v>-460.32491663353443</v>
          </cell>
        </row>
        <row r="121">
          <cell r="B121" t="str">
            <v>216-155</v>
          </cell>
          <cell r="C121">
            <v>34.810160000000003</v>
          </cell>
          <cell r="D121">
            <v>115</v>
          </cell>
          <cell r="E121">
            <v>4003.1684000000005</v>
          </cell>
          <cell r="F121">
            <v>1.3</v>
          </cell>
          <cell r="G121">
            <v>149.5</v>
          </cell>
          <cell r="H121">
            <v>144.05000000000001</v>
          </cell>
          <cell r="I121">
            <v>16565.75</v>
          </cell>
          <cell r="J121">
            <v>17</v>
          </cell>
          <cell r="K121">
            <v>13.600000000000001</v>
          </cell>
          <cell r="L121">
            <v>1564.0000000000002</v>
          </cell>
          <cell r="M121">
            <v>18279.25</v>
          </cell>
          <cell r="N121">
            <v>-124.13983999999999</v>
          </cell>
          <cell r="O121">
            <v>-14276.0816</v>
          </cell>
          <cell r="P121">
            <v>-356.61956164522076</v>
          </cell>
        </row>
        <row r="122">
          <cell r="B122" t="str">
            <v>217-214</v>
          </cell>
          <cell r="C122">
            <v>34.810160000000003</v>
          </cell>
          <cell r="D122">
            <v>57</v>
          </cell>
          <cell r="E122">
            <v>1984.1791200000002</v>
          </cell>
          <cell r="F122">
            <v>1.3</v>
          </cell>
          <cell r="G122">
            <v>74.100000000000009</v>
          </cell>
          <cell r="H122">
            <v>107.82999999999998</v>
          </cell>
          <cell r="I122">
            <v>6146.3099999999995</v>
          </cell>
          <cell r="J122">
            <v>12.02</v>
          </cell>
          <cell r="K122">
            <v>9.6159999999999997</v>
          </cell>
          <cell r="L122">
            <v>548.11199999999997</v>
          </cell>
          <cell r="M122">
            <v>6768.5219999999999</v>
          </cell>
          <cell r="N122">
            <v>-83.935839999999999</v>
          </cell>
          <cell r="O122">
            <v>-4784.3428800000002</v>
          </cell>
          <cell r="P122">
            <v>-241.12454524770928</v>
          </cell>
        </row>
        <row r="123">
          <cell r="B123" t="str">
            <v>217-539</v>
          </cell>
          <cell r="C123">
            <v>34.810160000000003</v>
          </cell>
          <cell r="D123">
            <v>55</v>
          </cell>
          <cell r="E123">
            <v>1914.5588000000002</v>
          </cell>
          <cell r="F123">
            <v>1.3</v>
          </cell>
          <cell r="G123">
            <v>71.5</v>
          </cell>
          <cell r="H123">
            <v>154.80770000000001</v>
          </cell>
          <cell r="I123">
            <v>8514.4235000000008</v>
          </cell>
          <cell r="J123">
            <v>14.7</v>
          </cell>
          <cell r="K123">
            <v>11.76</v>
          </cell>
          <cell r="L123">
            <v>646.79999999999995</v>
          </cell>
          <cell r="M123">
            <v>9232.7235000000001</v>
          </cell>
          <cell r="N123">
            <v>-133.05753999999999</v>
          </cell>
          <cell r="O123">
            <v>-7318.1646999999994</v>
          </cell>
          <cell r="P123">
            <v>-382.23765705184917</v>
          </cell>
        </row>
        <row r="124">
          <cell r="B124" t="str">
            <v>217-540</v>
          </cell>
          <cell r="C124">
            <v>43.12</v>
          </cell>
          <cell r="D124">
            <v>430</v>
          </cell>
          <cell r="E124">
            <v>18541.599999999999</v>
          </cell>
          <cell r="F124">
            <v>1.3</v>
          </cell>
          <cell r="G124">
            <v>559</v>
          </cell>
          <cell r="H124">
            <v>193.72000000000003</v>
          </cell>
          <cell r="I124">
            <v>83299.600000000006</v>
          </cell>
          <cell r="J124">
            <v>15.979999999999999</v>
          </cell>
          <cell r="K124">
            <v>12.783999999999999</v>
          </cell>
          <cell r="L124">
            <v>5497.12</v>
          </cell>
          <cell r="M124">
            <v>89355.72</v>
          </cell>
          <cell r="N124">
            <v>-164.684</v>
          </cell>
          <cell r="O124">
            <v>-70814.12</v>
          </cell>
          <cell r="P124">
            <v>-381.92022263450838</v>
          </cell>
        </row>
        <row r="125">
          <cell r="B125" t="str">
            <v>217-579</v>
          </cell>
          <cell r="C125">
            <v>43.120000000000005</v>
          </cell>
          <cell r="D125">
            <v>201</v>
          </cell>
          <cell r="E125">
            <v>8667.1200000000008</v>
          </cell>
          <cell r="F125">
            <v>1.3</v>
          </cell>
          <cell r="G125">
            <v>261.3</v>
          </cell>
          <cell r="H125">
            <v>0</v>
          </cell>
          <cell r="I125">
            <v>0</v>
          </cell>
          <cell r="J125">
            <v>0</v>
          </cell>
          <cell r="K125">
            <v>0</v>
          </cell>
          <cell r="L125">
            <v>0</v>
          </cell>
          <cell r="M125">
            <v>261.3</v>
          </cell>
          <cell r="N125">
            <v>41.820000000000007</v>
          </cell>
          <cell r="O125">
            <v>8405.8200000000015</v>
          </cell>
          <cell r="P125">
            <v>96.98515769944342</v>
          </cell>
        </row>
        <row r="126">
          <cell r="B126" t="str">
            <v>217A519</v>
          </cell>
          <cell r="C126">
            <v>43.117594372286014</v>
          </cell>
          <cell r="D126">
            <v>10363</v>
          </cell>
          <cell r="E126">
            <v>446827.63047999993</v>
          </cell>
          <cell r="F126">
            <v>1.3</v>
          </cell>
          <cell r="G126">
            <v>13471.9</v>
          </cell>
          <cell r="H126">
            <v>0</v>
          </cell>
          <cell r="I126">
            <v>0</v>
          </cell>
          <cell r="J126">
            <v>0</v>
          </cell>
          <cell r="K126">
            <v>0</v>
          </cell>
          <cell r="L126">
            <v>0</v>
          </cell>
          <cell r="M126">
            <v>13471.9</v>
          </cell>
          <cell r="N126">
            <v>41.81759437228601</v>
          </cell>
          <cell r="O126">
            <v>433355.73047999991</v>
          </cell>
          <cell r="P126">
            <v>96.984989494600413</v>
          </cell>
        </row>
        <row r="127">
          <cell r="B127" t="str">
            <v>40-527</v>
          </cell>
          <cell r="C127">
            <v>18.48</v>
          </cell>
          <cell r="D127">
            <v>2</v>
          </cell>
          <cell r="E127">
            <v>36.96</v>
          </cell>
          <cell r="F127">
            <v>1.3</v>
          </cell>
          <cell r="G127">
            <v>2.6</v>
          </cell>
          <cell r="H127">
            <v>56.41</v>
          </cell>
          <cell r="I127">
            <v>112.82</v>
          </cell>
          <cell r="J127">
            <v>6.42</v>
          </cell>
          <cell r="K127">
            <v>5.1360000000000001</v>
          </cell>
          <cell r="L127">
            <v>10.272</v>
          </cell>
          <cell r="M127">
            <v>125.69199999999999</v>
          </cell>
          <cell r="N127">
            <v>-44.366</v>
          </cell>
          <cell r="O127">
            <v>-88.731999999999999</v>
          </cell>
          <cell r="P127">
            <v>-240.07575757575759</v>
          </cell>
        </row>
        <row r="128">
          <cell r="B128" t="str">
            <v>730S106</v>
          </cell>
          <cell r="C128">
            <v>34.810160000000003</v>
          </cell>
          <cell r="D128">
            <v>1</v>
          </cell>
          <cell r="E128">
            <v>34.810160000000003</v>
          </cell>
          <cell r="F128">
            <v>1.3</v>
          </cell>
          <cell r="G128">
            <v>1.3</v>
          </cell>
          <cell r="H128">
            <v>151.55000000000001</v>
          </cell>
          <cell r="I128">
            <v>151.55000000000001</v>
          </cell>
          <cell r="J128">
            <v>8.35</v>
          </cell>
          <cell r="K128">
            <v>6.68</v>
          </cell>
          <cell r="L128">
            <v>6.68</v>
          </cell>
          <cell r="M128">
            <v>159.53000000000003</v>
          </cell>
          <cell r="N128">
            <v>-124.71984000000003</v>
          </cell>
          <cell r="O128">
            <v>-124.71984000000003</v>
          </cell>
          <cell r="P128">
            <v>-358.2857418638697</v>
          </cell>
        </row>
        <row r="129">
          <cell r="B129" t="str">
            <v>750S883</v>
          </cell>
          <cell r="C129">
            <v>18.48</v>
          </cell>
          <cell r="D129">
            <v>3</v>
          </cell>
          <cell r="E129">
            <v>55.44</v>
          </cell>
          <cell r="F129">
            <v>1.3</v>
          </cell>
          <cell r="G129">
            <v>3.9000000000000004</v>
          </cell>
          <cell r="H129">
            <v>0</v>
          </cell>
          <cell r="I129">
            <v>0</v>
          </cell>
          <cell r="J129">
            <v>0</v>
          </cell>
          <cell r="K129">
            <v>0</v>
          </cell>
          <cell r="L129">
            <v>0</v>
          </cell>
          <cell r="M129">
            <v>3.9000000000000004</v>
          </cell>
          <cell r="N129">
            <v>17.18</v>
          </cell>
          <cell r="O129">
            <v>51.54</v>
          </cell>
          <cell r="P129">
            <v>92.96536796536796</v>
          </cell>
        </row>
        <row r="130">
          <cell r="B130" t="str">
            <v>751-417</v>
          </cell>
          <cell r="C130">
            <v>34.81016000000001</v>
          </cell>
          <cell r="D130">
            <v>20</v>
          </cell>
          <cell r="E130">
            <v>696.20320000000015</v>
          </cell>
          <cell r="F130">
            <v>1.3</v>
          </cell>
          <cell r="G130">
            <v>26</v>
          </cell>
          <cell r="H130">
            <v>43.052900000000001</v>
          </cell>
          <cell r="I130">
            <v>861.05799999999999</v>
          </cell>
          <cell r="J130">
            <v>4.7499999999999991</v>
          </cell>
          <cell r="K130">
            <v>3.8</v>
          </cell>
          <cell r="L130">
            <v>76</v>
          </cell>
          <cell r="M130">
            <v>963.05799999999999</v>
          </cell>
          <cell r="N130">
            <v>-13.342739999999992</v>
          </cell>
          <cell r="O130">
            <v>-266.85479999999984</v>
          </cell>
          <cell r="P130">
            <v>-38.330016294093419</v>
          </cell>
        </row>
        <row r="131">
          <cell r="B131" t="str">
            <v>751S130</v>
          </cell>
          <cell r="C131">
            <v>18.48</v>
          </cell>
          <cell r="D131">
            <v>9</v>
          </cell>
          <cell r="E131">
            <v>166.32</v>
          </cell>
          <cell r="F131">
            <v>1.3</v>
          </cell>
          <cell r="G131">
            <v>11.700000000000001</v>
          </cell>
          <cell r="H131">
            <v>128.04</v>
          </cell>
          <cell r="I131">
            <v>1152.3599999999999</v>
          </cell>
          <cell r="J131">
            <v>4.2300000000000004</v>
          </cell>
          <cell r="K131">
            <v>3.3840000000000003</v>
          </cell>
          <cell r="L131">
            <v>30.456000000000003</v>
          </cell>
          <cell r="M131">
            <v>1194.5159999999998</v>
          </cell>
          <cell r="N131">
            <v>-114.24399999999999</v>
          </cell>
          <cell r="O131">
            <v>-1028.1959999999999</v>
          </cell>
          <cell r="P131">
            <v>-618.20346320346312</v>
          </cell>
        </row>
        <row r="132">
          <cell r="B132" t="str">
            <v>751S390</v>
          </cell>
          <cell r="C132">
            <v>18.48</v>
          </cell>
          <cell r="D132">
            <v>1</v>
          </cell>
          <cell r="E132">
            <v>18.48</v>
          </cell>
          <cell r="F132">
            <v>1.3</v>
          </cell>
          <cell r="G132">
            <v>1.3</v>
          </cell>
          <cell r="H132">
            <v>91.130300000000005</v>
          </cell>
          <cell r="I132">
            <v>91.130300000000005</v>
          </cell>
          <cell r="J132">
            <v>6.4000000000000012</v>
          </cell>
          <cell r="K132">
            <v>5.120000000000001</v>
          </cell>
          <cell r="L132">
            <v>5.120000000000001</v>
          </cell>
          <cell r="M132">
            <v>97.550300000000007</v>
          </cell>
          <cell r="N132">
            <v>-79.070300000000003</v>
          </cell>
          <cell r="O132">
            <v>-79.070300000000003</v>
          </cell>
          <cell r="P132">
            <v>-427.86958874458873</v>
          </cell>
        </row>
        <row r="133">
          <cell r="B133" t="str">
            <v>751S616</v>
          </cell>
          <cell r="C133">
            <v>18.48</v>
          </cell>
          <cell r="D133">
            <v>1</v>
          </cell>
          <cell r="E133">
            <v>18.48</v>
          </cell>
          <cell r="F133">
            <v>1.3</v>
          </cell>
          <cell r="G133">
            <v>1.3</v>
          </cell>
          <cell r="H133">
            <v>77.52</v>
          </cell>
          <cell r="I133">
            <v>77.52</v>
          </cell>
          <cell r="J133">
            <v>5.9</v>
          </cell>
          <cell r="K133">
            <v>4.7200000000000006</v>
          </cell>
          <cell r="L133">
            <v>4.7200000000000006</v>
          </cell>
          <cell r="M133">
            <v>83.539999999999992</v>
          </cell>
          <cell r="N133">
            <v>-65.059999999999988</v>
          </cell>
          <cell r="O133">
            <v>-65.059999999999988</v>
          </cell>
          <cell r="P133">
            <v>-352.056277056277</v>
          </cell>
        </row>
        <row r="134">
          <cell r="B134" t="str">
            <v>751S783</v>
          </cell>
          <cell r="C134">
            <v>18.48</v>
          </cell>
          <cell r="D134">
            <v>2</v>
          </cell>
          <cell r="E134">
            <v>36.96</v>
          </cell>
          <cell r="F134">
            <v>1.3</v>
          </cell>
          <cell r="G134">
            <v>2.6</v>
          </cell>
          <cell r="H134">
            <v>75.16</v>
          </cell>
          <cell r="I134">
            <v>150.32</v>
          </cell>
          <cell r="J134">
            <v>7</v>
          </cell>
          <cell r="K134">
            <v>5.6000000000000005</v>
          </cell>
          <cell r="L134">
            <v>11.200000000000001</v>
          </cell>
          <cell r="M134">
            <v>164.11999999999998</v>
          </cell>
          <cell r="N134">
            <v>-63.579999999999984</v>
          </cell>
          <cell r="O134">
            <v>-127.15999999999997</v>
          </cell>
          <cell r="P134">
            <v>-344.04761904761892</v>
          </cell>
        </row>
        <row r="135">
          <cell r="B135" t="str">
            <v>79X481</v>
          </cell>
          <cell r="C135">
            <v>18.479999999999997</v>
          </cell>
          <cell r="D135">
            <v>8110</v>
          </cell>
          <cell r="E135">
            <v>149872.79999999999</v>
          </cell>
          <cell r="F135">
            <v>1.3</v>
          </cell>
          <cell r="G135">
            <v>10543</v>
          </cell>
          <cell r="H135">
            <v>0</v>
          </cell>
          <cell r="I135">
            <v>0</v>
          </cell>
          <cell r="J135">
            <v>0</v>
          </cell>
          <cell r="K135">
            <v>0</v>
          </cell>
          <cell r="L135">
            <v>0</v>
          </cell>
          <cell r="M135">
            <v>10543</v>
          </cell>
          <cell r="N135">
            <v>17.18</v>
          </cell>
          <cell r="O135">
            <v>139329.79999999999</v>
          </cell>
          <cell r="P135">
            <v>92.965367965367989</v>
          </cell>
        </row>
        <row r="136">
          <cell r="B136" t="str">
            <v>79X482</v>
          </cell>
          <cell r="C136">
            <v>18.48</v>
          </cell>
          <cell r="D136">
            <v>8124</v>
          </cell>
          <cell r="E136">
            <v>150131.51999999999</v>
          </cell>
          <cell r="F136">
            <v>1.3</v>
          </cell>
          <cell r="G136">
            <v>10561.2</v>
          </cell>
          <cell r="H136">
            <v>0</v>
          </cell>
          <cell r="I136">
            <v>0</v>
          </cell>
          <cell r="J136">
            <v>0</v>
          </cell>
          <cell r="K136">
            <v>0</v>
          </cell>
          <cell r="L136">
            <v>0</v>
          </cell>
          <cell r="M136">
            <v>10561.2</v>
          </cell>
          <cell r="N136">
            <v>17.179999999999996</v>
          </cell>
          <cell r="O136">
            <v>139570.31999999998</v>
          </cell>
          <cell r="P136">
            <v>92.965367965367946</v>
          </cell>
        </row>
        <row r="137">
          <cell r="B137" t="str">
            <v>79X483</v>
          </cell>
          <cell r="C137">
            <v>18.48</v>
          </cell>
          <cell r="D137">
            <v>9316</v>
          </cell>
          <cell r="E137">
            <v>172159.68</v>
          </cell>
          <cell r="F137">
            <v>1.3</v>
          </cell>
          <cell r="G137">
            <v>12110.800000000001</v>
          </cell>
          <cell r="H137">
            <v>0</v>
          </cell>
          <cell r="I137">
            <v>0</v>
          </cell>
          <cell r="J137">
            <v>0</v>
          </cell>
          <cell r="K137">
            <v>0</v>
          </cell>
          <cell r="L137">
            <v>0</v>
          </cell>
          <cell r="M137">
            <v>12110.800000000001</v>
          </cell>
          <cell r="N137">
            <v>17.18</v>
          </cell>
          <cell r="O137">
            <v>160048.88</v>
          </cell>
          <cell r="P137">
            <v>92.96536796536796</v>
          </cell>
        </row>
        <row r="138">
          <cell r="B138" t="str">
            <v>79X484</v>
          </cell>
          <cell r="C138">
            <v>18.48</v>
          </cell>
          <cell r="D138">
            <v>7723</v>
          </cell>
          <cell r="E138">
            <v>142721.04</v>
          </cell>
          <cell r="F138">
            <v>1.3</v>
          </cell>
          <cell r="G138">
            <v>10039.9</v>
          </cell>
          <cell r="H138">
            <v>0</v>
          </cell>
          <cell r="I138">
            <v>0</v>
          </cell>
          <cell r="J138">
            <v>0</v>
          </cell>
          <cell r="K138">
            <v>0</v>
          </cell>
          <cell r="L138">
            <v>0</v>
          </cell>
          <cell r="M138">
            <v>10039.9</v>
          </cell>
          <cell r="N138">
            <v>17.180000000000003</v>
          </cell>
          <cell r="O138">
            <v>132681.14000000001</v>
          </cell>
          <cell r="P138">
            <v>92.965367965367989</v>
          </cell>
        </row>
        <row r="139">
          <cell r="B139" t="str">
            <v>79X485</v>
          </cell>
          <cell r="C139">
            <v>18.48</v>
          </cell>
          <cell r="D139">
            <v>11414</v>
          </cell>
          <cell r="E139">
            <v>210930.72</v>
          </cell>
          <cell r="F139">
            <v>1.3</v>
          </cell>
          <cell r="G139">
            <v>14838.2</v>
          </cell>
          <cell r="H139">
            <v>0</v>
          </cell>
          <cell r="I139">
            <v>0</v>
          </cell>
          <cell r="J139">
            <v>0</v>
          </cell>
          <cell r="K139">
            <v>0</v>
          </cell>
          <cell r="L139">
            <v>0</v>
          </cell>
          <cell r="M139">
            <v>14838.2</v>
          </cell>
          <cell r="N139">
            <v>17.18</v>
          </cell>
          <cell r="O139">
            <v>196092.52</v>
          </cell>
          <cell r="P139">
            <v>92.96536796536796</v>
          </cell>
        </row>
        <row r="140">
          <cell r="B140" t="str">
            <v>79X486</v>
          </cell>
          <cell r="C140">
            <v>24.029473684210526</v>
          </cell>
          <cell r="D140">
            <v>8778</v>
          </cell>
          <cell r="E140">
            <v>210930.72</v>
          </cell>
          <cell r="F140">
            <v>1.3</v>
          </cell>
          <cell r="G140">
            <v>11411.4</v>
          </cell>
          <cell r="H140">
            <v>0</v>
          </cell>
          <cell r="I140">
            <v>0</v>
          </cell>
          <cell r="J140">
            <v>0</v>
          </cell>
          <cell r="K140">
            <v>0</v>
          </cell>
          <cell r="L140">
            <v>0</v>
          </cell>
          <cell r="M140">
            <v>11411.4</v>
          </cell>
          <cell r="N140">
            <v>22.729473684210529</v>
          </cell>
          <cell r="O140">
            <v>199519.32</v>
          </cell>
          <cell r="P140">
            <v>94.58997722095674</v>
          </cell>
        </row>
        <row r="156">
          <cell r="B156" t="str">
            <v>200L639</v>
          </cell>
          <cell r="C156">
            <v>113.61</v>
          </cell>
          <cell r="D156">
            <v>4231</v>
          </cell>
          <cell r="E156">
            <v>480683.91</v>
          </cell>
          <cell r="F156">
            <v>0.58562000362938271</v>
          </cell>
          <cell r="G156">
            <v>2477.7582353559183</v>
          </cell>
          <cell r="H156">
            <v>62.390000000000008</v>
          </cell>
          <cell r="I156">
            <v>263972.09000000003</v>
          </cell>
          <cell r="J156">
            <v>7.6</v>
          </cell>
          <cell r="K156">
            <v>6.08</v>
          </cell>
          <cell r="L156">
            <v>25724.48</v>
          </cell>
          <cell r="M156">
            <v>292174.3282353559</v>
          </cell>
          <cell r="N156">
            <v>44.554379996370614</v>
          </cell>
          <cell r="O156">
            <v>188509.58176464407</v>
          </cell>
          <cell r="P156">
            <v>39.216952729839463</v>
          </cell>
        </row>
        <row r="157">
          <cell r="B157" t="str">
            <v>200L828</v>
          </cell>
          <cell r="C157">
            <v>128.60999999999999</v>
          </cell>
          <cell r="D157">
            <v>1523</v>
          </cell>
          <cell r="E157">
            <v>195873.03</v>
          </cell>
          <cell r="F157">
            <v>0.58562000362938271</v>
          </cell>
          <cell r="G157">
            <v>891.89926552754991</v>
          </cell>
          <cell r="H157">
            <v>54.21</v>
          </cell>
          <cell r="I157">
            <v>82561.83</v>
          </cell>
          <cell r="J157">
            <v>10.139999999999999</v>
          </cell>
          <cell r="K157">
            <v>8.1120000000000001</v>
          </cell>
          <cell r="L157">
            <v>12354.576000000001</v>
          </cell>
          <cell r="M157">
            <v>95808.305265527553</v>
          </cell>
          <cell r="N157">
            <v>65.70237999637061</v>
          </cell>
          <cell r="O157">
            <v>100064.72473447245</v>
          </cell>
          <cell r="P157">
            <v>51.086525150743036</v>
          </cell>
        </row>
        <row r="158">
          <cell r="B158" t="str">
            <v>201L252</v>
          </cell>
          <cell r="C158">
            <v>158.61000000000001</v>
          </cell>
          <cell r="D158">
            <v>4238</v>
          </cell>
          <cell r="E158">
            <v>672189.18</v>
          </cell>
          <cell r="F158">
            <v>0.58562000362938271</v>
          </cell>
          <cell r="G158">
            <v>2481.8575753813238</v>
          </cell>
          <cell r="H158">
            <v>0</v>
          </cell>
          <cell r="I158">
            <v>0</v>
          </cell>
          <cell r="J158">
            <v>0</v>
          </cell>
          <cell r="K158">
            <v>0</v>
          </cell>
          <cell r="L158">
            <v>0</v>
          </cell>
          <cell r="M158">
            <v>2481.8575753813238</v>
          </cell>
          <cell r="N158">
            <v>158.02437999637064</v>
          </cell>
          <cell r="O158">
            <v>669707.32242461876</v>
          </cell>
          <cell r="P158">
            <v>99.63077989809635</v>
          </cell>
        </row>
        <row r="159">
          <cell r="B159" t="str">
            <v>201L600</v>
          </cell>
          <cell r="C159">
            <v>88.61</v>
          </cell>
          <cell r="D159">
            <v>478</v>
          </cell>
          <cell r="E159">
            <v>42355.58</v>
          </cell>
          <cell r="F159">
            <v>0.58562000362938271</v>
          </cell>
          <cell r="G159">
            <v>279.92636173484493</v>
          </cell>
          <cell r="H159">
            <v>47.07</v>
          </cell>
          <cell r="I159">
            <v>22499.46</v>
          </cell>
          <cell r="J159">
            <v>8.9600000000000009</v>
          </cell>
          <cell r="K159">
            <v>7.168000000000001</v>
          </cell>
          <cell r="L159">
            <v>3426.3040000000005</v>
          </cell>
          <cell r="M159">
            <v>26205.690361734843</v>
          </cell>
          <cell r="N159">
            <v>33.786379996370627</v>
          </cell>
          <cell r="O159">
            <v>16149.889638265158</v>
          </cell>
          <cell r="P159">
            <v>38.129308200395698</v>
          </cell>
        </row>
        <row r="160">
          <cell r="B160" t="str">
            <v>201L751</v>
          </cell>
          <cell r="C160">
            <v>98.61</v>
          </cell>
          <cell r="D160">
            <v>3046</v>
          </cell>
          <cell r="E160">
            <v>300366.06</v>
          </cell>
          <cell r="F160">
            <v>0.58562000362938271</v>
          </cell>
          <cell r="G160">
            <v>1783.7985310550998</v>
          </cell>
          <cell r="H160">
            <v>59.88</v>
          </cell>
          <cell r="I160">
            <v>182394.48</v>
          </cell>
          <cell r="J160">
            <v>10.34</v>
          </cell>
          <cell r="K160">
            <v>8.2720000000000002</v>
          </cell>
          <cell r="L160">
            <v>25196.512000000002</v>
          </cell>
          <cell r="M160">
            <v>209374.79053105513</v>
          </cell>
          <cell r="N160">
            <v>29.872379996370608</v>
          </cell>
          <cell r="O160">
            <v>90991.269468944869</v>
          </cell>
          <cell r="P160">
            <v>30.293459077548533</v>
          </cell>
        </row>
        <row r="161">
          <cell r="B161" t="str">
            <v>201L912</v>
          </cell>
          <cell r="C161">
            <v>103.61</v>
          </cell>
          <cell r="D161">
            <v>30510</v>
          </cell>
          <cell r="E161">
            <v>3161141.1</v>
          </cell>
          <cell r="F161">
            <v>0.58562000362938271</v>
          </cell>
          <cell r="G161">
            <v>17867.266310732466</v>
          </cell>
          <cell r="H161">
            <v>65.709999999999994</v>
          </cell>
          <cell r="I161">
            <v>2004812.0999999999</v>
          </cell>
          <cell r="J161">
            <v>14.19</v>
          </cell>
          <cell r="K161">
            <v>11.352</v>
          </cell>
          <cell r="L161">
            <v>346349.52</v>
          </cell>
          <cell r="M161">
            <v>2369028.8863107325</v>
          </cell>
          <cell r="N161">
            <v>25.962379996370622</v>
          </cell>
          <cell r="O161">
            <v>792112.21368926764</v>
          </cell>
          <cell r="P161">
            <v>25.057793645758728</v>
          </cell>
        </row>
        <row r="162">
          <cell r="B162" t="str">
            <v>202-305</v>
          </cell>
          <cell r="C162">
            <v>113.61</v>
          </cell>
          <cell r="D162">
            <v>39</v>
          </cell>
          <cell r="E162">
            <v>4430.79</v>
          </cell>
          <cell r="F162">
            <v>0.58562000362938271</v>
          </cell>
          <cell r="G162">
            <v>22.839180141545924</v>
          </cell>
          <cell r="H162">
            <v>131.93</v>
          </cell>
          <cell r="I162">
            <v>5145.2700000000004</v>
          </cell>
          <cell r="J162">
            <v>9.06</v>
          </cell>
          <cell r="K162">
            <v>7.2480000000000002</v>
          </cell>
          <cell r="L162">
            <v>282.67200000000003</v>
          </cell>
          <cell r="M162">
            <v>5450.7811801415464</v>
          </cell>
          <cell r="N162">
            <v>-26.153620003629396</v>
          </cell>
          <cell r="O162">
            <v>-1019.9911801415465</v>
          </cell>
          <cell r="P162">
            <v>-23.020526365310619</v>
          </cell>
        </row>
        <row r="163">
          <cell r="B163" t="str">
            <v>202-454</v>
          </cell>
          <cell r="C163">
            <v>93.61</v>
          </cell>
          <cell r="D163">
            <v>441</v>
          </cell>
          <cell r="E163">
            <v>41282.01</v>
          </cell>
          <cell r="F163">
            <v>0.58562000362938271</v>
          </cell>
          <cell r="G163">
            <v>258.25842160055777</v>
          </cell>
          <cell r="H163">
            <v>0</v>
          </cell>
          <cell r="I163">
            <v>0</v>
          </cell>
          <cell r="J163">
            <v>0</v>
          </cell>
          <cell r="K163">
            <v>0</v>
          </cell>
          <cell r="L163">
            <v>0</v>
          </cell>
          <cell r="M163">
            <v>258.25842160055777</v>
          </cell>
          <cell r="N163">
            <v>93.024379996370627</v>
          </cell>
          <cell r="O163">
            <v>41023.751578399446</v>
          </cell>
          <cell r="P163">
            <v>99.374404440092547</v>
          </cell>
        </row>
        <row r="164">
          <cell r="B164" t="str">
            <v>202L460</v>
          </cell>
          <cell r="C164">
            <v>101.61</v>
          </cell>
          <cell r="D164">
            <v>40</v>
          </cell>
          <cell r="E164">
            <v>4064.4</v>
          </cell>
          <cell r="F164">
            <v>0.58562000362938271</v>
          </cell>
          <cell r="G164">
            <v>23.424800145175308</v>
          </cell>
          <cell r="H164">
            <v>61.631399999999999</v>
          </cell>
          <cell r="I164">
            <v>2465.2559999999999</v>
          </cell>
          <cell r="J164">
            <v>9.73</v>
          </cell>
          <cell r="K164">
            <v>7.7840000000000007</v>
          </cell>
          <cell r="L164">
            <v>311.36</v>
          </cell>
          <cell r="M164">
            <v>2800.0408001451751</v>
          </cell>
          <cell r="N164">
            <v>31.608979996370625</v>
          </cell>
          <cell r="O164">
            <v>1264.359199854825</v>
          </cell>
          <cell r="P164">
            <v>31.108138959128656</v>
          </cell>
        </row>
        <row r="165">
          <cell r="B165" t="str">
            <v>202L474</v>
          </cell>
          <cell r="C165">
            <v>158.60999999999999</v>
          </cell>
          <cell r="D165">
            <v>2051</v>
          </cell>
          <cell r="E165">
            <v>325309.11</v>
          </cell>
          <cell r="F165">
            <v>0.58562000362938271</v>
          </cell>
          <cell r="G165">
            <v>1201.106627443864</v>
          </cell>
          <cell r="H165">
            <v>82.13</v>
          </cell>
          <cell r="I165">
            <v>168448.63</v>
          </cell>
          <cell r="J165">
            <v>10.050000000000001</v>
          </cell>
          <cell r="K165">
            <v>8.0400000000000009</v>
          </cell>
          <cell r="L165">
            <v>16490.04</v>
          </cell>
          <cell r="M165">
            <v>186139.77662744388</v>
          </cell>
          <cell r="N165">
            <v>67.854379996370611</v>
          </cell>
          <cell r="O165">
            <v>139169.33337255611</v>
          </cell>
          <cell r="P165">
            <v>42.780644345483019</v>
          </cell>
        </row>
        <row r="166">
          <cell r="B166" t="str">
            <v>202L475</v>
          </cell>
          <cell r="C166">
            <v>118.61</v>
          </cell>
          <cell r="D166">
            <v>400</v>
          </cell>
          <cell r="E166">
            <v>47444</v>
          </cell>
          <cell r="F166">
            <v>0.58562000362938271</v>
          </cell>
          <cell r="G166">
            <v>234.24800145175308</v>
          </cell>
          <cell r="H166">
            <v>63.93</v>
          </cell>
          <cell r="I166">
            <v>25572</v>
          </cell>
          <cell r="J166">
            <v>8.99</v>
          </cell>
          <cell r="K166">
            <v>7.1920000000000002</v>
          </cell>
          <cell r="L166">
            <v>2876.8</v>
          </cell>
          <cell r="M166">
            <v>28683.048001451752</v>
          </cell>
          <cell r="N166">
            <v>46.90237999637062</v>
          </cell>
          <cell r="O166">
            <v>18760.951998548248</v>
          </cell>
          <cell r="P166">
            <v>39.543360590481932</v>
          </cell>
        </row>
        <row r="167">
          <cell r="B167" t="str">
            <v>202L490</v>
          </cell>
          <cell r="C167">
            <v>128.61000000000001</v>
          </cell>
          <cell r="D167">
            <v>836</v>
          </cell>
          <cell r="E167">
            <v>107517.96</v>
          </cell>
          <cell r="F167">
            <v>0.58562000362938271</v>
          </cell>
          <cell r="G167">
            <v>489.57832303416393</v>
          </cell>
          <cell r="H167">
            <v>76.64</v>
          </cell>
          <cell r="I167">
            <v>64071.040000000001</v>
          </cell>
          <cell r="J167">
            <v>12.62</v>
          </cell>
          <cell r="K167">
            <v>10.096</v>
          </cell>
          <cell r="L167">
            <v>8440.2559999999994</v>
          </cell>
          <cell r="M167">
            <v>73000.874323034164</v>
          </cell>
          <cell r="N167">
            <v>41.288379996370622</v>
          </cell>
          <cell r="O167">
            <v>34517.085676965842</v>
          </cell>
          <cell r="P167">
            <v>32.103553375608904</v>
          </cell>
        </row>
        <row r="168">
          <cell r="B168" t="str">
            <v>202L507</v>
          </cell>
          <cell r="C168">
            <v>106.61</v>
          </cell>
          <cell r="D168">
            <v>2077</v>
          </cell>
          <cell r="E168">
            <v>221428.97</v>
          </cell>
          <cell r="F168">
            <v>0.58562000362938271</v>
          </cell>
          <cell r="G168">
            <v>1216.332747538228</v>
          </cell>
          <cell r="H168">
            <v>56.76</v>
          </cell>
          <cell r="I168">
            <v>117890.51999999999</v>
          </cell>
          <cell r="J168">
            <v>9.9799999999999986</v>
          </cell>
          <cell r="K168">
            <v>7.984</v>
          </cell>
          <cell r="L168">
            <v>16582.768</v>
          </cell>
          <cell r="M168">
            <v>135689.62074753823</v>
          </cell>
          <cell r="N168">
            <v>41.28037999637062</v>
          </cell>
          <cell r="O168">
            <v>85739.349252461776</v>
          </cell>
          <cell r="P168">
            <v>38.720926738927517</v>
          </cell>
        </row>
        <row r="169">
          <cell r="B169" t="str">
            <v>202L604</v>
          </cell>
          <cell r="C169">
            <v>86.61</v>
          </cell>
          <cell r="D169">
            <v>2309</v>
          </cell>
          <cell r="E169">
            <v>199982.49</v>
          </cell>
          <cell r="F169">
            <v>0.58562000362938271</v>
          </cell>
          <cell r="G169">
            <v>1352.1965883802447</v>
          </cell>
          <cell r="H169">
            <v>47.58</v>
          </cell>
          <cell r="I169">
            <v>109862.22</v>
          </cell>
          <cell r="J169">
            <v>7.74</v>
          </cell>
          <cell r="K169">
            <v>6.1920000000000002</v>
          </cell>
          <cell r="L169">
            <v>14297.328</v>
          </cell>
          <cell r="M169">
            <v>125511.74458838024</v>
          </cell>
          <cell r="N169">
            <v>32.252379996370614</v>
          </cell>
          <cell r="O169">
            <v>74470.745411619748</v>
          </cell>
          <cell r="P169">
            <v>37.238632948124483</v>
          </cell>
        </row>
        <row r="170">
          <cell r="B170" t="str">
            <v>202L654</v>
          </cell>
          <cell r="C170">
            <v>98.61</v>
          </cell>
          <cell r="D170">
            <v>3138</v>
          </cell>
          <cell r="E170">
            <v>309438.18</v>
          </cell>
          <cell r="F170">
            <v>0.58562000362938271</v>
          </cell>
          <cell r="G170">
            <v>1837.6755713890029</v>
          </cell>
          <cell r="H170">
            <v>59.600000000000009</v>
          </cell>
          <cell r="I170">
            <v>187024.80000000002</v>
          </cell>
          <cell r="J170">
            <v>13.06</v>
          </cell>
          <cell r="K170">
            <v>10.448</v>
          </cell>
          <cell r="L170">
            <v>32785.824000000001</v>
          </cell>
          <cell r="M170">
            <v>221648.29957138901</v>
          </cell>
          <cell r="N170">
            <v>27.976379996370611</v>
          </cell>
          <cell r="O170">
            <v>87789.880428610981</v>
          </cell>
          <cell r="P170">
            <v>28.370733187679352</v>
          </cell>
        </row>
        <row r="171">
          <cell r="B171" t="str">
            <v>202L655</v>
          </cell>
          <cell r="C171">
            <v>98.61</v>
          </cell>
          <cell r="D171">
            <v>436</v>
          </cell>
          <cell r="E171">
            <v>42993.96</v>
          </cell>
          <cell r="F171">
            <v>0.58562000362938271</v>
          </cell>
          <cell r="G171">
            <v>255.33032158241087</v>
          </cell>
          <cell r="H171">
            <v>47.87</v>
          </cell>
          <cell r="I171">
            <v>20871.32</v>
          </cell>
          <cell r="J171">
            <v>15.2</v>
          </cell>
          <cell r="K171">
            <v>12.16</v>
          </cell>
          <cell r="L171">
            <v>5301.76</v>
          </cell>
          <cell r="M171">
            <v>26428.410321582414</v>
          </cell>
          <cell r="N171">
            <v>37.994379996370604</v>
          </cell>
          <cell r="O171">
            <v>16565.549678417585</v>
          </cell>
          <cell r="P171">
            <v>38.529946249234968</v>
          </cell>
        </row>
        <row r="172">
          <cell r="B172" t="str">
            <v>202L690</v>
          </cell>
          <cell r="C172">
            <v>138.60999999999999</v>
          </cell>
          <cell r="D172">
            <v>771</v>
          </cell>
          <cell r="E172">
            <v>106868.31</v>
          </cell>
          <cell r="F172">
            <v>0.58562000362938271</v>
          </cell>
          <cell r="G172">
            <v>451.5130227982541</v>
          </cell>
          <cell r="H172">
            <v>80.81</v>
          </cell>
          <cell r="I172">
            <v>62304.51</v>
          </cell>
          <cell r="J172">
            <v>13.630000000000004</v>
          </cell>
          <cell r="K172">
            <v>10.904000000000003</v>
          </cell>
          <cell r="L172">
            <v>8406.9840000000022</v>
          </cell>
          <cell r="M172">
            <v>71163.007022798265</v>
          </cell>
          <cell r="N172">
            <v>46.3103799963706</v>
          </cell>
          <cell r="O172">
            <v>35705.302977201733</v>
          </cell>
          <cell r="P172">
            <v>33.410562005894676</v>
          </cell>
        </row>
        <row r="173">
          <cell r="B173" t="str">
            <v>202L701</v>
          </cell>
          <cell r="C173">
            <v>118.61</v>
          </cell>
          <cell r="D173">
            <v>953</v>
          </cell>
          <cell r="E173">
            <v>113035.33</v>
          </cell>
          <cell r="F173">
            <v>0.58562000362938271</v>
          </cell>
          <cell r="G173">
            <v>558.09586345880177</v>
          </cell>
          <cell r="H173">
            <v>112.93</v>
          </cell>
          <cell r="I173">
            <v>107622.29000000001</v>
          </cell>
          <cell r="J173">
            <v>8.82</v>
          </cell>
          <cell r="K173">
            <v>7.0560000000000009</v>
          </cell>
          <cell r="L173">
            <v>6724.3680000000013</v>
          </cell>
          <cell r="M173">
            <v>114904.75386345881</v>
          </cell>
          <cell r="N173">
            <v>-1.9616200036293925</v>
          </cell>
          <cell r="O173">
            <v>-1869.423863458811</v>
          </cell>
          <cell r="P173">
            <v>-1.6538403200652494</v>
          </cell>
        </row>
        <row r="174">
          <cell r="B174" t="str">
            <v>202L737</v>
          </cell>
          <cell r="C174">
            <v>76.61</v>
          </cell>
          <cell r="D174">
            <v>487</v>
          </cell>
          <cell r="E174">
            <v>37309.07</v>
          </cell>
          <cell r="F174">
            <v>0.58562000362938271</v>
          </cell>
          <cell r="G174">
            <v>285.19694176750937</v>
          </cell>
          <cell r="H174">
            <v>42.22</v>
          </cell>
          <cell r="I174">
            <v>20561.14</v>
          </cell>
          <cell r="J174">
            <v>9.09</v>
          </cell>
          <cell r="K174">
            <v>7.2720000000000002</v>
          </cell>
          <cell r="L174">
            <v>3541.4639999999999</v>
          </cell>
          <cell r="M174">
            <v>24387.800941767509</v>
          </cell>
          <cell r="N174">
            <v>26.532379996370615</v>
          </cell>
          <cell r="O174">
            <v>12921.26905823249</v>
          </cell>
          <cell r="P174">
            <v>34.633050510861004</v>
          </cell>
        </row>
        <row r="175">
          <cell r="B175" t="str">
            <v>202L762</v>
          </cell>
          <cell r="C175">
            <v>128.60999999999999</v>
          </cell>
          <cell r="D175">
            <v>945</v>
          </cell>
          <cell r="E175">
            <v>121536.45</v>
          </cell>
          <cell r="F175">
            <v>0.58562000362938271</v>
          </cell>
          <cell r="G175">
            <v>553.41090342976668</v>
          </cell>
          <cell r="H175">
            <v>77.920000000000016</v>
          </cell>
          <cell r="I175">
            <v>73634.400000000009</v>
          </cell>
          <cell r="J175">
            <v>8.06</v>
          </cell>
          <cell r="K175">
            <v>6.4480000000000004</v>
          </cell>
          <cell r="L175">
            <v>6093.3600000000006</v>
          </cell>
          <cell r="M175">
            <v>80281.170903429782</v>
          </cell>
          <cell r="N175">
            <v>43.656379996370596</v>
          </cell>
          <cell r="O175">
            <v>41255.279096570215</v>
          </cell>
          <cell r="P175">
            <v>33.944778785763631</v>
          </cell>
        </row>
        <row r="176">
          <cell r="B176" t="str">
            <v>202L804</v>
          </cell>
          <cell r="C176">
            <v>151.60999999999999</v>
          </cell>
          <cell r="D176">
            <v>770</v>
          </cell>
          <cell r="E176">
            <v>116739.7</v>
          </cell>
          <cell r="F176">
            <v>0.58562000362938271</v>
          </cell>
          <cell r="G176">
            <v>450.9274027946247</v>
          </cell>
          <cell r="H176">
            <v>78.183000000000007</v>
          </cell>
          <cell r="I176">
            <v>60200.91</v>
          </cell>
          <cell r="J176">
            <v>13.11</v>
          </cell>
          <cell r="K176">
            <v>10.488</v>
          </cell>
          <cell r="L176">
            <v>8075.7599999999993</v>
          </cell>
          <cell r="M176">
            <v>68727.597402794621</v>
          </cell>
          <cell r="N176">
            <v>62.35337999637062</v>
          </cell>
          <cell r="O176">
            <v>48012.102597205376</v>
          </cell>
          <cell r="P176">
            <v>41.127484991999616</v>
          </cell>
        </row>
        <row r="177">
          <cell r="B177" t="str">
            <v>202L819</v>
          </cell>
          <cell r="C177">
            <v>136.61000000000001</v>
          </cell>
          <cell r="D177">
            <v>533</v>
          </cell>
          <cell r="E177">
            <v>72813.13</v>
          </cell>
          <cell r="F177">
            <v>0.58562000362938271</v>
          </cell>
          <cell r="G177">
            <v>312.13546193446098</v>
          </cell>
          <cell r="H177">
            <v>71.02</v>
          </cell>
          <cell r="I177">
            <v>37853.659999999996</v>
          </cell>
          <cell r="J177">
            <v>14.260000000000002</v>
          </cell>
          <cell r="K177">
            <v>11.408000000000001</v>
          </cell>
          <cell r="L177">
            <v>6080.4640000000009</v>
          </cell>
          <cell r="M177">
            <v>44246.25946193446</v>
          </cell>
          <cell r="N177">
            <v>53.596379996370629</v>
          </cell>
          <cell r="O177">
            <v>28566.870538065545</v>
          </cell>
          <cell r="P177">
            <v>39.233130807679252</v>
          </cell>
        </row>
        <row r="178">
          <cell r="B178" t="str">
            <v>202L826</v>
          </cell>
          <cell r="C178">
            <v>266.61</v>
          </cell>
          <cell r="D178">
            <v>1318</v>
          </cell>
          <cell r="E178">
            <v>351391.98</v>
          </cell>
          <cell r="F178">
            <v>0.58562000362938271</v>
          </cell>
          <cell r="G178">
            <v>771.84716478352641</v>
          </cell>
          <cell r="H178">
            <v>152.7533</v>
          </cell>
          <cell r="I178">
            <v>201328.84940000001</v>
          </cell>
          <cell r="J178">
            <v>14.71</v>
          </cell>
          <cell r="K178">
            <v>11.768000000000001</v>
          </cell>
          <cell r="L178">
            <v>15510.224</v>
          </cell>
          <cell r="M178">
            <v>217610.92056478353</v>
          </cell>
          <cell r="N178">
            <v>101.5030799963706</v>
          </cell>
          <cell r="O178">
            <v>133781.05943521645</v>
          </cell>
          <cell r="P178">
            <v>38.071745244503433</v>
          </cell>
        </row>
        <row r="179">
          <cell r="B179" t="str">
            <v>205-520</v>
          </cell>
          <cell r="C179">
            <v>163.61000000000001</v>
          </cell>
          <cell r="D179">
            <v>76</v>
          </cell>
          <cell r="E179">
            <v>12434.36</v>
          </cell>
          <cell r="F179">
            <v>0.58562000362938271</v>
          </cell>
          <cell r="G179">
            <v>44.507120275833088</v>
          </cell>
          <cell r="H179">
            <v>140.47999999999999</v>
          </cell>
          <cell r="I179">
            <v>10676.48</v>
          </cell>
          <cell r="J179">
            <v>11.5</v>
          </cell>
          <cell r="K179">
            <v>9.2000000000000011</v>
          </cell>
          <cell r="L179">
            <v>699.2</v>
          </cell>
          <cell r="M179">
            <v>11420.187120275834</v>
          </cell>
          <cell r="N179">
            <v>13.344379996370614</v>
          </cell>
          <cell r="O179">
            <v>1014.1728797241667</v>
          </cell>
          <cell r="P179">
            <v>8.1562129432006678</v>
          </cell>
        </row>
        <row r="180">
          <cell r="B180" t="str">
            <v>205-811</v>
          </cell>
          <cell r="C180">
            <v>63.610000000000007</v>
          </cell>
          <cell r="D180">
            <v>6</v>
          </cell>
          <cell r="E180">
            <v>381.66</v>
          </cell>
          <cell r="F180">
            <v>0.58562000362938271</v>
          </cell>
          <cell r="G180">
            <v>3.5137200217762965</v>
          </cell>
          <cell r="H180">
            <v>108.25</v>
          </cell>
          <cell r="I180">
            <v>649.5</v>
          </cell>
          <cell r="J180">
            <v>11.91</v>
          </cell>
          <cell r="K180">
            <v>9.5280000000000005</v>
          </cell>
          <cell r="L180">
            <v>57.168000000000006</v>
          </cell>
          <cell r="M180">
            <v>710.1817200217763</v>
          </cell>
          <cell r="N180">
            <v>-54.753620003629379</v>
          </cell>
          <cell r="O180">
            <v>-328.52172002177628</v>
          </cell>
          <cell r="P180">
            <v>-86.077063360524093</v>
          </cell>
        </row>
        <row r="181">
          <cell r="B181" t="str">
            <v>205-843</v>
          </cell>
          <cell r="C181">
            <v>158.61000000000001</v>
          </cell>
          <cell r="D181">
            <v>35</v>
          </cell>
          <cell r="E181">
            <v>5551.35</v>
          </cell>
          <cell r="F181">
            <v>0.58562000362938271</v>
          </cell>
          <cell r="G181">
            <v>20.496700127028394</v>
          </cell>
          <cell r="H181">
            <v>134.55000000000001</v>
          </cell>
          <cell r="I181">
            <v>4709.25</v>
          </cell>
          <cell r="J181">
            <v>14.020000000000001</v>
          </cell>
          <cell r="K181">
            <v>11.216000000000001</v>
          </cell>
          <cell r="L181">
            <v>392.56000000000006</v>
          </cell>
          <cell r="M181">
            <v>5122.3067001270292</v>
          </cell>
          <cell r="N181">
            <v>12.258379996370603</v>
          </cell>
          <cell r="O181">
            <v>429.04329987297115</v>
          </cell>
          <cell r="P181">
            <v>7.7286299706012249</v>
          </cell>
        </row>
        <row r="182">
          <cell r="B182" t="str">
            <v>205-882</v>
          </cell>
          <cell r="C182">
            <v>123.61</v>
          </cell>
          <cell r="D182">
            <v>33</v>
          </cell>
          <cell r="E182">
            <v>4079.13</v>
          </cell>
          <cell r="F182">
            <v>0.58562000362938271</v>
          </cell>
          <cell r="G182">
            <v>19.32546011976963</v>
          </cell>
          <cell r="H182">
            <v>100.74</v>
          </cell>
          <cell r="I182">
            <v>3324.4199999999996</v>
          </cell>
          <cell r="J182">
            <v>15.37</v>
          </cell>
          <cell r="K182">
            <v>12.295999999999999</v>
          </cell>
          <cell r="L182">
            <v>405.76799999999997</v>
          </cell>
          <cell r="M182">
            <v>3749.5134601197692</v>
          </cell>
          <cell r="N182">
            <v>9.9883799963706341</v>
          </cell>
          <cell r="O182">
            <v>329.6165398802309</v>
          </cell>
          <cell r="P182">
            <v>8.0805598223207138</v>
          </cell>
        </row>
        <row r="183">
          <cell r="B183" t="str">
            <v>205L216</v>
          </cell>
          <cell r="C183">
            <v>168.61</v>
          </cell>
          <cell r="D183">
            <v>453</v>
          </cell>
          <cell r="E183">
            <v>76380.33</v>
          </cell>
          <cell r="F183">
            <v>0.58562000362938271</v>
          </cell>
          <cell r="G183">
            <v>265.28586164411035</v>
          </cell>
          <cell r="H183">
            <v>97.25</v>
          </cell>
          <cell r="I183">
            <v>44054.25</v>
          </cell>
          <cell r="J183">
            <v>15.6</v>
          </cell>
          <cell r="K183">
            <v>12.48</v>
          </cell>
          <cell r="L183">
            <v>5653.4400000000005</v>
          </cell>
          <cell r="M183">
            <v>49972.97586164411</v>
          </cell>
          <cell r="N183">
            <v>58.294379996370623</v>
          </cell>
          <cell r="O183">
            <v>26407.354138355891</v>
          </cell>
          <cell r="P183">
            <v>34.573500976437117</v>
          </cell>
        </row>
        <row r="184">
          <cell r="B184" t="str">
            <v>205L252</v>
          </cell>
          <cell r="C184">
            <v>88.61</v>
          </cell>
          <cell r="D184">
            <v>1582</v>
          </cell>
          <cell r="E184">
            <v>140181.01999999999</v>
          </cell>
          <cell r="F184">
            <v>0.58562000362938271</v>
          </cell>
          <cell r="G184">
            <v>926.45084574168345</v>
          </cell>
          <cell r="H184">
            <v>83.27</v>
          </cell>
          <cell r="I184">
            <v>131733.13999999998</v>
          </cell>
          <cell r="J184">
            <v>15.320000000000002</v>
          </cell>
          <cell r="K184">
            <v>12.256000000000002</v>
          </cell>
          <cell r="L184">
            <v>19388.992000000002</v>
          </cell>
          <cell r="M184">
            <v>152048.58284574168</v>
          </cell>
          <cell r="N184">
            <v>-7.5016200036293865</v>
          </cell>
          <cell r="O184">
            <v>-11867.56284574169</v>
          </cell>
          <cell r="P184">
            <v>-8.4658842158101635</v>
          </cell>
        </row>
        <row r="185">
          <cell r="B185" t="str">
            <v>205L424</v>
          </cell>
          <cell r="C185">
            <v>188.61</v>
          </cell>
          <cell r="D185">
            <v>376</v>
          </cell>
          <cell r="E185">
            <v>70917.36</v>
          </cell>
          <cell r="F185">
            <v>0.58562000362938271</v>
          </cell>
          <cell r="G185">
            <v>220.19312136464791</v>
          </cell>
          <cell r="H185">
            <v>0</v>
          </cell>
          <cell r="I185">
            <v>0</v>
          </cell>
          <cell r="J185">
            <v>0</v>
          </cell>
          <cell r="K185">
            <v>0</v>
          </cell>
          <cell r="L185">
            <v>0</v>
          </cell>
          <cell r="M185">
            <v>220.19312136464791</v>
          </cell>
          <cell r="N185">
            <v>188.02437999637061</v>
          </cell>
          <cell r="O185">
            <v>70697.166878635355</v>
          </cell>
          <cell r="P185">
            <v>99.68950744730958</v>
          </cell>
        </row>
        <row r="186">
          <cell r="B186" t="str">
            <v>205L449</v>
          </cell>
          <cell r="C186">
            <v>178.61</v>
          </cell>
          <cell r="D186">
            <v>457</v>
          </cell>
          <cell r="E186">
            <v>81624.77</v>
          </cell>
          <cell r="F186">
            <v>0.58562000362938271</v>
          </cell>
          <cell r="G186">
            <v>267.6283416586279</v>
          </cell>
          <cell r="H186">
            <v>140.22999999999999</v>
          </cell>
          <cell r="I186">
            <v>64085.109999999993</v>
          </cell>
          <cell r="J186">
            <v>10.55</v>
          </cell>
          <cell r="K186">
            <v>8.4400000000000013</v>
          </cell>
          <cell r="L186">
            <v>3857.0800000000004</v>
          </cell>
          <cell r="M186">
            <v>68209.818341658611</v>
          </cell>
          <cell r="N186">
            <v>29.354379996370664</v>
          </cell>
          <cell r="O186">
            <v>13414.951658341393</v>
          </cell>
          <cell r="P186">
            <v>16.434902858950036</v>
          </cell>
        </row>
        <row r="187">
          <cell r="B187" t="str">
            <v>205L538</v>
          </cell>
          <cell r="C187">
            <v>131.61000000000001</v>
          </cell>
          <cell r="D187">
            <v>1250</v>
          </cell>
          <cell r="E187">
            <v>164512.5</v>
          </cell>
          <cell r="F187">
            <v>0.58562000362938271</v>
          </cell>
          <cell r="G187">
            <v>732.02500453672837</v>
          </cell>
          <cell r="H187">
            <v>59</v>
          </cell>
          <cell r="I187">
            <v>73750</v>
          </cell>
          <cell r="J187">
            <v>10.74</v>
          </cell>
          <cell r="K187">
            <v>8.5920000000000005</v>
          </cell>
          <cell r="L187">
            <v>10740</v>
          </cell>
          <cell r="M187">
            <v>85222.025004536728</v>
          </cell>
          <cell r="N187">
            <v>63.432379996370621</v>
          </cell>
          <cell r="O187">
            <v>79290.474995463272</v>
          </cell>
          <cell r="P187">
            <v>48.197234249958676</v>
          </cell>
        </row>
        <row r="188">
          <cell r="B188" t="str">
            <v>205L816</v>
          </cell>
          <cell r="C188">
            <v>96.61</v>
          </cell>
          <cell r="D188">
            <v>1132</v>
          </cell>
          <cell r="E188">
            <v>109362.52</v>
          </cell>
          <cell r="F188">
            <v>0.58562000362938271</v>
          </cell>
          <cell r="G188">
            <v>662.92184410846119</v>
          </cell>
          <cell r="H188">
            <v>114.3039</v>
          </cell>
          <cell r="I188">
            <v>129392.0148</v>
          </cell>
          <cell r="J188">
            <v>11.73</v>
          </cell>
          <cell r="K188">
            <v>9.3840000000000003</v>
          </cell>
          <cell r="L188">
            <v>10622.688</v>
          </cell>
          <cell r="M188">
            <v>140677.62464410847</v>
          </cell>
          <cell r="N188">
            <v>-27.663520003629383</v>
          </cell>
          <cell r="O188">
            <v>-31315.104644108462</v>
          </cell>
          <cell r="P188">
            <v>-28.634220063791933</v>
          </cell>
        </row>
        <row r="189">
          <cell r="B189" t="str">
            <v>205L818</v>
          </cell>
          <cell r="C189">
            <v>168.61</v>
          </cell>
          <cell r="D189">
            <v>281</v>
          </cell>
          <cell r="E189">
            <v>47379.41</v>
          </cell>
          <cell r="F189">
            <v>0.58562000362938271</v>
          </cell>
          <cell r="G189">
            <v>164.55922101985655</v>
          </cell>
          <cell r="H189">
            <v>101.69</v>
          </cell>
          <cell r="I189">
            <v>28574.89</v>
          </cell>
          <cell r="J189">
            <v>16.78</v>
          </cell>
          <cell r="K189">
            <v>13.424000000000001</v>
          </cell>
          <cell r="L189">
            <v>3772.1440000000002</v>
          </cell>
          <cell r="M189">
            <v>32511.593221019855</v>
          </cell>
          <cell r="N189">
            <v>52.910379996370636</v>
          </cell>
          <cell r="O189">
            <v>14867.816778980148</v>
          </cell>
          <cell r="P189">
            <v>31.380333311411324</v>
          </cell>
        </row>
        <row r="190">
          <cell r="B190" t="str">
            <v>205L902</v>
          </cell>
          <cell r="C190">
            <v>167.61</v>
          </cell>
          <cell r="D190">
            <v>462</v>
          </cell>
          <cell r="E190">
            <v>77435.820000000007</v>
          </cell>
          <cell r="F190">
            <v>0.58562000362938271</v>
          </cell>
          <cell r="G190">
            <v>270.5564416767748</v>
          </cell>
          <cell r="H190">
            <v>85.549800000000005</v>
          </cell>
          <cell r="I190">
            <v>39524.007600000004</v>
          </cell>
          <cell r="J190">
            <v>14.2</v>
          </cell>
          <cell r="K190">
            <v>11.36</v>
          </cell>
          <cell r="L190">
            <v>5248.32</v>
          </cell>
          <cell r="M190">
            <v>45042.884041676778</v>
          </cell>
          <cell r="N190">
            <v>70.114579996370622</v>
          </cell>
          <cell r="O190">
            <v>32392.935958323229</v>
          </cell>
          <cell r="P190">
            <v>41.831978996701039</v>
          </cell>
        </row>
        <row r="191">
          <cell r="B191" t="str">
            <v>206-160</v>
          </cell>
          <cell r="C191">
            <v>83.61</v>
          </cell>
          <cell r="D191">
            <v>30</v>
          </cell>
          <cell r="E191">
            <v>2508.3000000000002</v>
          </cell>
          <cell r="F191">
            <v>0.58562000362938271</v>
          </cell>
          <cell r="G191">
            <v>17.56860010888148</v>
          </cell>
          <cell r="H191">
            <v>152.84</v>
          </cell>
          <cell r="I191">
            <v>4585.2</v>
          </cell>
          <cell r="J191">
            <v>12.7</v>
          </cell>
          <cell r="K191">
            <v>10.16</v>
          </cell>
          <cell r="L191">
            <v>304.8</v>
          </cell>
          <cell r="M191">
            <v>4907.5686001088816</v>
          </cell>
          <cell r="N191">
            <v>-79.975620003629373</v>
          </cell>
          <cell r="O191">
            <v>-2399.2686001088814</v>
          </cell>
          <cell r="P191">
            <v>-95.653175461822002</v>
          </cell>
        </row>
        <row r="192">
          <cell r="B192" t="str">
            <v>206-164</v>
          </cell>
          <cell r="C192">
            <v>68.61</v>
          </cell>
          <cell r="D192">
            <v>15</v>
          </cell>
          <cell r="E192">
            <v>1029.1500000000001</v>
          </cell>
          <cell r="F192">
            <v>0.58562000362938271</v>
          </cell>
          <cell r="G192">
            <v>8.7843000544407399</v>
          </cell>
          <cell r="H192">
            <v>116.67</v>
          </cell>
          <cell r="I192">
            <v>1750.05</v>
          </cell>
          <cell r="J192">
            <v>16</v>
          </cell>
          <cell r="K192">
            <v>12.8</v>
          </cell>
          <cell r="L192">
            <v>192</v>
          </cell>
          <cell r="M192">
            <v>1950.8343000544407</v>
          </cell>
          <cell r="N192">
            <v>-61.445620003629379</v>
          </cell>
          <cell r="O192">
            <v>-921.68430005444066</v>
          </cell>
          <cell r="P192">
            <v>-89.557819565120795</v>
          </cell>
        </row>
        <row r="193">
          <cell r="B193" t="str">
            <v>206L118</v>
          </cell>
          <cell r="C193">
            <v>256.61</v>
          </cell>
          <cell r="D193">
            <v>641</v>
          </cell>
          <cell r="E193">
            <v>164487.01</v>
          </cell>
          <cell r="F193">
            <v>0.58562000362938271</v>
          </cell>
          <cell r="G193">
            <v>375.38242232643432</v>
          </cell>
          <cell r="H193">
            <v>143.7242</v>
          </cell>
          <cell r="I193">
            <v>92127.212199999994</v>
          </cell>
          <cell r="J193">
            <v>11.01</v>
          </cell>
          <cell r="K193">
            <v>8.8079999999999998</v>
          </cell>
          <cell r="L193">
            <v>5645.9279999999999</v>
          </cell>
          <cell r="M193">
            <v>98148.522622326433</v>
          </cell>
          <cell r="N193">
            <v>103.49217999637064</v>
          </cell>
          <cell r="O193">
            <v>66338.487377673577</v>
          </cell>
          <cell r="P193">
            <v>40.330532713600654</v>
          </cell>
        </row>
        <row r="194">
          <cell r="B194" t="str">
            <v>206L158</v>
          </cell>
          <cell r="C194">
            <v>111.60999999999999</v>
          </cell>
          <cell r="D194">
            <v>320</v>
          </cell>
          <cell r="E194">
            <v>35715.199999999997</v>
          </cell>
          <cell r="F194">
            <v>0.58562000362938271</v>
          </cell>
          <cell r="G194">
            <v>187.39840116140246</v>
          </cell>
          <cell r="H194">
            <v>63.179999999999993</v>
          </cell>
          <cell r="I194">
            <v>20217.599999999999</v>
          </cell>
          <cell r="J194">
            <v>13.19</v>
          </cell>
          <cell r="K194">
            <v>10.552</v>
          </cell>
          <cell r="L194">
            <v>3376.64</v>
          </cell>
          <cell r="M194">
            <v>23781.638401161399</v>
          </cell>
          <cell r="N194">
            <v>37.29237999637062</v>
          </cell>
          <cell r="O194">
            <v>11933.561598838598</v>
          </cell>
          <cell r="P194">
            <v>33.413117100950295</v>
          </cell>
        </row>
        <row r="195">
          <cell r="B195" t="str">
            <v>209-078</v>
          </cell>
          <cell r="C195">
            <v>78.61</v>
          </cell>
          <cell r="D195">
            <v>93</v>
          </cell>
          <cell r="E195">
            <v>7310.73</v>
          </cell>
          <cell r="F195">
            <v>0.58562000362938271</v>
          </cell>
          <cell r="G195">
            <v>54.46266033753259</v>
          </cell>
          <cell r="H195">
            <v>81.8</v>
          </cell>
          <cell r="I195">
            <v>7607.4</v>
          </cell>
          <cell r="J195">
            <v>11.5</v>
          </cell>
          <cell r="K195">
            <v>9.2000000000000011</v>
          </cell>
          <cell r="L195">
            <v>855.60000000000014</v>
          </cell>
          <cell r="M195">
            <v>8517.4626603375327</v>
          </cell>
          <cell r="N195">
            <v>-12.975620003629389</v>
          </cell>
          <cell r="O195">
            <v>-1206.7326603375332</v>
          </cell>
          <cell r="P195">
            <v>-16.506322355462906</v>
          </cell>
        </row>
        <row r="196">
          <cell r="B196" t="str">
            <v>209-121</v>
          </cell>
          <cell r="C196">
            <v>58.61</v>
          </cell>
          <cell r="D196">
            <v>15</v>
          </cell>
          <cell r="E196">
            <v>879.15</v>
          </cell>
          <cell r="F196">
            <v>0.58562000362938271</v>
          </cell>
          <cell r="G196">
            <v>8.7843000544407399</v>
          </cell>
          <cell r="H196">
            <v>163.2782</v>
          </cell>
          <cell r="I196">
            <v>2449.1729999999998</v>
          </cell>
          <cell r="J196">
            <v>15.54</v>
          </cell>
          <cell r="K196">
            <v>12.432</v>
          </cell>
          <cell r="L196">
            <v>186.48000000000002</v>
          </cell>
          <cell r="M196">
            <v>2644.4373000544406</v>
          </cell>
          <cell r="N196">
            <v>-117.68582000362936</v>
          </cell>
          <cell r="O196">
            <v>-1765.2873000544405</v>
          </cell>
          <cell r="P196">
            <v>-200.7947790541364</v>
          </cell>
        </row>
        <row r="197">
          <cell r="B197" t="str">
            <v>209-192</v>
          </cell>
          <cell r="C197">
            <v>63.610000000000007</v>
          </cell>
          <cell r="D197">
            <v>3</v>
          </cell>
          <cell r="E197">
            <v>190.83</v>
          </cell>
          <cell r="F197">
            <v>0.58562000362938271</v>
          </cell>
          <cell r="G197">
            <v>1.7568600108881482</v>
          </cell>
          <cell r="H197">
            <v>141</v>
          </cell>
          <cell r="I197">
            <v>423</v>
          </cell>
          <cell r="J197">
            <v>13.490000000000002</v>
          </cell>
          <cell r="K197">
            <v>10.792000000000002</v>
          </cell>
          <cell r="L197">
            <v>32.376000000000005</v>
          </cell>
          <cell r="M197">
            <v>457.13286001088812</v>
          </cell>
          <cell r="N197">
            <v>-88.767620003629375</v>
          </cell>
          <cell r="O197">
            <v>-266.30286001088814</v>
          </cell>
          <cell r="P197">
            <v>-139.54978777492434</v>
          </cell>
        </row>
        <row r="198">
          <cell r="B198" t="str">
            <v>209-333</v>
          </cell>
          <cell r="C198">
            <v>68.61</v>
          </cell>
          <cell r="D198">
            <v>129</v>
          </cell>
          <cell r="E198">
            <v>8850.69</v>
          </cell>
          <cell r="F198">
            <v>0.58562000362938271</v>
          </cell>
          <cell r="G198">
            <v>75.544980468190374</v>
          </cell>
          <cell r="H198">
            <v>161.82</v>
          </cell>
          <cell r="I198">
            <v>20874.78</v>
          </cell>
          <cell r="J198">
            <v>11.4</v>
          </cell>
          <cell r="K198">
            <v>9.120000000000001</v>
          </cell>
          <cell r="L198">
            <v>1176.48</v>
          </cell>
          <cell r="M198">
            <v>22126.80498046819</v>
          </cell>
          <cell r="N198">
            <v>-102.91562000362939</v>
          </cell>
          <cell r="O198">
            <v>-13276.11498046819</v>
          </cell>
          <cell r="P198">
            <v>-150.0009036636487</v>
          </cell>
        </row>
        <row r="199">
          <cell r="B199" t="str">
            <v>209-460</v>
          </cell>
          <cell r="C199">
            <v>68.61</v>
          </cell>
          <cell r="D199">
            <v>17</v>
          </cell>
          <cell r="E199">
            <v>1166.3699999999999</v>
          </cell>
          <cell r="F199">
            <v>0.58562000362938271</v>
          </cell>
          <cell r="G199">
            <v>9.9555400616995069</v>
          </cell>
          <cell r="H199">
            <v>124</v>
          </cell>
          <cell r="I199">
            <v>2108</v>
          </cell>
          <cell r="J199">
            <v>14.96</v>
          </cell>
          <cell r="K199">
            <v>11.968000000000002</v>
          </cell>
          <cell r="L199">
            <v>203.45600000000002</v>
          </cell>
          <cell r="M199">
            <v>2321.4115400616997</v>
          </cell>
          <cell r="N199">
            <v>-67.943620003629405</v>
          </cell>
          <cell r="O199">
            <v>-1155.0415400616998</v>
          </cell>
          <cell r="P199">
            <v>-99.028742171154931</v>
          </cell>
        </row>
        <row r="200">
          <cell r="B200" t="str">
            <v>209-473</v>
          </cell>
          <cell r="C200">
            <v>88.61</v>
          </cell>
          <cell r="D200">
            <v>34</v>
          </cell>
          <cell r="E200">
            <v>3012.74</v>
          </cell>
          <cell r="F200">
            <v>0.58562000362938271</v>
          </cell>
          <cell r="G200">
            <v>19.911080123399014</v>
          </cell>
          <cell r="H200">
            <v>257.39</v>
          </cell>
          <cell r="I200">
            <v>8751.26</v>
          </cell>
          <cell r="J200">
            <v>15</v>
          </cell>
          <cell r="K200">
            <v>12</v>
          </cell>
          <cell r="L200">
            <v>408</v>
          </cell>
          <cell r="M200">
            <v>9179.1710801233985</v>
          </cell>
          <cell r="N200">
            <v>-181.36562000362937</v>
          </cell>
          <cell r="O200">
            <v>-6166.4310801233987</v>
          </cell>
          <cell r="P200">
            <v>-204.67850130191781</v>
          </cell>
        </row>
        <row r="201">
          <cell r="B201" t="str">
            <v>209-545</v>
          </cell>
          <cell r="C201">
            <v>63.61</v>
          </cell>
          <cell r="D201">
            <v>50</v>
          </cell>
          <cell r="E201">
            <v>3180.5</v>
          </cell>
          <cell r="F201">
            <v>0.58562000362938271</v>
          </cell>
          <cell r="G201">
            <v>29.281000181469135</v>
          </cell>
          <cell r="H201">
            <v>102.97</v>
          </cell>
          <cell r="I201">
            <v>5148.5</v>
          </cell>
          <cell r="J201">
            <v>15</v>
          </cell>
          <cell r="K201">
            <v>12</v>
          </cell>
          <cell r="L201">
            <v>600</v>
          </cell>
          <cell r="M201">
            <v>5777.7810001814687</v>
          </cell>
          <cell r="N201">
            <v>-51.945620003629372</v>
          </cell>
          <cell r="O201">
            <v>-2597.2810001814687</v>
          </cell>
          <cell r="P201">
            <v>-81.66266310899131</v>
          </cell>
        </row>
        <row r="202">
          <cell r="B202" t="str">
            <v>209L042</v>
          </cell>
          <cell r="C202">
            <v>96.61</v>
          </cell>
          <cell r="D202">
            <v>471</v>
          </cell>
          <cell r="E202">
            <v>45503.31</v>
          </cell>
          <cell r="F202">
            <v>0.58562000362938271</v>
          </cell>
          <cell r="G202">
            <v>275.82702170943924</v>
          </cell>
          <cell r="H202">
            <v>55.58</v>
          </cell>
          <cell r="I202">
            <v>26178.18</v>
          </cell>
          <cell r="J202">
            <v>11.54</v>
          </cell>
          <cell r="K202">
            <v>9.2319999999999993</v>
          </cell>
          <cell r="L202">
            <v>4348.2719999999999</v>
          </cell>
          <cell r="M202">
            <v>30802.279021709441</v>
          </cell>
          <cell r="N202">
            <v>31.212379996370608</v>
          </cell>
          <cell r="O202">
            <v>14701.030978290557</v>
          </cell>
          <cell r="P202">
            <v>32.307607904327298</v>
          </cell>
        </row>
        <row r="203">
          <cell r="B203" t="str">
            <v>210L260</v>
          </cell>
          <cell r="C203">
            <v>113.61</v>
          </cell>
          <cell r="D203">
            <v>16702</v>
          </cell>
          <cell r="E203">
            <v>1897514.22</v>
          </cell>
          <cell r="F203">
            <v>0.58562000362938271</v>
          </cell>
          <cell r="G203">
            <v>9781.0253006179501</v>
          </cell>
          <cell r="H203">
            <v>60.3</v>
          </cell>
          <cell r="I203">
            <v>1007130.6</v>
          </cell>
          <cell r="J203">
            <v>8.31</v>
          </cell>
          <cell r="K203">
            <v>6.6480000000000006</v>
          </cell>
          <cell r="L203">
            <v>111034.89600000001</v>
          </cell>
          <cell r="M203">
            <v>1127946.5213006181</v>
          </cell>
          <cell r="N203">
            <v>46.076379996370605</v>
          </cell>
          <cell r="O203">
            <v>769567.6986993819</v>
          </cell>
          <cell r="P203">
            <v>40.556623533465896</v>
          </cell>
        </row>
        <row r="204">
          <cell r="B204" t="str">
            <v>210L585</v>
          </cell>
          <cell r="C204">
            <v>123.61</v>
          </cell>
          <cell r="D204">
            <v>362</v>
          </cell>
          <cell r="E204">
            <v>44746.82</v>
          </cell>
          <cell r="F204">
            <v>0.58562000362938271</v>
          </cell>
          <cell r="G204">
            <v>211.99444131383655</v>
          </cell>
          <cell r="H204">
            <v>88.91</v>
          </cell>
          <cell r="I204">
            <v>32185.42</v>
          </cell>
          <cell r="J204">
            <v>9.4600000000000009</v>
          </cell>
          <cell r="K204">
            <v>7.5680000000000014</v>
          </cell>
          <cell r="L204">
            <v>2739.6160000000004</v>
          </cell>
          <cell r="M204">
            <v>35137.030441313836</v>
          </cell>
          <cell r="N204">
            <v>26.546379996370618</v>
          </cell>
          <cell r="O204">
            <v>9609.7895586861632</v>
          </cell>
          <cell r="P204">
            <v>21.475916185074524</v>
          </cell>
        </row>
        <row r="205">
          <cell r="B205" t="str">
            <v>216-155</v>
          </cell>
          <cell r="C205">
            <v>78.61</v>
          </cell>
          <cell r="D205">
            <v>4</v>
          </cell>
          <cell r="E205">
            <v>314.44</v>
          </cell>
          <cell r="F205">
            <v>0.58562000362938271</v>
          </cell>
          <cell r="G205">
            <v>2.3424800145175309</v>
          </cell>
          <cell r="H205">
            <v>144.05000000000001</v>
          </cell>
          <cell r="I205">
            <v>576.20000000000005</v>
          </cell>
          <cell r="J205">
            <v>17</v>
          </cell>
          <cell r="K205">
            <v>13.600000000000001</v>
          </cell>
          <cell r="L205">
            <v>54.400000000000006</v>
          </cell>
          <cell r="M205">
            <v>632.94248001451751</v>
          </cell>
          <cell r="N205">
            <v>-79.625620003629379</v>
          </cell>
          <cell r="O205">
            <v>-318.50248001451752</v>
          </cell>
          <cell r="P205">
            <v>-101.29197303603787</v>
          </cell>
        </row>
        <row r="206">
          <cell r="B206" t="str">
            <v>217-417</v>
          </cell>
          <cell r="C206">
            <v>68.61</v>
          </cell>
          <cell r="D206">
            <v>7</v>
          </cell>
          <cell r="E206">
            <v>480.27</v>
          </cell>
          <cell r="F206">
            <v>0.58562000362938271</v>
          </cell>
          <cell r="G206">
            <v>4.0993400254056791</v>
          </cell>
          <cell r="H206">
            <v>116.51</v>
          </cell>
          <cell r="I206">
            <v>815.57</v>
          </cell>
          <cell r="J206">
            <v>15.29</v>
          </cell>
          <cell r="K206">
            <v>12.231999999999999</v>
          </cell>
          <cell r="L206">
            <v>85.623999999999995</v>
          </cell>
          <cell r="M206">
            <v>905.29334002540577</v>
          </cell>
          <cell r="N206">
            <v>-60.717620003629399</v>
          </cell>
          <cell r="O206">
            <v>-425.02334002540579</v>
          </cell>
          <cell r="P206">
            <v>-88.496749750225035</v>
          </cell>
        </row>
        <row r="207">
          <cell r="B207" t="str">
            <v>217-539</v>
          </cell>
          <cell r="C207">
            <v>78.61</v>
          </cell>
          <cell r="D207">
            <v>10</v>
          </cell>
          <cell r="E207">
            <v>786.1</v>
          </cell>
          <cell r="F207">
            <v>0.58562000362938271</v>
          </cell>
          <cell r="G207">
            <v>5.8562000362938269</v>
          </cell>
          <cell r="H207">
            <v>154.80770000000001</v>
          </cell>
          <cell r="I207">
            <v>1548.0770000000002</v>
          </cell>
          <cell r="J207">
            <v>14.7</v>
          </cell>
          <cell r="K207">
            <v>11.76</v>
          </cell>
          <cell r="L207">
            <v>117.6</v>
          </cell>
          <cell r="M207">
            <v>1671.5332000362939</v>
          </cell>
          <cell r="N207">
            <v>-88.54332000362939</v>
          </cell>
          <cell r="O207">
            <v>-885.4332000362939</v>
          </cell>
          <cell r="P207">
            <v>-112.63620404990382</v>
          </cell>
        </row>
        <row r="208">
          <cell r="B208" t="str">
            <v>217-573</v>
          </cell>
          <cell r="C208">
            <v>73.61</v>
          </cell>
          <cell r="D208">
            <v>9</v>
          </cell>
          <cell r="E208">
            <v>662.49</v>
          </cell>
          <cell r="F208">
            <v>0.58562000362938271</v>
          </cell>
          <cell r="G208">
            <v>5.2705800326644443</v>
          </cell>
          <cell r="H208">
            <v>232</v>
          </cell>
          <cell r="I208">
            <v>2088</v>
          </cell>
          <cell r="J208">
            <v>22.7</v>
          </cell>
          <cell r="K208">
            <v>18.16</v>
          </cell>
          <cell r="L208">
            <v>163.44</v>
          </cell>
          <cell r="M208">
            <v>2256.7105800326644</v>
          </cell>
          <cell r="N208">
            <v>-177.13562000362938</v>
          </cell>
          <cell r="O208">
            <v>-1594.2205800326644</v>
          </cell>
          <cell r="P208">
            <v>-240.64070099664363</v>
          </cell>
        </row>
        <row r="209">
          <cell r="B209" t="str">
            <v>217-675</v>
          </cell>
          <cell r="C209">
            <v>83.61</v>
          </cell>
          <cell r="D209">
            <v>25</v>
          </cell>
          <cell r="E209">
            <v>2090.25</v>
          </cell>
          <cell r="F209">
            <v>0.58562000362938271</v>
          </cell>
          <cell r="G209">
            <v>14.640500090734568</v>
          </cell>
          <cell r="H209">
            <v>204.1</v>
          </cell>
          <cell r="I209">
            <v>5102.5</v>
          </cell>
          <cell r="J209">
            <v>19.21</v>
          </cell>
          <cell r="K209">
            <v>15.368000000000002</v>
          </cell>
          <cell r="L209">
            <v>384.20000000000005</v>
          </cell>
          <cell r="M209">
            <v>5501.3405000907342</v>
          </cell>
          <cell r="N209">
            <v>-136.44362000362938</v>
          </cell>
          <cell r="O209">
            <v>-3411.0905000907342</v>
          </cell>
          <cell r="P209">
            <v>-163.19055137379425</v>
          </cell>
        </row>
        <row r="210">
          <cell r="B210" t="str">
            <v>217-737</v>
          </cell>
          <cell r="C210">
            <v>88.61</v>
          </cell>
          <cell r="D210">
            <v>6</v>
          </cell>
          <cell r="E210">
            <v>531.66</v>
          </cell>
          <cell r="F210">
            <v>0.58562000362938271</v>
          </cell>
          <cell r="G210">
            <v>3.5137200217762965</v>
          </cell>
          <cell r="H210">
            <v>236</v>
          </cell>
          <cell r="I210">
            <v>1416</v>
          </cell>
          <cell r="J210">
            <v>15</v>
          </cell>
          <cell r="K210">
            <v>12</v>
          </cell>
          <cell r="L210">
            <v>72</v>
          </cell>
          <cell r="M210">
            <v>1491.5137200217764</v>
          </cell>
          <cell r="N210">
            <v>-159.97562000362942</v>
          </cell>
          <cell r="O210">
            <v>-959.85372002177644</v>
          </cell>
          <cell r="P210">
            <v>-180.53901365943958</v>
          </cell>
        </row>
        <row r="211">
          <cell r="B211" t="str">
            <v>217A417</v>
          </cell>
          <cell r="C211">
            <v>68.61</v>
          </cell>
          <cell r="D211">
            <v>4</v>
          </cell>
          <cell r="E211">
            <v>274.44</v>
          </cell>
          <cell r="F211">
            <v>0.58562000362938271</v>
          </cell>
          <cell r="G211">
            <v>2.3424800145175309</v>
          </cell>
          <cell r="H211">
            <v>92.627600000000001</v>
          </cell>
          <cell r="I211">
            <v>370.5104</v>
          </cell>
          <cell r="J211">
            <v>15.29</v>
          </cell>
          <cell r="K211">
            <v>12.231999999999999</v>
          </cell>
          <cell r="L211">
            <v>48.927999999999997</v>
          </cell>
          <cell r="M211">
            <v>421.78088001451755</v>
          </cell>
          <cell r="N211">
            <v>-36.835220003629388</v>
          </cell>
          <cell r="O211">
            <v>-147.34088001451755</v>
          </cell>
          <cell r="P211">
            <v>-53.687829767715186</v>
          </cell>
        </row>
        <row r="212">
          <cell r="B212" t="str">
            <v>217L214</v>
          </cell>
          <cell r="C212">
            <v>166.60999999999999</v>
          </cell>
          <cell r="D212">
            <v>1238</v>
          </cell>
          <cell r="E212">
            <v>206263.18</v>
          </cell>
          <cell r="F212">
            <v>0.58562000362938271</v>
          </cell>
          <cell r="G212">
            <v>724.99756449317579</v>
          </cell>
          <cell r="H212">
            <v>87.57</v>
          </cell>
          <cell r="I212">
            <v>108411.65999999999</v>
          </cell>
          <cell r="J212">
            <v>11.34</v>
          </cell>
          <cell r="K212">
            <v>9.072000000000001</v>
          </cell>
          <cell r="L212">
            <v>11231.136</v>
          </cell>
          <cell r="M212">
            <v>120367.79356449316</v>
          </cell>
          <cell r="N212">
            <v>69.382379996370631</v>
          </cell>
          <cell r="O212">
            <v>85895.386435506836</v>
          </cell>
          <cell r="P212">
            <v>41.643586817340278</v>
          </cell>
        </row>
        <row r="213">
          <cell r="B213" t="str">
            <v>230L056</v>
          </cell>
          <cell r="C213">
            <v>268.61</v>
          </cell>
          <cell r="D213">
            <v>835</v>
          </cell>
          <cell r="E213">
            <v>224289.35</v>
          </cell>
          <cell r="F213">
            <v>0.58562000362938271</v>
          </cell>
          <cell r="G213">
            <v>488.99270303053459</v>
          </cell>
          <cell r="H213">
            <v>164.16</v>
          </cell>
          <cell r="I213">
            <v>137073.60000000001</v>
          </cell>
          <cell r="J213">
            <v>13.970000000000002</v>
          </cell>
          <cell r="K213">
            <v>11.176000000000002</v>
          </cell>
          <cell r="L213">
            <v>9331.9600000000009</v>
          </cell>
          <cell r="M213">
            <v>146894.55270303052</v>
          </cell>
          <cell r="N213">
            <v>92.688379996370642</v>
          </cell>
          <cell r="O213">
            <v>77394.797296969482</v>
          </cell>
          <cell r="P213">
            <v>34.506675103819902</v>
          </cell>
        </row>
        <row r="214">
          <cell r="B214" t="str">
            <v>237-114</v>
          </cell>
          <cell r="C214">
            <v>68.61</v>
          </cell>
          <cell r="D214">
            <v>11</v>
          </cell>
          <cell r="E214">
            <v>754.71</v>
          </cell>
          <cell r="F214">
            <v>0.58562000362938271</v>
          </cell>
          <cell r="G214">
            <v>6.4418200399232095</v>
          </cell>
          <cell r="H214">
            <v>178.74</v>
          </cell>
          <cell r="I214">
            <v>1966.14</v>
          </cell>
          <cell r="J214">
            <v>15</v>
          </cell>
          <cell r="K214">
            <v>12</v>
          </cell>
          <cell r="L214">
            <v>132</v>
          </cell>
          <cell r="M214">
            <v>2104.5818200399235</v>
          </cell>
          <cell r="N214">
            <v>-122.71562000362941</v>
          </cell>
          <cell r="O214">
            <v>-1349.8718200399235</v>
          </cell>
          <cell r="P214">
            <v>-178.859670607243</v>
          </cell>
        </row>
        <row r="215">
          <cell r="B215" t="str">
            <v>237L063</v>
          </cell>
          <cell r="C215">
            <v>161.61000000000001</v>
          </cell>
          <cell r="D215">
            <v>1650</v>
          </cell>
          <cell r="E215">
            <v>266656.5</v>
          </cell>
          <cell r="F215">
            <v>0.58562000362938271</v>
          </cell>
          <cell r="G215">
            <v>966.27300598848149</v>
          </cell>
          <cell r="H215">
            <v>119.52</v>
          </cell>
          <cell r="I215">
            <v>197208</v>
          </cell>
          <cell r="J215">
            <v>12.97</v>
          </cell>
          <cell r="K215">
            <v>10.376000000000001</v>
          </cell>
          <cell r="L215">
            <v>17120.400000000001</v>
          </cell>
          <cell r="M215">
            <v>215294.67300598847</v>
          </cell>
          <cell r="N215">
            <v>31.128379996370622</v>
          </cell>
          <cell r="O215">
            <v>51361.826994011528</v>
          </cell>
          <cell r="P215">
            <v>19.2614194643714</v>
          </cell>
        </row>
        <row r="216">
          <cell r="B216" t="str">
            <v>300L221</v>
          </cell>
          <cell r="C216">
            <v>161.60999999999999</v>
          </cell>
          <cell r="D216">
            <v>1061</v>
          </cell>
          <cell r="E216">
            <v>171468.21</v>
          </cell>
          <cell r="F216">
            <v>0.58562000362938271</v>
          </cell>
          <cell r="G216">
            <v>621.34282385077506</v>
          </cell>
          <cell r="H216">
            <v>96.435599999999994</v>
          </cell>
          <cell r="I216">
            <v>102318.17159999999</v>
          </cell>
          <cell r="J216">
            <v>11.17</v>
          </cell>
          <cell r="K216">
            <v>8.9359999999999999</v>
          </cell>
          <cell r="L216">
            <v>9481.0959999999995</v>
          </cell>
          <cell r="M216">
            <v>112420.61042385077</v>
          </cell>
          <cell r="N216">
            <v>55.652779996370619</v>
          </cell>
          <cell r="O216">
            <v>59047.599576149223</v>
          </cell>
          <cell r="P216">
            <v>34.436470513192639</v>
          </cell>
        </row>
        <row r="217">
          <cell r="B217" t="str">
            <v>317-018</v>
          </cell>
          <cell r="C217">
            <v>138.61000000000001</v>
          </cell>
          <cell r="D217">
            <v>8</v>
          </cell>
          <cell r="E217">
            <v>1108.8800000000001</v>
          </cell>
          <cell r="F217">
            <v>0.58562000362938271</v>
          </cell>
          <cell r="G217">
            <v>4.6849600290350617</v>
          </cell>
          <cell r="H217">
            <v>232.23</v>
          </cell>
          <cell r="I217">
            <v>1857.84</v>
          </cell>
          <cell r="J217">
            <v>19.940000000000001</v>
          </cell>
          <cell r="K217">
            <v>15.952000000000002</v>
          </cell>
          <cell r="L217">
            <v>127.61600000000001</v>
          </cell>
          <cell r="M217">
            <v>1990.1409600290349</v>
          </cell>
          <cell r="N217">
            <v>-110.15762000362935</v>
          </cell>
          <cell r="O217">
            <v>-881.26096002903478</v>
          </cell>
          <cell r="P217">
            <v>-79.473068323807325</v>
          </cell>
        </row>
        <row r="218">
          <cell r="B218" t="str">
            <v>401L047</v>
          </cell>
          <cell r="C218">
            <v>128.60999999999999</v>
          </cell>
          <cell r="D218">
            <v>1142</v>
          </cell>
          <cell r="E218">
            <v>146872.62</v>
          </cell>
          <cell r="F218">
            <v>0.58562000362938271</v>
          </cell>
          <cell r="G218">
            <v>668.77804414475509</v>
          </cell>
          <cell r="H218">
            <v>59.31</v>
          </cell>
          <cell r="I218">
            <v>67732.02</v>
          </cell>
          <cell r="J218">
            <v>2.63</v>
          </cell>
          <cell r="K218">
            <v>2.1040000000000001</v>
          </cell>
          <cell r="L218">
            <v>2402.768</v>
          </cell>
          <cell r="M218">
            <v>70803.566044144754</v>
          </cell>
          <cell r="N218">
            <v>66.610379996370611</v>
          </cell>
          <cell r="O218">
            <v>76069.053955855241</v>
          </cell>
          <cell r="P218">
            <v>51.792535569839529</v>
          </cell>
        </row>
        <row r="219">
          <cell r="B219" t="str">
            <v>401L152</v>
          </cell>
          <cell r="C219">
            <v>106.60999999999999</v>
          </cell>
          <cell r="D219">
            <v>740</v>
          </cell>
          <cell r="E219">
            <v>78891.399999999994</v>
          </cell>
          <cell r="F219">
            <v>0.58562000362938271</v>
          </cell>
          <cell r="G219">
            <v>433.35880268574323</v>
          </cell>
          <cell r="H219">
            <v>46.92</v>
          </cell>
          <cell r="I219">
            <v>34720.800000000003</v>
          </cell>
          <cell r="J219">
            <v>2.79</v>
          </cell>
          <cell r="K219">
            <v>2.2320000000000002</v>
          </cell>
          <cell r="L219">
            <v>1651.68</v>
          </cell>
          <cell r="M219">
            <v>36805.838802685743</v>
          </cell>
          <cell r="N219">
            <v>56.872379996370611</v>
          </cell>
          <cell r="O219">
            <v>42085.561197314251</v>
          </cell>
          <cell r="P219">
            <v>53.346196413442094</v>
          </cell>
        </row>
        <row r="220">
          <cell r="B220" t="str">
            <v>401L364</v>
          </cell>
          <cell r="C220">
            <v>136.61000000000001</v>
          </cell>
          <cell r="D220">
            <v>2328</v>
          </cell>
          <cell r="E220">
            <v>318028.08</v>
          </cell>
          <cell r="F220">
            <v>0.58562000362938271</v>
          </cell>
          <cell r="G220">
            <v>1363.3233684492029</v>
          </cell>
          <cell r="H220">
            <v>78.107500000000002</v>
          </cell>
          <cell r="I220">
            <v>181834.26</v>
          </cell>
          <cell r="J220">
            <v>7</v>
          </cell>
          <cell r="K220">
            <v>5.6000000000000005</v>
          </cell>
          <cell r="L220">
            <v>13036.800000000001</v>
          </cell>
          <cell r="M220">
            <v>196234.3833684492</v>
          </cell>
          <cell r="N220">
            <v>52.316879996370623</v>
          </cell>
          <cell r="O220">
            <v>121793.69663155082</v>
          </cell>
          <cell r="P220">
            <v>38.296522945882892</v>
          </cell>
        </row>
        <row r="221">
          <cell r="B221" t="str">
            <v>401L382</v>
          </cell>
          <cell r="C221">
            <v>148.60999999999999</v>
          </cell>
          <cell r="D221">
            <v>77</v>
          </cell>
          <cell r="E221">
            <v>11442.97</v>
          </cell>
          <cell r="F221">
            <v>0.58562000362938271</v>
          </cell>
          <cell r="G221">
            <v>45.092740279462468</v>
          </cell>
          <cell r="H221">
            <v>84.75</v>
          </cell>
          <cell r="I221">
            <v>6525.75</v>
          </cell>
          <cell r="J221">
            <v>6.37</v>
          </cell>
          <cell r="K221">
            <v>5.0960000000000001</v>
          </cell>
          <cell r="L221">
            <v>392.392</v>
          </cell>
          <cell r="M221">
            <v>6963.2347402794621</v>
          </cell>
          <cell r="N221">
            <v>58.178379996370616</v>
          </cell>
          <cell r="O221">
            <v>4479.7352597205372</v>
          </cell>
          <cell r="P221">
            <v>39.148361480634293</v>
          </cell>
        </row>
        <row r="222">
          <cell r="B222" t="str">
            <v>750L961</v>
          </cell>
          <cell r="C222">
            <v>116.61</v>
          </cell>
          <cell r="D222">
            <v>595</v>
          </cell>
          <cell r="E222">
            <v>69382.95</v>
          </cell>
          <cell r="F222">
            <v>0.58562000362938271</v>
          </cell>
          <cell r="G222">
            <v>348.44390215948272</v>
          </cell>
          <cell r="H222">
            <v>32.880000000000003</v>
          </cell>
          <cell r="I222">
            <v>19563.600000000002</v>
          </cell>
          <cell r="J222">
            <v>5.44</v>
          </cell>
          <cell r="K222">
            <v>4.3520000000000003</v>
          </cell>
          <cell r="L222">
            <v>2589.44</v>
          </cell>
          <cell r="M222">
            <v>22501.483902159485</v>
          </cell>
          <cell r="N222">
            <v>78.792379996370613</v>
          </cell>
          <cell r="O222">
            <v>46881.466097840515</v>
          </cell>
          <cell r="P222">
            <v>67.569145010179753</v>
          </cell>
        </row>
        <row r="223">
          <cell r="B223" t="str">
            <v>751L417</v>
          </cell>
          <cell r="C223">
            <v>81.61</v>
          </cell>
          <cell r="D223">
            <v>293</v>
          </cell>
          <cell r="E223">
            <v>23911.73</v>
          </cell>
          <cell r="F223">
            <v>0.58562000362938271</v>
          </cell>
          <cell r="G223">
            <v>171.58666106340914</v>
          </cell>
          <cell r="H223">
            <v>43.05</v>
          </cell>
          <cell r="I223">
            <v>12613.65</v>
          </cell>
          <cell r="J223">
            <v>4.75</v>
          </cell>
          <cell r="K223">
            <v>3.8000000000000003</v>
          </cell>
          <cell r="L223">
            <v>1113.4000000000001</v>
          </cell>
          <cell r="M223">
            <v>13898.636661063409</v>
          </cell>
          <cell r="N223">
            <v>34.174379996370618</v>
          </cell>
          <cell r="O223">
            <v>10013.093338936591</v>
          </cell>
          <cell r="P223">
            <v>41.875235873508906</v>
          </cell>
        </row>
        <row r="224">
          <cell r="B224" t="str">
            <v>751S689</v>
          </cell>
          <cell r="C224">
            <v>38.61</v>
          </cell>
          <cell r="D224">
            <v>300</v>
          </cell>
          <cell r="E224">
            <v>11583</v>
          </cell>
          <cell r="F224">
            <v>0.58562000362938271</v>
          </cell>
          <cell r="G224">
            <v>175.68600108881481</v>
          </cell>
          <cell r="H224">
            <v>73.866900000000001</v>
          </cell>
          <cell r="I224">
            <v>22160.07</v>
          </cell>
          <cell r="J224">
            <v>5.2</v>
          </cell>
          <cell r="K224">
            <v>4.16</v>
          </cell>
          <cell r="L224">
            <v>1248</v>
          </cell>
          <cell r="M224">
            <v>23583.756001088816</v>
          </cell>
          <cell r="N224">
            <v>-40.002520003629385</v>
          </cell>
          <cell r="O224">
            <v>-12000.756001088816</v>
          </cell>
          <cell r="P224">
            <v>-103.60663041603053</v>
          </cell>
        </row>
        <row r="225">
          <cell r="B225" t="str">
            <v>760L002</v>
          </cell>
          <cell r="C225">
            <v>143.60999999999999</v>
          </cell>
          <cell r="D225">
            <v>435</v>
          </cell>
          <cell r="E225">
            <v>62470.35</v>
          </cell>
          <cell r="F225">
            <v>0.58562000362938271</v>
          </cell>
          <cell r="G225">
            <v>254.74470157878147</v>
          </cell>
          <cell r="H225">
            <v>76.099999999999994</v>
          </cell>
          <cell r="I225">
            <v>33103.5</v>
          </cell>
          <cell r="J225">
            <v>5.09</v>
          </cell>
          <cell r="K225">
            <v>4.0720000000000001</v>
          </cell>
          <cell r="L225">
            <v>1771.32</v>
          </cell>
          <cell r="M225">
            <v>35129.564701578784</v>
          </cell>
          <cell r="N225">
            <v>62.852379996370608</v>
          </cell>
          <cell r="O225">
            <v>27340.785298421215</v>
          </cell>
          <cell r="P225">
            <v>43.766019076924039</v>
          </cell>
        </row>
        <row r="226">
          <cell r="B226" t="str">
            <v>79X482</v>
          </cell>
          <cell r="C226">
            <v>68.61</v>
          </cell>
          <cell r="D226">
            <v>2550</v>
          </cell>
          <cell r="E226">
            <v>174955.5</v>
          </cell>
          <cell r="F226">
            <v>0.58562000362938271</v>
          </cell>
          <cell r="G226">
            <v>1493.3310092549259</v>
          </cell>
          <cell r="H226">
            <v>0</v>
          </cell>
          <cell r="I226">
            <v>0</v>
          </cell>
          <cell r="J226">
            <v>0</v>
          </cell>
          <cell r="K226">
            <v>0</v>
          </cell>
          <cell r="L226">
            <v>0</v>
          </cell>
          <cell r="M226">
            <v>1493.3310092549259</v>
          </cell>
          <cell r="N226">
            <v>68.024379996370612</v>
          </cell>
          <cell r="O226">
            <v>173462.16899074506</v>
          </cell>
          <cell r="P226">
            <v>99.146450949381446</v>
          </cell>
        </row>
        <row r="227">
          <cell r="B227" t="str">
            <v>79X483</v>
          </cell>
          <cell r="C227">
            <v>68.61</v>
          </cell>
          <cell r="D227">
            <v>1183</v>
          </cell>
          <cell r="E227">
            <v>81165.63</v>
          </cell>
          <cell r="F227">
            <v>0.58562000362938271</v>
          </cell>
          <cell r="G227">
            <v>692.78846429355974</v>
          </cell>
          <cell r="H227">
            <v>0</v>
          </cell>
          <cell r="I227">
            <v>0</v>
          </cell>
          <cell r="J227">
            <v>0</v>
          </cell>
          <cell r="K227">
            <v>0</v>
          </cell>
          <cell r="L227">
            <v>0</v>
          </cell>
          <cell r="M227">
            <v>692.78846429355974</v>
          </cell>
          <cell r="N227">
            <v>68.024379996370627</v>
          </cell>
          <cell r="O227">
            <v>80472.841535706451</v>
          </cell>
          <cell r="P227">
            <v>99.146450949381475</v>
          </cell>
        </row>
        <row r="228">
          <cell r="B228" t="str">
            <v>79X485</v>
          </cell>
          <cell r="C228">
            <v>78.61</v>
          </cell>
          <cell r="D228">
            <v>2635</v>
          </cell>
          <cell r="E228">
            <v>207137.35</v>
          </cell>
          <cell r="F228">
            <v>0.58562000362938271</v>
          </cell>
          <cell r="G228">
            <v>1543.1087095634234</v>
          </cell>
          <cell r="H228">
            <v>0</v>
          </cell>
          <cell r="I228">
            <v>0</v>
          </cell>
          <cell r="J228">
            <v>0</v>
          </cell>
          <cell r="K228">
            <v>0</v>
          </cell>
          <cell r="L228">
            <v>0</v>
          </cell>
          <cell r="M228">
            <v>1543.1087095634234</v>
          </cell>
          <cell r="N228">
            <v>78.024379996370627</v>
          </cell>
          <cell r="O228">
            <v>205594.24129043659</v>
          </cell>
          <cell r="P228">
            <v>99.255031161901314</v>
          </cell>
        </row>
        <row r="229">
          <cell r="B229" t="str">
            <v>79X486</v>
          </cell>
          <cell r="C229">
            <v>78.61</v>
          </cell>
          <cell r="D229">
            <v>960</v>
          </cell>
          <cell r="E229">
            <v>75465.600000000006</v>
          </cell>
          <cell r="F229">
            <v>0.58562000362938271</v>
          </cell>
          <cell r="G229">
            <v>562.19520348420735</v>
          </cell>
          <cell r="H229">
            <v>0</v>
          </cell>
          <cell r="I229">
            <v>0</v>
          </cell>
          <cell r="J229">
            <v>0</v>
          </cell>
          <cell r="K229">
            <v>0</v>
          </cell>
          <cell r="L229">
            <v>0</v>
          </cell>
          <cell r="M229">
            <v>562.19520348420735</v>
          </cell>
          <cell r="N229">
            <v>78.024379996370627</v>
          </cell>
          <cell r="O229">
            <v>74903.404796515795</v>
          </cell>
          <cell r="P229">
            <v>99.255031161901314</v>
          </cell>
        </row>
      </sheetData>
      <sheetData sheetId="2" refreshError="1">
        <row r="10">
          <cell r="D10" t="str">
            <v>205-811</v>
          </cell>
        </row>
        <row r="11">
          <cell r="D11" t="str">
            <v>206-164</v>
          </cell>
        </row>
        <row r="12">
          <cell r="D12" t="str">
            <v>209-459</v>
          </cell>
        </row>
        <row r="13">
          <cell r="D13" t="str">
            <v>209-533</v>
          </cell>
        </row>
        <row r="14">
          <cell r="D14" t="str">
            <v>209-534</v>
          </cell>
        </row>
        <row r="15">
          <cell r="D15" t="str">
            <v>209-545</v>
          </cell>
        </row>
        <row r="16">
          <cell r="D16" t="str">
            <v>209A340</v>
          </cell>
        </row>
        <row r="17">
          <cell r="D17" t="str">
            <v>209A533</v>
          </cell>
        </row>
        <row r="18">
          <cell r="D18" t="str">
            <v>216-148</v>
          </cell>
        </row>
        <row r="19">
          <cell r="D19" t="str">
            <v>217-428</v>
          </cell>
        </row>
        <row r="20">
          <cell r="D20" t="str">
            <v>217-540</v>
          </cell>
        </row>
        <row r="21">
          <cell r="D21" t="str">
            <v>217-573</v>
          </cell>
        </row>
        <row r="22">
          <cell r="D22" t="str">
            <v>217-579</v>
          </cell>
        </row>
        <row r="23">
          <cell r="D23" t="str">
            <v>217-661</v>
          </cell>
        </row>
        <row r="24">
          <cell r="D24" t="str">
            <v>217A428</v>
          </cell>
        </row>
        <row r="25">
          <cell r="D25" t="str">
            <v>217B428</v>
          </cell>
        </row>
        <row r="26">
          <cell r="D26" t="str">
            <v>209-468</v>
          </cell>
        </row>
        <row r="27">
          <cell r="D27" t="str">
            <v>209-535</v>
          </cell>
        </row>
        <row r="46">
          <cell r="D46" t="str">
            <v>209-333</v>
          </cell>
        </row>
        <row r="47">
          <cell r="D47" t="str">
            <v>209-338</v>
          </cell>
        </row>
        <row r="48">
          <cell r="D48" t="str">
            <v>209-460</v>
          </cell>
        </row>
        <row r="49">
          <cell r="D49" t="str">
            <v>217-675</v>
          </cell>
        </row>
        <row r="50">
          <cell r="D50" t="str">
            <v>217-722</v>
          </cell>
        </row>
        <row r="51">
          <cell r="D51" t="str">
            <v>237-114</v>
          </cell>
        </row>
        <row r="52">
          <cell r="D52" t="str">
            <v>209-473</v>
          </cell>
        </row>
        <row r="53">
          <cell r="D53" t="str">
            <v>209-591</v>
          </cell>
        </row>
        <row r="54">
          <cell r="D54" t="str">
            <v>209-624</v>
          </cell>
        </row>
        <row r="55">
          <cell r="D55" t="str">
            <v>217-718</v>
          </cell>
        </row>
        <row r="56">
          <cell r="D56" t="str">
            <v>217-781</v>
          </cell>
        </row>
        <row r="57">
          <cell r="D57" t="str">
            <v>217-782</v>
          </cell>
        </row>
        <row r="58">
          <cell r="D58" t="str">
            <v>317-022</v>
          </cell>
        </row>
        <row r="59">
          <cell r="D59" t="str">
            <v>317-023</v>
          </cell>
        </row>
        <row r="93">
          <cell r="D93" t="str">
            <v>209-460</v>
          </cell>
        </row>
        <row r="94">
          <cell r="D94" t="str">
            <v>209-333</v>
          </cell>
        </row>
        <row r="95">
          <cell r="D95" t="str">
            <v>217-431</v>
          </cell>
        </row>
        <row r="96">
          <cell r="D96" t="str">
            <v>217-675</v>
          </cell>
        </row>
        <row r="110">
          <cell r="D110" t="str">
            <v>202-305</v>
          </cell>
          <cell r="E110">
            <v>226.51810756527561</v>
          </cell>
          <cell r="F110">
            <v>8962</v>
          </cell>
          <cell r="R110">
            <v>8962</v>
          </cell>
          <cell r="S110">
            <v>2030055.28</v>
          </cell>
          <cell r="AE110">
            <v>2030055.28</v>
          </cell>
          <cell r="AF110">
            <v>1.6400000000000001</v>
          </cell>
          <cell r="AG110">
            <v>14697.68</v>
          </cell>
          <cell r="AS110">
            <v>14697.68</v>
          </cell>
          <cell r="AT110">
            <v>131.92999999999998</v>
          </cell>
          <cell r="AU110">
            <v>1182356.6599999999</v>
          </cell>
          <cell r="BG110">
            <v>1182356.6599999999</v>
          </cell>
          <cell r="BH110">
            <v>9.06</v>
          </cell>
          <cell r="BI110">
            <v>7.2480000000000011</v>
          </cell>
          <cell r="BJ110">
            <v>64956.576000000008</v>
          </cell>
          <cell r="BV110">
            <v>64956.576000000008</v>
          </cell>
          <cell r="BW110">
            <v>1262010.916</v>
          </cell>
          <cell r="BX110">
            <v>85.700107565275616</v>
          </cell>
          <cell r="BY110">
            <v>768044.36400000006</v>
          </cell>
          <cell r="BZ110">
            <v>37.833667465449516</v>
          </cell>
        </row>
        <row r="111">
          <cell r="D111" t="str">
            <v>202-737</v>
          </cell>
          <cell r="E111">
            <v>95.472000000000008</v>
          </cell>
          <cell r="F111">
            <v>1030</v>
          </cell>
          <cell r="R111">
            <v>1030</v>
          </cell>
          <cell r="S111">
            <v>98336.16</v>
          </cell>
          <cell r="AE111">
            <v>98336.16</v>
          </cell>
          <cell r="AF111">
            <v>1.6400000000000001</v>
          </cell>
          <cell r="AG111">
            <v>1689.2</v>
          </cell>
          <cell r="AS111">
            <v>1689.2</v>
          </cell>
          <cell r="AT111">
            <v>42.7652</v>
          </cell>
          <cell r="AU111">
            <v>44048.156000000003</v>
          </cell>
          <cell r="BG111">
            <v>44048.156000000003</v>
          </cell>
          <cell r="BH111">
            <v>9.09</v>
          </cell>
          <cell r="BI111">
            <v>7.2720000000000002</v>
          </cell>
          <cell r="BJ111">
            <v>7490.16</v>
          </cell>
          <cell r="BV111">
            <v>7490.16</v>
          </cell>
          <cell r="BW111">
            <v>53227.516000000003</v>
          </cell>
          <cell r="BX111">
            <v>43.794800000000002</v>
          </cell>
          <cell r="BY111">
            <v>45108.644</v>
          </cell>
          <cell r="BZ111">
            <v>45.871878665996313</v>
          </cell>
        </row>
        <row r="112">
          <cell r="D112" t="str">
            <v>205-739</v>
          </cell>
          <cell r="E112">
            <v>117.504</v>
          </cell>
          <cell r="F112">
            <v>2338</v>
          </cell>
          <cell r="R112">
            <v>2338</v>
          </cell>
          <cell r="S112">
            <v>274724.35200000001</v>
          </cell>
          <cell r="AE112">
            <v>274724.35200000001</v>
          </cell>
          <cell r="AF112">
            <v>1.6400000000000001</v>
          </cell>
          <cell r="AG112">
            <v>3834.32</v>
          </cell>
          <cell r="AS112">
            <v>3834.32</v>
          </cell>
          <cell r="AT112">
            <v>51.904899999999998</v>
          </cell>
          <cell r="AU112">
            <v>121353.6562</v>
          </cell>
          <cell r="BG112">
            <v>121353.6562</v>
          </cell>
          <cell r="BH112">
            <v>10.76</v>
          </cell>
          <cell r="BI112">
            <v>8.6080000000000005</v>
          </cell>
          <cell r="BJ112">
            <v>20125.504000000001</v>
          </cell>
          <cell r="BV112">
            <v>20125.504000000001</v>
          </cell>
          <cell r="BW112">
            <v>145313.48019999999</v>
          </cell>
          <cell r="BX112">
            <v>55.35110000000001</v>
          </cell>
          <cell r="BY112">
            <v>129410.87180000002</v>
          </cell>
          <cell r="BZ112">
            <v>47.10571555010894</v>
          </cell>
        </row>
        <row r="113">
          <cell r="D113" t="str">
            <v>209-243</v>
          </cell>
          <cell r="E113">
            <v>116.28</v>
          </cell>
          <cell r="F113">
            <v>1152</v>
          </cell>
          <cell r="R113">
            <v>1152</v>
          </cell>
          <cell r="S113">
            <v>133954.56</v>
          </cell>
          <cell r="AE113">
            <v>133954.56</v>
          </cell>
          <cell r="AF113">
            <v>1.64</v>
          </cell>
          <cell r="AG113">
            <v>1889.28</v>
          </cell>
          <cell r="AS113">
            <v>1889.28</v>
          </cell>
          <cell r="AT113">
            <v>56.71</v>
          </cell>
          <cell r="AU113">
            <v>65329.919999999998</v>
          </cell>
          <cell r="BG113">
            <v>65329.919999999998</v>
          </cell>
          <cell r="BH113">
            <v>10.47</v>
          </cell>
          <cell r="BI113">
            <v>8.3760000000000012</v>
          </cell>
          <cell r="BJ113">
            <v>9649.1520000000019</v>
          </cell>
          <cell r="BV113">
            <v>9649.1520000000019</v>
          </cell>
          <cell r="BW113">
            <v>76868.351999999999</v>
          </cell>
          <cell r="BX113">
            <v>49.554000000000002</v>
          </cell>
          <cell r="BY113">
            <v>57086.207999999999</v>
          </cell>
          <cell r="BZ113">
            <v>42.616099071207429</v>
          </cell>
        </row>
        <row r="114">
          <cell r="D114" t="str">
            <v>209-522</v>
          </cell>
          <cell r="E114">
            <v>222.768</v>
          </cell>
          <cell r="F114">
            <v>772</v>
          </cell>
          <cell r="R114">
            <v>772</v>
          </cell>
          <cell r="S114">
            <v>171976.89600000001</v>
          </cell>
          <cell r="AE114">
            <v>171976.89600000001</v>
          </cell>
          <cell r="AF114">
            <v>1.64</v>
          </cell>
          <cell r="AG114">
            <v>1266.08</v>
          </cell>
          <cell r="AS114">
            <v>1266.08</v>
          </cell>
          <cell r="AT114">
            <v>140.63</v>
          </cell>
          <cell r="AU114">
            <v>108566.36</v>
          </cell>
          <cell r="BG114">
            <v>108566.36</v>
          </cell>
          <cell r="BH114">
            <v>17</v>
          </cell>
          <cell r="BI114">
            <v>13.600000000000001</v>
          </cell>
          <cell r="BJ114">
            <v>10499.2</v>
          </cell>
          <cell r="BV114">
            <v>10499.2</v>
          </cell>
          <cell r="BW114">
            <v>120331.64</v>
          </cell>
          <cell r="BX114">
            <v>66.89800000000001</v>
          </cell>
          <cell r="BY114">
            <v>51645.256000000008</v>
          </cell>
          <cell r="BZ114">
            <v>30.030345471521947</v>
          </cell>
        </row>
        <row r="115">
          <cell r="D115" t="str">
            <v>217-478</v>
          </cell>
          <cell r="E115">
            <v>137.69999999999999</v>
          </cell>
          <cell r="F115">
            <v>570</v>
          </cell>
          <cell r="R115">
            <v>570</v>
          </cell>
          <cell r="S115">
            <v>78489</v>
          </cell>
          <cell r="AE115">
            <v>78489</v>
          </cell>
          <cell r="AF115">
            <v>1.64</v>
          </cell>
          <cell r="AG115">
            <v>934.8</v>
          </cell>
          <cell r="AS115">
            <v>934.8</v>
          </cell>
          <cell r="AT115">
            <v>72</v>
          </cell>
          <cell r="AU115">
            <v>41040</v>
          </cell>
          <cell r="BG115">
            <v>41040</v>
          </cell>
          <cell r="BH115">
            <v>12.469999999999999</v>
          </cell>
          <cell r="BI115">
            <v>9.9759999999999991</v>
          </cell>
          <cell r="BJ115">
            <v>5686.32</v>
          </cell>
          <cell r="BV115">
            <v>5686.32</v>
          </cell>
          <cell r="BW115">
            <v>47661.120000000003</v>
          </cell>
          <cell r="BX115">
            <v>54.083999999999996</v>
          </cell>
          <cell r="BY115">
            <v>30827.879999999997</v>
          </cell>
          <cell r="BZ115">
            <v>39.276688453159039</v>
          </cell>
        </row>
        <row r="116">
          <cell r="D116" t="str">
            <v>40-527</v>
          </cell>
          <cell r="E116">
            <v>111.384</v>
          </cell>
          <cell r="F116">
            <v>1619</v>
          </cell>
          <cell r="R116">
            <v>1619</v>
          </cell>
          <cell r="S116">
            <v>180330.696</v>
          </cell>
          <cell r="AE116">
            <v>180330.696</v>
          </cell>
          <cell r="AF116">
            <v>1.64</v>
          </cell>
          <cell r="AG116">
            <v>2655.16</v>
          </cell>
          <cell r="AS116">
            <v>2655.16</v>
          </cell>
          <cell r="AT116">
            <v>56.41</v>
          </cell>
          <cell r="AU116">
            <v>91327.79</v>
          </cell>
          <cell r="BG116">
            <v>91327.79</v>
          </cell>
          <cell r="BH116">
            <v>6.419999999999999</v>
          </cell>
          <cell r="BI116">
            <v>5.1359999999999992</v>
          </cell>
          <cell r="BJ116">
            <v>8315.1839999999993</v>
          </cell>
          <cell r="BV116">
            <v>8315.1839999999993</v>
          </cell>
          <cell r="BW116">
            <v>102298.13399999999</v>
          </cell>
          <cell r="BX116">
            <v>48.198</v>
          </cell>
          <cell r="BY116">
            <v>78032.562000000005</v>
          </cell>
          <cell r="BZ116">
            <v>43.271924154277094</v>
          </cell>
        </row>
        <row r="117">
          <cell r="D117" t="str">
            <v>401-482</v>
          </cell>
          <cell r="E117">
            <v>153</v>
          </cell>
          <cell r="F117">
            <v>1653</v>
          </cell>
          <cell r="R117">
            <v>1653</v>
          </cell>
          <cell r="S117">
            <v>252909</v>
          </cell>
          <cell r="AE117">
            <v>252909</v>
          </cell>
          <cell r="AF117">
            <v>1.6400000000000001</v>
          </cell>
          <cell r="AG117">
            <v>2710.92</v>
          </cell>
          <cell r="AS117">
            <v>2710.92</v>
          </cell>
          <cell r="AT117">
            <v>102.23</v>
          </cell>
          <cell r="AU117">
            <v>168986.19</v>
          </cell>
          <cell r="BG117">
            <v>168986.19</v>
          </cell>
          <cell r="BH117">
            <v>8</v>
          </cell>
          <cell r="BI117">
            <v>6.4</v>
          </cell>
          <cell r="BJ117">
            <v>10579.2</v>
          </cell>
          <cell r="BV117">
            <v>10579.2</v>
          </cell>
          <cell r="BW117">
            <v>182276.31000000003</v>
          </cell>
          <cell r="BX117">
            <v>42.729999999999983</v>
          </cell>
          <cell r="BY117">
            <v>70632.689999999973</v>
          </cell>
          <cell r="BZ117">
            <v>27.928104575163388</v>
          </cell>
        </row>
        <row r="118">
          <cell r="D118" t="str">
            <v>49X040</v>
          </cell>
          <cell r="E118">
            <v>137.69999999999999</v>
          </cell>
          <cell r="F118">
            <v>1582</v>
          </cell>
          <cell r="R118">
            <v>1582</v>
          </cell>
          <cell r="S118">
            <v>217841.4</v>
          </cell>
          <cell r="AE118">
            <v>217841.4</v>
          </cell>
          <cell r="AF118">
            <v>1.64</v>
          </cell>
          <cell r="AG118">
            <v>2594.48</v>
          </cell>
          <cell r="AS118">
            <v>2594.48</v>
          </cell>
          <cell r="AT118">
            <v>124.14</v>
          </cell>
          <cell r="AU118">
            <v>196389.48</v>
          </cell>
          <cell r="BG118">
            <v>196389.48</v>
          </cell>
          <cell r="BH118">
            <v>6.42</v>
          </cell>
          <cell r="BI118">
            <v>5.1360000000000001</v>
          </cell>
          <cell r="BJ118">
            <v>8125.152</v>
          </cell>
          <cell r="BV118">
            <v>8125.152</v>
          </cell>
          <cell r="BW118">
            <v>207109.11200000002</v>
          </cell>
          <cell r="BX118">
            <v>6.783999999999982</v>
          </cell>
          <cell r="BY118">
            <v>10732.287999999971</v>
          </cell>
          <cell r="BZ118">
            <v>4.926652142338404</v>
          </cell>
        </row>
        <row r="119">
          <cell r="D119" t="str">
            <v>70-580</v>
          </cell>
          <cell r="E119">
            <v>86.29375245986536</v>
          </cell>
          <cell r="F119">
            <v>1925</v>
          </cell>
          <cell r="G119">
            <v>6</v>
          </cell>
          <cell r="R119">
            <v>1931</v>
          </cell>
          <cell r="S119">
            <v>166112.1</v>
          </cell>
          <cell r="T119">
            <v>521.13600000000008</v>
          </cell>
          <cell r="AE119">
            <v>166633.236</v>
          </cell>
          <cell r="AF119">
            <v>1.6397949249093733</v>
          </cell>
          <cell r="AG119">
            <v>3157</v>
          </cell>
          <cell r="AH119">
            <v>9.4440000000000008</v>
          </cell>
          <cell r="AS119">
            <v>3166.444</v>
          </cell>
          <cell r="AT119">
            <v>43.35</v>
          </cell>
          <cell r="AU119">
            <v>83448.75</v>
          </cell>
          <cell r="AV119">
            <v>260.10000000000002</v>
          </cell>
          <cell r="BG119">
            <v>83708.850000000006</v>
          </cell>
          <cell r="BH119">
            <v>5.43</v>
          </cell>
          <cell r="BI119">
            <v>4.3440000000000003</v>
          </cell>
          <cell r="BJ119">
            <v>8362.2000000000007</v>
          </cell>
          <cell r="BK119">
            <v>26.064</v>
          </cell>
          <cell r="BV119">
            <v>8388.264000000001</v>
          </cell>
          <cell r="BW119">
            <v>95263.558000000005</v>
          </cell>
          <cell r="BX119">
            <v>36.959957534955983</v>
          </cell>
          <cell r="BY119">
            <v>71369.678</v>
          </cell>
          <cell r="BZ119">
            <v>42.830397892530875</v>
          </cell>
        </row>
        <row r="120">
          <cell r="D120" t="str">
            <v>70-629</v>
          </cell>
          <cell r="E120">
            <v>67.932000000000002</v>
          </cell>
          <cell r="F120">
            <v>222</v>
          </cell>
          <cell r="R120">
            <v>222</v>
          </cell>
          <cell r="S120">
            <v>15080.904</v>
          </cell>
          <cell r="AE120">
            <v>15080.904</v>
          </cell>
          <cell r="AF120">
            <v>1.64</v>
          </cell>
          <cell r="AG120">
            <v>364.08</v>
          </cell>
          <cell r="AS120">
            <v>364.08</v>
          </cell>
          <cell r="AT120">
            <v>23.75</v>
          </cell>
          <cell r="AU120">
            <v>5272.5</v>
          </cell>
          <cell r="BG120">
            <v>5272.5</v>
          </cell>
          <cell r="BH120">
            <v>4.8099999999999996</v>
          </cell>
          <cell r="BI120">
            <v>3.8479999999999999</v>
          </cell>
          <cell r="BJ120">
            <v>854.25599999999997</v>
          </cell>
          <cell r="BV120">
            <v>854.25599999999997</v>
          </cell>
          <cell r="BW120">
            <v>6490.8360000000002</v>
          </cell>
          <cell r="BX120">
            <v>38.693999999999996</v>
          </cell>
          <cell r="BY120">
            <v>8590.0679999999993</v>
          </cell>
          <cell r="BZ120">
            <v>56.959901077548125</v>
          </cell>
        </row>
        <row r="121">
          <cell r="D121" t="str">
            <v>70-700</v>
          </cell>
          <cell r="E121">
            <v>122.4</v>
          </cell>
          <cell r="F121">
            <v>1498</v>
          </cell>
          <cell r="R121">
            <v>1498</v>
          </cell>
          <cell r="S121">
            <v>183355.2</v>
          </cell>
          <cell r="AE121">
            <v>183355.2</v>
          </cell>
          <cell r="AF121">
            <v>1.64</v>
          </cell>
          <cell r="AG121">
            <v>2456.7199999999998</v>
          </cell>
          <cell r="AS121">
            <v>2456.7199999999998</v>
          </cell>
          <cell r="AT121">
            <v>63.01</v>
          </cell>
          <cell r="AU121">
            <v>94388.98</v>
          </cell>
          <cell r="BG121">
            <v>94388.98</v>
          </cell>
          <cell r="BH121">
            <v>6.8900000000000006</v>
          </cell>
          <cell r="BI121">
            <v>5.5120000000000005</v>
          </cell>
          <cell r="BJ121">
            <v>8256.9760000000006</v>
          </cell>
          <cell r="BV121">
            <v>8256.9760000000006</v>
          </cell>
          <cell r="BW121">
            <v>105102.67599999999</v>
          </cell>
          <cell r="BX121">
            <v>52.238000000000014</v>
          </cell>
          <cell r="BY121">
            <v>78252.524000000019</v>
          </cell>
          <cell r="BZ121">
            <v>42.678104575163403</v>
          </cell>
        </row>
        <row r="122">
          <cell r="D122" t="str">
            <v>70-703</v>
          </cell>
          <cell r="E122">
            <v>102.05547356051704</v>
          </cell>
          <cell r="F122">
            <v>514</v>
          </cell>
          <cell r="G122">
            <v>1188</v>
          </cell>
          <cell r="R122">
            <v>1702</v>
          </cell>
          <cell r="S122">
            <v>52218.288</v>
          </cell>
          <cell r="T122">
            <v>121480.128</v>
          </cell>
          <cell r="AE122">
            <v>173698.416</v>
          </cell>
          <cell r="AF122">
            <v>1.5939318448883668</v>
          </cell>
          <cell r="AG122">
            <v>842.96</v>
          </cell>
          <cell r="AH122">
            <v>1869.912</v>
          </cell>
          <cell r="AS122">
            <v>2712.8720000000003</v>
          </cell>
          <cell r="AT122">
            <v>61.45</v>
          </cell>
          <cell r="AU122">
            <v>31585.3</v>
          </cell>
          <cell r="AV122">
            <v>73002.600000000006</v>
          </cell>
          <cell r="BG122">
            <v>104587.90000000001</v>
          </cell>
          <cell r="BH122">
            <v>5.67</v>
          </cell>
          <cell r="BI122">
            <v>4.5360000000000005</v>
          </cell>
          <cell r="BJ122">
            <v>2331.5040000000004</v>
          </cell>
          <cell r="BK122">
            <v>5388.7680000000009</v>
          </cell>
          <cell r="BV122">
            <v>7720.2720000000008</v>
          </cell>
          <cell r="BW122">
            <v>115021.04400000001</v>
          </cell>
          <cell r="BX122">
            <v>34.475541715628665</v>
          </cell>
          <cell r="BY122">
            <v>58677.371999999988</v>
          </cell>
          <cell r="BZ122">
            <v>33.781178522664241</v>
          </cell>
        </row>
        <row r="123">
          <cell r="D123" t="str">
            <v>70-734</v>
          </cell>
          <cell r="E123">
            <v>94.749875755909841</v>
          </cell>
          <cell r="F123">
            <v>337</v>
          </cell>
          <cell r="G123">
            <v>1482</v>
          </cell>
          <cell r="R123">
            <v>1819</v>
          </cell>
          <cell r="S123">
            <v>31761.576000000001</v>
          </cell>
          <cell r="T123">
            <v>140588.448</v>
          </cell>
          <cell r="AE123">
            <v>172350.024</v>
          </cell>
          <cell r="AF123">
            <v>1.5862275975810884</v>
          </cell>
          <cell r="AG123">
            <v>552.67999999999995</v>
          </cell>
          <cell r="AH123">
            <v>2332.6680000000001</v>
          </cell>
          <cell r="AS123">
            <v>2885.348</v>
          </cell>
          <cell r="AT123">
            <v>59.43</v>
          </cell>
          <cell r="AU123">
            <v>20027.91</v>
          </cell>
          <cell r="AV123">
            <v>88075.26</v>
          </cell>
          <cell r="BG123">
            <v>108103.17</v>
          </cell>
          <cell r="BH123">
            <v>4.8299999999999992</v>
          </cell>
          <cell r="BI123">
            <v>3.8639999999999999</v>
          </cell>
          <cell r="BJ123">
            <v>1302.1680000000001</v>
          </cell>
          <cell r="BK123">
            <v>5726.4480000000003</v>
          </cell>
          <cell r="BV123">
            <v>7028.616</v>
          </cell>
          <cell r="BW123">
            <v>118017.13399999999</v>
          </cell>
          <cell r="BX123">
            <v>29.869648158328761</v>
          </cell>
          <cell r="BY123">
            <v>54332.890000000014</v>
          </cell>
          <cell r="BZ123">
            <v>31.524735964063467</v>
          </cell>
        </row>
        <row r="124">
          <cell r="D124" t="str">
            <v>70- 734</v>
          </cell>
          <cell r="E124">
            <v>94.864000000000004</v>
          </cell>
          <cell r="G124">
            <v>495</v>
          </cell>
          <cell r="R124">
            <v>495</v>
          </cell>
          <cell r="T124">
            <v>46957.68</v>
          </cell>
          <cell r="AE124">
            <v>46957.68</v>
          </cell>
          <cell r="AF124">
            <v>1.5740000000000001</v>
          </cell>
          <cell r="AH124">
            <v>779.13</v>
          </cell>
          <cell r="AS124">
            <v>779.13</v>
          </cell>
          <cell r="AT124">
            <v>59.43</v>
          </cell>
          <cell r="AV124">
            <v>29417.85</v>
          </cell>
          <cell r="BG124">
            <v>29417.85</v>
          </cell>
          <cell r="BH124">
            <v>4.83</v>
          </cell>
          <cell r="BI124">
            <v>3.8640000000000003</v>
          </cell>
          <cell r="BK124">
            <v>1912.68</v>
          </cell>
          <cell r="BV124">
            <v>1912.68</v>
          </cell>
          <cell r="BW124">
            <v>32109.66</v>
          </cell>
          <cell r="BX124">
            <v>29.996000000000002</v>
          </cell>
          <cell r="BY124">
            <v>14848.02</v>
          </cell>
          <cell r="BZ124">
            <v>31.620003373250128</v>
          </cell>
        </row>
        <row r="125">
          <cell r="D125" t="str">
            <v>751-071</v>
          </cell>
          <cell r="E125">
            <v>124.56132318983262</v>
          </cell>
          <cell r="F125">
            <v>9974</v>
          </cell>
          <cell r="G125">
            <v>1199</v>
          </cell>
          <cell r="R125">
            <v>11173</v>
          </cell>
          <cell r="S125">
            <v>1306047.92</v>
          </cell>
          <cell r="T125">
            <v>85675.743999999992</v>
          </cell>
          <cell r="AE125">
            <v>1391723.6639999999</v>
          </cell>
          <cell r="AF125">
            <v>1.6329173901369372</v>
          </cell>
          <cell r="AG125">
            <v>16357.36</v>
          </cell>
          <cell r="AH125">
            <v>1887.2260000000001</v>
          </cell>
          <cell r="AS125">
            <v>18244.585999999999</v>
          </cell>
          <cell r="AT125">
            <v>34.980000000000004</v>
          </cell>
          <cell r="AU125">
            <v>348890.52</v>
          </cell>
          <cell r="AV125">
            <v>41941.019999999997</v>
          </cell>
          <cell r="BG125">
            <v>390831.54000000004</v>
          </cell>
          <cell r="BH125">
            <v>4.6999999999999993</v>
          </cell>
          <cell r="BI125">
            <v>3.76</v>
          </cell>
          <cell r="BJ125">
            <v>37502.239999999998</v>
          </cell>
          <cell r="BK125">
            <v>4508.2400000000007</v>
          </cell>
          <cell r="BV125">
            <v>42010.479999999996</v>
          </cell>
          <cell r="BW125">
            <v>451086.60600000003</v>
          </cell>
          <cell r="BX125">
            <v>84.188405799695687</v>
          </cell>
          <cell r="BY125">
            <v>940637.05799999984</v>
          </cell>
          <cell r="BZ125">
            <v>67.587918660266453</v>
          </cell>
        </row>
        <row r="126">
          <cell r="D126" t="str">
            <v>751-417</v>
          </cell>
          <cell r="E126">
            <v>84.387402197802217</v>
          </cell>
          <cell r="F126">
            <v>3185</v>
          </cell>
          <cell r="R126">
            <v>3185</v>
          </cell>
          <cell r="S126">
            <v>268773.87600000005</v>
          </cell>
          <cell r="AE126">
            <v>268773.87600000005</v>
          </cell>
          <cell r="AF126">
            <v>1.64</v>
          </cell>
          <cell r="AG126">
            <v>5223.3999999999996</v>
          </cell>
          <cell r="AS126">
            <v>5223.3999999999996</v>
          </cell>
          <cell r="AT126">
            <v>43.052900000000001</v>
          </cell>
          <cell r="AU126">
            <v>137123.4865</v>
          </cell>
          <cell r="BG126">
            <v>137123.4865</v>
          </cell>
          <cell r="BH126">
            <v>4.7499999999999991</v>
          </cell>
          <cell r="BI126">
            <v>3.8</v>
          </cell>
          <cell r="BJ126">
            <v>12103</v>
          </cell>
          <cell r="BV126">
            <v>12103</v>
          </cell>
          <cell r="BW126">
            <v>154449.88649999999</v>
          </cell>
          <cell r="BX126">
            <v>35.894502197802218</v>
          </cell>
          <cell r="BY126">
            <v>114323.98950000005</v>
          </cell>
          <cell r="BZ126">
            <v>42.535380000993861</v>
          </cell>
        </row>
        <row r="127">
          <cell r="D127" t="str">
            <v>751-481</v>
          </cell>
          <cell r="E127">
            <v>58.14</v>
          </cell>
          <cell r="F127">
            <v>1397</v>
          </cell>
          <cell r="R127">
            <v>1397</v>
          </cell>
          <cell r="S127">
            <v>81221.58</v>
          </cell>
          <cell r="AE127">
            <v>81221.58</v>
          </cell>
          <cell r="AF127">
            <v>1.64</v>
          </cell>
          <cell r="AG127">
            <v>2291.08</v>
          </cell>
          <cell r="AS127">
            <v>2291.08</v>
          </cell>
          <cell r="AT127">
            <v>29.01</v>
          </cell>
          <cell r="AU127">
            <v>40526.97</v>
          </cell>
          <cell r="BG127">
            <v>40526.97</v>
          </cell>
          <cell r="BH127">
            <v>4.09</v>
          </cell>
          <cell r="BI127">
            <v>3.2720000000000002</v>
          </cell>
          <cell r="BJ127">
            <v>4570.9840000000004</v>
          </cell>
          <cell r="BV127">
            <v>4570.9840000000004</v>
          </cell>
          <cell r="BW127">
            <v>47389.034</v>
          </cell>
          <cell r="BX127">
            <v>24.218</v>
          </cell>
          <cell r="BY127">
            <v>33832.546000000002</v>
          </cell>
          <cell r="BZ127">
            <v>41.654626762985899</v>
          </cell>
        </row>
        <row r="128">
          <cell r="D128" t="str">
            <v>751-751</v>
          </cell>
          <cell r="E128">
            <v>191.20646946406316</v>
          </cell>
          <cell r="F128">
            <v>715</v>
          </cell>
          <cell r="G128">
            <v>1692</v>
          </cell>
          <cell r="R128">
            <v>2407</v>
          </cell>
          <cell r="S128">
            <v>136087.38</v>
          </cell>
          <cell r="T128">
            <v>324146.592</v>
          </cell>
          <cell r="AE128">
            <v>460233.97200000001</v>
          </cell>
          <cell r="AF128">
            <v>1.5936053178230163</v>
          </cell>
          <cell r="AG128">
            <v>1172.5999999999999</v>
          </cell>
          <cell r="AH128">
            <v>2663.2080000000001</v>
          </cell>
          <cell r="AS128">
            <v>3835.808</v>
          </cell>
          <cell r="AT128">
            <v>102.30999999999999</v>
          </cell>
          <cell r="AU128">
            <v>73151.649999999994</v>
          </cell>
          <cell r="AV128">
            <v>173108.52</v>
          </cell>
          <cell r="BG128">
            <v>246260.16999999998</v>
          </cell>
          <cell r="BH128">
            <v>6.2000000000000011</v>
          </cell>
          <cell r="BI128">
            <v>4.9600000000000009</v>
          </cell>
          <cell r="BJ128">
            <v>3546.4</v>
          </cell>
          <cell r="BK128">
            <v>8392.3200000000015</v>
          </cell>
          <cell r="BV128">
            <v>11938.720000000001</v>
          </cell>
          <cell r="BW128">
            <v>262034.69799999997</v>
          </cell>
          <cell r="BX128">
            <v>82.342864146240146</v>
          </cell>
          <cell r="BY128">
            <v>198199.27400000003</v>
          </cell>
          <cell r="BZ128">
            <v>43.064894392454804</v>
          </cell>
        </row>
        <row r="129">
          <cell r="D129" t="str">
            <v>751-786</v>
          </cell>
          <cell r="E129">
            <v>72.216000000000008</v>
          </cell>
          <cell r="F129">
            <v>1187</v>
          </cell>
          <cell r="R129">
            <v>1187</v>
          </cell>
          <cell r="S129">
            <v>85720.392000000007</v>
          </cell>
          <cell r="AE129">
            <v>85720.392000000007</v>
          </cell>
          <cell r="AF129">
            <v>1.6400000000000001</v>
          </cell>
          <cell r="AG129">
            <v>1946.68</v>
          </cell>
          <cell r="AS129">
            <v>1946.68</v>
          </cell>
          <cell r="AT129">
            <v>32.72</v>
          </cell>
          <cell r="AU129">
            <v>38838.639999999999</v>
          </cell>
          <cell r="BG129">
            <v>38838.639999999999</v>
          </cell>
          <cell r="BH129">
            <v>4.7900000000000009</v>
          </cell>
          <cell r="BI129">
            <v>3.8320000000000007</v>
          </cell>
          <cell r="BJ129">
            <v>4548.5840000000007</v>
          </cell>
          <cell r="BV129">
            <v>4548.5840000000007</v>
          </cell>
          <cell r="BW129">
            <v>45333.904000000002</v>
          </cell>
          <cell r="BX129">
            <v>34.024000000000001</v>
          </cell>
          <cell r="BY129">
            <v>40386.488000000005</v>
          </cell>
          <cell r="BZ129">
            <v>47.114212916805137</v>
          </cell>
        </row>
        <row r="130">
          <cell r="D130" t="str">
            <v>752-006</v>
          </cell>
          <cell r="E130">
            <v>131.58000000000001</v>
          </cell>
          <cell r="F130">
            <v>2966</v>
          </cell>
          <cell r="R130">
            <v>2966</v>
          </cell>
          <cell r="S130">
            <v>390266.28</v>
          </cell>
          <cell r="AE130">
            <v>390266.28</v>
          </cell>
          <cell r="AF130">
            <v>1.64</v>
          </cell>
          <cell r="AG130">
            <v>4864.24</v>
          </cell>
          <cell r="AS130">
            <v>4864.24</v>
          </cell>
          <cell r="AT130">
            <v>75.11</v>
          </cell>
          <cell r="AU130">
            <v>222776.26</v>
          </cell>
          <cell r="BG130">
            <v>222776.26</v>
          </cell>
          <cell r="BH130">
            <v>5</v>
          </cell>
          <cell r="BI130">
            <v>4</v>
          </cell>
          <cell r="BJ130">
            <v>11864</v>
          </cell>
          <cell r="BV130">
            <v>11864</v>
          </cell>
          <cell r="BW130">
            <v>239504.5</v>
          </cell>
          <cell r="BX130">
            <v>50.830000000000013</v>
          </cell>
          <cell r="BY130">
            <v>150761.78000000003</v>
          </cell>
          <cell r="BZ130">
            <v>38.630490956072357</v>
          </cell>
        </row>
        <row r="131">
          <cell r="D131" t="str">
            <v>752-015</v>
          </cell>
          <cell r="E131">
            <v>149.94</v>
          </cell>
          <cell r="F131">
            <v>23</v>
          </cell>
          <cell r="R131">
            <v>23</v>
          </cell>
          <cell r="S131">
            <v>3448.62</v>
          </cell>
          <cell r="AE131">
            <v>3448.62</v>
          </cell>
          <cell r="AF131">
            <v>1.64</v>
          </cell>
          <cell r="AG131">
            <v>37.72</v>
          </cell>
          <cell r="AS131">
            <v>37.72</v>
          </cell>
          <cell r="AT131">
            <v>104.66</v>
          </cell>
          <cell r="AU131">
            <v>2407.1799999999998</v>
          </cell>
          <cell r="BG131">
            <v>2407.1799999999998</v>
          </cell>
          <cell r="BH131">
            <v>5</v>
          </cell>
          <cell r="BI131">
            <v>4</v>
          </cell>
          <cell r="BJ131">
            <v>92</v>
          </cell>
          <cell r="BV131">
            <v>92</v>
          </cell>
          <cell r="BW131">
            <v>2536.8999999999996</v>
          </cell>
          <cell r="BX131">
            <v>39.640000000000008</v>
          </cell>
          <cell r="BY131">
            <v>911.72000000000025</v>
          </cell>
          <cell r="BZ131">
            <v>26.437241563291991</v>
          </cell>
        </row>
        <row r="132">
          <cell r="D132" t="str">
            <v>77-454</v>
          </cell>
          <cell r="E132">
            <v>58.248765750286367</v>
          </cell>
          <cell r="F132">
            <v>4985</v>
          </cell>
          <cell r="G132">
            <v>1999</v>
          </cell>
          <cell r="R132">
            <v>6984</v>
          </cell>
          <cell r="S132">
            <v>289827.90000000002</v>
          </cell>
          <cell r="T132">
            <v>116981.48</v>
          </cell>
          <cell r="AE132">
            <v>406809.38</v>
          </cell>
          <cell r="AF132">
            <v>1.6211091065292096</v>
          </cell>
          <cell r="AG132">
            <v>8175.4</v>
          </cell>
          <cell r="AH132">
            <v>3146.4259999999999</v>
          </cell>
          <cell r="AS132">
            <v>11321.825999999999</v>
          </cell>
          <cell r="AT132">
            <v>10.189633447880873</v>
          </cell>
          <cell r="AU132">
            <v>0</v>
          </cell>
          <cell r="AV132">
            <v>71164.400000000009</v>
          </cell>
          <cell r="BG132">
            <v>71164.400000000009</v>
          </cell>
          <cell r="BH132">
            <v>1.0790707331042382</v>
          </cell>
          <cell r="BI132">
            <v>0.86325658648339065</v>
          </cell>
          <cell r="BJ132">
            <v>0</v>
          </cell>
          <cell r="BK132">
            <v>6028.9840000000004</v>
          </cell>
          <cell r="BV132">
            <v>6028.9840000000004</v>
          </cell>
          <cell r="BW132">
            <v>88515.21</v>
          </cell>
          <cell r="BX132">
            <v>45.574766609392896</v>
          </cell>
          <cell r="BY132">
            <v>318294.17</v>
          </cell>
          <cell r="BZ132">
            <v>78.241600525533599</v>
          </cell>
        </row>
        <row r="133">
          <cell r="D133" t="str">
            <v>77-480</v>
          </cell>
          <cell r="E133">
            <v>54.734761017216869</v>
          </cell>
          <cell r="F133">
            <v>1587</v>
          </cell>
          <cell r="G133">
            <v>4744</v>
          </cell>
          <cell r="R133">
            <v>6331</v>
          </cell>
          <cell r="S133">
            <v>86440.716000000015</v>
          </cell>
          <cell r="T133">
            <v>260085.05600000001</v>
          </cell>
          <cell r="AE133">
            <v>346525.772</v>
          </cell>
          <cell r="AF133">
            <v>1.5905443057968727</v>
          </cell>
          <cell r="AG133">
            <v>2602.6799999999998</v>
          </cell>
          <cell r="AH133">
            <v>7467.0560000000005</v>
          </cell>
          <cell r="AS133">
            <v>10069.736000000001</v>
          </cell>
          <cell r="AT133">
            <v>24.877712841573214</v>
          </cell>
          <cell r="AU133">
            <v>0</v>
          </cell>
          <cell r="AV133">
            <v>157500.80000000002</v>
          </cell>
          <cell r="BG133">
            <v>157500.80000000002</v>
          </cell>
          <cell r="BH133">
            <v>2.8399557731795926</v>
          </cell>
          <cell r="BI133">
            <v>2.2719646185436742</v>
          </cell>
          <cell r="BJ133">
            <v>0</v>
          </cell>
          <cell r="BK133">
            <v>14383.808000000001</v>
          </cell>
          <cell r="BV133">
            <v>14383.808000000001</v>
          </cell>
          <cell r="BW133">
            <v>181954.34400000001</v>
          </cell>
          <cell r="BX133">
            <v>25.994539251303109</v>
          </cell>
          <cell r="BY133">
            <v>164571.42799999999</v>
          </cell>
          <cell r="BZ133">
            <v>47.491829265732072</v>
          </cell>
        </row>
        <row r="134">
          <cell r="D134" t="str">
            <v>77-490</v>
          </cell>
          <cell r="E134">
            <v>99.640846203208554</v>
          </cell>
          <cell r="F134">
            <v>2181</v>
          </cell>
          <cell r="G134">
            <v>7169</v>
          </cell>
          <cell r="R134">
            <v>9350</v>
          </cell>
          <cell r="S134">
            <v>216233.06399999998</v>
          </cell>
          <cell r="T134">
            <v>715408.848</v>
          </cell>
          <cell r="AE134">
            <v>931641.91200000001</v>
          </cell>
          <cell r="AF134">
            <v>1.5893952941176472</v>
          </cell>
          <cell r="AG134">
            <v>3576.84</v>
          </cell>
          <cell r="AH134">
            <v>11284.006000000001</v>
          </cell>
          <cell r="AS134">
            <v>14860.846000000001</v>
          </cell>
          <cell r="AT134">
            <v>52.9</v>
          </cell>
          <cell r="AU134">
            <v>115374.9</v>
          </cell>
          <cell r="AV134">
            <v>379240.1</v>
          </cell>
          <cell r="BG134">
            <v>494615</v>
          </cell>
          <cell r="BH134">
            <v>3.9599999999999995</v>
          </cell>
          <cell r="BI134">
            <v>3.1679999999999997</v>
          </cell>
          <cell r="BJ134">
            <v>6909.4080000000004</v>
          </cell>
          <cell r="BK134">
            <v>22711.392</v>
          </cell>
          <cell r="BV134">
            <v>29620.799999999999</v>
          </cell>
          <cell r="BW134">
            <v>539096.64599999995</v>
          </cell>
          <cell r="BX134">
            <v>41.983450909090912</v>
          </cell>
          <cell r="BY134">
            <v>392545.26600000006</v>
          </cell>
          <cell r="BZ134">
            <v>42.134779569685143</v>
          </cell>
        </row>
        <row r="135">
          <cell r="D135" t="str">
            <v>N23-004</v>
          </cell>
          <cell r="E135">
            <v>45.543728890464379</v>
          </cell>
          <cell r="F135">
            <v>1919</v>
          </cell>
          <cell r="G135">
            <v>12186</v>
          </cell>
          <cell r="R135">
            <v>14105</v>
          </cell>
          <cell r="S135">
            <v>86907.672000000006</v>
          </cell>
          <cell r="T135">
            <v>555486.62400000007</v>
          </cell>
          <cell r="AE135">
            <v>642394.29600000009</v>
          </cell>
          <cell r="AF135">
            <v>1.5829793690180787</v>
          </cell>
          <cell r="AG135">
            <v>3147.16</v>
          </cell>
          <cell r="AH135">
            <v>19180.763999999999</v>
          </cell>
          <cell r="AS135">
            <v>22327.923999999999</v>
          </cell>
          <cell r="AT135">
            <v>26.22</v>
          </cell>
          <cell r="AU135">
            <v>50316.18</v>
          </cell>
          <cell r="AV135">
            <v>319516.92</v>
          </cell>
          <cell r="BG135">
            <v>369833.1</v>
          </cell>
          <cell r="BH135">
            <v>4.25</v>
          </cell>
          <cell r="BI135">
            <v>3.4</v>
          </cell>
          <cell r="BJ135">
            <v>6524.6</v>
          </cell>
          <cell r="BK135">
            <v>41432.400000000001</v>
          </cell>
          <cell r="BV135">
            <v>47957</v>
          </cell>
          <cell r="BW135">
            <v>440118.02399999998</v>
          </cell>
          <cell r="BX135">
            <v>14.340749521446304</v>
          </cell>
          <cell r="BY135">
            <v>202276.27200000011</v>
          </cell>
          <cell r="BZ135">
            <v>31.487868628273141</v>
          </cell>
        </row>
        <row r="136">
          <cell r="D136" t="str">
            <v>X11-001</v>
          </cell>
          <cell r="E136">
            <v>84.814593212869113</v>
          </cell>
          <cell r="F136">
            <v>795</v>
          </cell>
          <cell r="G136">
            <v>1474</v>
          </cell>
          <cell r="R136">
            <v>2269</v>
          </cell>
          <cell r="S136">
            <v>67142.52</v>
          </cell>
          <cell r="T136">
            <v>125301.792</v>
          </cell>
          <cell r="AE136">
            <v>192444.31200000001</v>
          </cell>
          <cell r="AF136">
            <v>1.5971247245482592</v>
          </cell>
          <cell r="AG136">
            <v>1303.8</v>
          </cell>
          <cell r="AH136">
            <v>2320.076</v>
          </cell>
          <cell r="AS136">
            <v>3623.8760000000002</v>
          </cell>
          <cell r="AT136">
            <v>44.07</v>
          </cell>
          <cell r="AU136">
            <v>35035.65</v>
          </cell>
          <cell r="AV136">
            <v>64959.18</v>
          </cell>
          <cell r="BG136">
            <v>99994.83</v>
          </cell>
          <cell r="BH136">
            <v>3.92</v>
          </cell>
          <cell r="BI136">
            <v>3.1360000000000001</v>
          </cell>
          <cell r="BJ136">
            <v>2493.12</v>
          </cell>
          <cell r="BK136">
            <v>4622.4639999999999</v>
          </cell>
          <cell r="BV136">
            <v>7115.5839999999998</v>
          </cell>
          <cell r="BW136">
            <v>110734.29000000001</v>
          </cell>
          <cell r="BX136">
            <v>36.011468488320844</v>
          </cell>
          <cell r="BY136">
            <v>81710.021999999997</v>
          </cell>
          <cell r="BZ136">
            <v>42.459047581515421</v>
          </cell>
        </row>
        <row r="137">
          <cell r="D137" t="str">
            <v>209-555</v>
          </cell>
          <cell r="E137">
            <v>246.4</v>
          </cell>
          <cell r="G137">
            <v>12589</v>
          </cell>
          <cell r="R137">
            <v>12589</v>
          </cell>
          <cell r="T137">
            <v>3101929.6</v>
          </cell>
          <cell r="AE137">
            <v>3101929.6</v>
          </cell>
          <cell r="AF137">
            <v>1.5739999999999998</v>
          </cell>
          <cell r="AH137">
            <v>19815.085999999999</v>
          </cell>
          <cell r="AS137">
            <v>19815.085999999999</v>
          </cell>
          <cell r="AT137">
            <v>135.69</v>
          </cell>
          <cell r="AV137">
            <v>1708201.41</v>
          </cell>
          <cell r="BG137">
            <v>1708201.41</v>
          </cell>
          <cell r="BH137">
            <v>12.5</v>
          </cell>
          <cell r="BI137">
            <v>10</v>
          </cell>
          <cell r="BK137">
            <v>125890</v>
          </cell>
          <cell r="BV137">
            <v>125890</v>
          </cell>
          <cell r="BW137">
            <v>1853906.4959999998</v>
          </cell>
          <cell r="BX137">
            <v>99.136000000000024</v>
          </cell>
          <cell r="BY137">
            <v>1248023.1040000003</v>
          </cell>
          <cell r="BZ137">
            <v>40.233766233766247</v>
          </cell>
        </row>
        <row r="138">
          <cell r="D138" t="str">
            <v>751-075</v>
          </cell>
          <cell r="E138">
            <v>127.512</v>
          </cell>
          <cell r="G138">
            <v>760</v>
          </cell>
          <cell r="R138">
            <v>760</v>
          </cell>
          <cell r="T138">
            <v>96909.119999999995</v>
          </cell>
          <cell r="AE138">
            <v>96909.119999999995</v>
          </cell>
          <cell r="AF138">
            <v>1.5740000000000001</v>
          </cell>
          <cell r="AH138">
            <v>1196.24</v>
          </cell>
          <cell r="AS138">
            <v>1196.24</v>
          </cell>
          <cell r="AT138">
            <v>66.290000000000006</v>
          </cell>
          <cell r="AV138">
            <v>50380.4</v>
          </cell>
          <cell r="BG138">
            <v>50380.4</v>
          </cell>
          <cell r="BH138">
            <v>5.1899999999999995</v>
          </cell>
          <cell r="BI138">
            <v>4.1520000000000001</v>
          </cell>
          <cell r="BK138">
            <v>3155.52</v>
          </cell>
          <cell r="BV138">
            <v>3155.52</v>
          </cell>
          <cell r="BW138">
            <v>54732.159999999996</v>
          </cell>
          <cell r="BX138">
            <v>55.496000000000002</v>
          </cell>
          <cell r="BY138">
            <v>42176.959999999999</v>
          </cell>
          <cell r="BZ138">
            <v>43.522178304787005</v>
          </cell>
        </row>
        <row r="139">
          <cell r="D139" t="str">
            <v>751-752</v>
          </cell>
          <cell r="E139">
            <v>133.05599999999998</v>
          </cell>
          <cell r="G139">
            <v>570</v>
          </cell>
          <cell r="R139">
            <v>570</v>
          </cell>
          <cell r="T139">
            <v>75841.919999999998</v>
          </cell>
          <cell r="AE139">
            <v>75841.919999999998</v>
          </cell>
          <cell r="AF139">
            <v>1.5740000000000001</v>
          </cell>
          <cell r="AH139">
            <v>897.18000000000006</v>
          </cell>
          <cell r="AS139">
            <v>897.18000000000006</v>
          </cell>
          <cell r="AT139">
            <v>69.180000000000007</v>
          </cell>
          <cell r="AV139">
            <v>39432.600000000006</v>
          </cell>
          <cell r="BG139">
            <v>39432.600000000006</v>
          </cell>
          <cell r="BH139">
            <v>5.44</v>
          </cell>
          <cell r="BI139">
            <v>4.3520000000000003</v>
          </cell>
          <cell r="BK139">
            <v>2480.6400000000003</v>
          </cell>
          <cell r="BV139">
            <v>2480.6400000000003</v>
          </cell>
          <cell r="BW139">
            <v>42810.420000000006</v>
          </cell>
          <cell r="BX139">
            <v>57.949999999999989</v>
          </cell>
          <cell r="BY139">
            <v>33031.499999999993</v>
          </cell>
          <cell r="BZ139">
            <v>43.553090428090421</v>
          </cell>
        </row>
        <row r="140">
          <cell r="D140" t="str">
            <v>70-730</v>
          </cell>
          <cell r="E140">
            <v>73.92</v>
          </cell>
          <cell r="G140">
            <v>2467</v>
          </cell>
          <cell r="R140">
            <v>2467</v>
          </cell>
          <cell r="T140">
            <v>182360.64</v>
          </cell>
          <cell r="AE140">
            <v>182360.64</v>
          </cell>
          <cell r="AF140">
            <v>1.5740000000000001</v>
          </cell>
          <cell r="AH140">
            <v>3883.058</v>
          </cell>
          <cell r="AS140">
            <v>3883.058</v>
          </cell>
          <cell r="AT140">
            <v>37.94</v>
          </cell>
          <cell r="AV140">
            <v>93597.98</v>
          </cell>
          <cell r="BG140">
            <v>93597.98</v>
          </cell>
          <cell r="BH140">
            <v>5.7599999999999989</v>
          </cell>
          <cell r="BI140">
            <v>4.6079999999999997</v>
          </cell>
          <cell r="BK140">
            <v>11367.936</v>
          </cell>
          <cell r="BV140">
            <v>11367.936</v>
          </cell>
          <cell r="BW140">
            <v>108848.974</v>
          </cell>
          <cell r="BX140">
            <v>29.798000000000005</v>
          </cell>
          <cell r="BY140">
            <v>73511.666000000012</v>
          </cell>
          <cell r="BZ140">
            <v>40.311147186147195</v>
          </cell>
        </row>
        <row r="141">
          <cell r="D141" t="str">
            <v>70-611</v>
          </cell>
          <cell r="E141">
            <v>73.92</v>
          </cell>
          <cell r="G141">
            <v>892</v>
          </cell>
          <cell r="R141">
            <v>892</v>
          </cell>
          <cell r="T141">
            <v>65936.639999999999</v>
          </cell>
          <cell r="AE141">
            <v>65936.639999999999</v>
          </cell>
          <cell r="AF141">
            <v>1.5740000000000001</v>
          </cell>
          <cell r="AH141">
            <v>1404.008</v>
          </cell>
          <cell r="AS141">
            <v>1404.008</v>
          </cell>
          <cell r="AT141">
            <v>37.64</v>
          </cell>
          <cell r="AV141">
            <v>33574.879999999997</v>
          </cell>
          <cell r="BG141">
            <v>33574.879999999997</v>
          </cell>
          <cell r="BH141">
            <v>4.7699999999999996</v>
          </cell>
          <cell r="BI141">
            <v>3.8159999999999998</v>
          </cell>
          <cell r="BK141">
            <v>3403.8719999999998</v>
          </cell>
          <cell r="BV141">
            <v>3403.8719999999998</v>
          </cell>
          <cell r="BW141">
            <v>38382.76</v>
          </cell>
          <cell r="BX141">
            <v>30.889999999999997</v>
          </cell>
          <cell r="BY141">
            <v>27553.879999999997</v>
          </cell>
          <cell r="BZ141">
            <v>41.788419913419908</v>
          </cell>
        </row>
        <row r="142">
          <cell r="D142" t="str">
            <v>70-627</v>
          </cell>
          <cell r="E142">
            <v>107.8</v>
          </cell>
          <cell r="G142">
            <v>275</v>
          </cell>
          <cell r="R142">
            <v>275</v>
          </cell>
          <cell r="T142">
            <v>29645</v>
          </cell>
          <cell r="AE142">
            <v>29645</v>
          </cell>
          <cell r="AF142">
            <v>1.5740000000000001</v>
          </cell>
          <cell r="AH142">
            <v>432.85</v>
          </cell>
          <cell r="AS142">
            <v>432.85</v>
          </cell>
          <cell r="AT142">
            <v>53.27</v>
          </cell>
          <cell r="AV142">
            <v>14649.25</v>
          </cell>
          <cell r="BG142">
            <v>14649.25</v>
          </cell>
          <cell r="BH142">
            <v>4.78</v>
          </cell>
          <cell r="BI142">
            <v>3.8240000000000003</v>
          </cell>
          <cell r="BK142">
            <v>1051.6000000000001</v>
          </cell>
          <cell r="BV142">
            <v>1051.6000000000001</v>
          </cell>
          <cell r="BW142">
            <v>16133.7</v>
          </cell>
          <cell r="BX142">
            <v>49.131999999999998</v>
          </cell>
          <cell r="BY142">
            <v>13511.3</v>
          </cell>
          <cell r="BZ142">
            <v>45.576994434137291</v>
          </cell>
        </row>
        <row r="143">
          <cell r="D143" t="str">
            <v>70-633</v>
          </cell>
          <cell r="E143">
            <v>73.92</v>
          </cell>
          <cell r="G143">
            <v>149</v>
          </cell>
          <cell r="R143">
            <v>149</v>
          </cell>
          <cell r="T143">
            <v>11014.08</v>
          </cell>
          <cell r="AE143">
            <v>11014.08</v>
          </cell>
          <cell r="AF143">
            <v>1.5740000000000001</v>
          </cell>
          <cell r="AH143">
            <v>234.52600000000001</v>
          </cell>
          <cell r="AS143">
            <v>234.52600000000001</v>
          </cell>
          <cell r="AT143">
            <v>39</v>
          </cell>
          <cell r="AV143">
            <v>5811</v>
          </cell>
          <cell r="BG143">
            <v>5811</v>
          </cell>
          <cell r="BH143">
            <v>4.74</v>
          </cell>
          <cell r="BI143">
            <v>3.7920000000000003</v>
          </cell>
          <cell r="BK143">
            <v>565.00800000000004</v>
          </cell>
          <cell r="BV143">
            <v>565.00800000000004</v>
          </cell>
          <cell r="BW143">
            <v>6610.5339999999997</v>
          </cell>
          <cell r="BX143">
            <v>29.554000000000002</v>
          </cell>
          <cell r="BY143">
            <v>4403.5460000000003</v>
          </cell>
          <cell r="BZ143">
            <v>39.981060606060609</v>
          </cell>
        </row>
        <row r="144">
          <cell r="D144" t="str">
            <v>77-481</v>
          </cell>
          <cell r="E144">
            <v>66.528000000000006</v>
          </cell>
          <cell r="G144">
            <v>5073</v>
          </cell>
          <cell r="R144">
            <v>5073</v>
          </cell>
          <cell r="T144">
            <v>337496.54399999999</v>
          </cell>
          <cell r="AE144">
            <v>337496.54399999999</v>
          </cell>
          <cell r="AF144">
            <v>1.5740000000000001</v>
          </cell>
          <cell r="AH144">
            <v>7984.902</v>
          </cell>
          <cell r="AS144">
            <v>7984.902</v>
          </cell>
          <cell r="AT144">
            <v>39.549999999999997</v>
          </cell>
          <cell r="AV144">
            <v>200637.15</v>
          </cell>
          <cell r="BG144">
            <v>200637.15</v>
          </cell>
          <cell r="BH144">
            <v>4.5199999999999987</v>
          </cell>
          <cell r="BI144">
            <v>3.6159999999999992</v>
          </cell>
          <cell r="BK144">
            <v>18343.967999999997</v>
          </cell>
          <cell r="BV144">
            <v>18343.967999999997</v>
          </cell>
          <cell r="BW144">
            <v>226966.02</v>
          </cell>
          <cell r="BX144">
            <v>21.788</v>
          </cell>
          <cell r="BY144">
            <v>110530.524</v>
          </cell>
          <cell r="BZ144">
            <v>32.750120250120247</v>
          </cell>
        </row>
        <row r="145">
          <cell r="D145" t="str">
            <v>79X194</v>
          </cell>
          <cell r="E145">
            <v>66.528000000000006</v>
          </cell>
          <cell r="G145">
            <v>39</v>
          </cell>
          <cell r="R145">
            <v>39</v>
          </cell>
          <cell r="T145">
            <v>2594.5920000000001</v>
          </cell>
          <cell r="AE145">
            <v>2594.5920000000001</v>
          </cell>
          <cell r="AF145">
            <v>1.5740000000000001</v>
          </cell>
          <cell r="AH145">
            <v>61.386000000000003</v>
          </cell>
          <cell r="AS145">
            <v>61.386000000000003</v>
          </cell>
          <cell r="AT145">
            <v>32.299999999999997</v>
          </cell>
          <cell r="AV145">
            <v>1259.6999999999998</v>
          </cell>
          <cell r="BG145">
            <v>1259.6999999999998</v>
          </cell>
          <cell r="BH145">
            <v>4.7099999999999991</v>
          </cell>
          <cell r="BI145">
            <v>3.7679999999999998</v>
          </cell>
          <cell r="BK145">
            <v>146.952</v>
          </cell>
          <cell r="BV145">
            <v>146.952</v>
          </cell>
          <cell r="BW145">
            <v>1468.0379999999998</v>
          </cell>
          <cell r="BX145">
            <v>28.886000000000006</v>
          </cell>
          <cell r="BY145">
            <v>1126.5540000000003</v>
          </cell>
          <cell r="BZ145">
            <v>43.419312169312171</v>
          </cell>
        </row>
        <row r="146">
          <cell r="D146" t="str">
            <v>79X208</v>
          </cell>
          <cell r="E146">
            <v>82.543999999999997</v>
          </cell>
          <cell r="G146">
            <v>228</v>
          </cell>
          <cell r="R146">
            <v>228</v>
          </cell>
          <cell r="T146">
            <v>18820.031999999999</v>
          </cell>
          <cell r="AE146">
            <v>18820.031999999999</v>
          </cell>
          <cell r="AF146">
            <v>1.5740000000000001</v>
          </cell>
          <cell r="AH146">
            <v>358.87200000000001</v>
          </cell>
          <cell r="AS146">
            <v>358.87200000000001</v>
          </cell>
          <cell r="AT146">
            <v>37.5</v>
          </cell>
          <cell r="AV146">
            <v>8550</v>
          </cell>
          <cell r="BG146">
            <v>8550</v>
          </cell>
          <cell r="BH146">
            <v>5.1099999999999994</v>
          </cell>
          <cell r="BI146">
            <v>4.0880000000000001</v>
          </cell>
          <cell r="BK146">
            <v>932.06399999999996</v>
          </cell>
          <cell r="BV146">
            <v>932.06399999999996</v>
          </cell>
          <cell r="BW146">
            <v>9840.9359999999997</v>
          </cell>
          <cell r="BX146">
            <v>39.381999999999998</v>
          </cell>
          <cell r="BY146">
            <v>8979.0959999999995</v>
          </cell>
          <cell r="BZ146">
            <v>47.710312075983715</v>
          </cell>
        </row>
        <row r="147">
          <cell r="D147" t="str">
            <v>79X215</v>
          </cell>
          <cell r="E147">
            <v>85.623999999999995</v>
          </cell>
          <cell r="G147">
            <v>77</v>
          </cell>
          <cell r="R147">
            <v>77</v>
          </cell>
          <cell r="T147">
            <v>6593.0479999999998</v>
          </cell>
          <cell r="AE147">
            <v>6593.0479999999998</v>
          </cell>
          <cell r="AF147">
            <v>1.5740000000000001</v>
          </cell>
          <cell r="AH147">
            <v>121.19800000000001</v>
          </cell>
          <cell r="AS147">
            <v>121.19800000000001</v>
          </cell>
          <cell r="AT147">
            <v>52.18</v>
          </cell>
          <cell r="AV147">
            <v>4017.86</v>
          </cell>
          <cell r="BG147">
            <v>4017.86</v>
          </cell>
          <cell r="BH147">
            <v>6.09</v>
          </cell>
          <cell r="BI147">
            <v>4.8719999999999999</v>
          </cell>
          <cell r="BK147">
            <v>375.14400000000001</v>
          </cell>
          <cell r="BV147">
            <v>375.14400000000001</v>
          </cell>
          <cell r="BW147">
            <v>4514.2020000000002</v>
          </cell>
          <cell r="BX147">
            <v>26.997999999999994</v>
          </cell>
          <cell r="BY147">
            <v>2078.8459999999995</v>
          </cell>
          <cell r="BZ147">
            <v>31.530879192749691</v>
          </cell>
        </row>
        <row r="148">
          <cell r="D148" t="str">
            <v>79X217</v>
          </cell>
          <cell r="E148">
            <v>60.368000000000002</v>
          </cell>
          <cell r="G148">
            <v>615</v>
          </cell>
          <cell r="R148">
            <v>615</v>
          </cell>
          <cell r="T148">
            <v>37126.32</v>
          </cell>
          <cell r="AE148">
            <v>37126.32</v>
          </cell>
          <cell r="AF148">
            <v>1.5740000000000001</v>
          </cell>
          <cell r="AH148">
            <v>968.01</v>
          </cell>
          <cell r="AS148">
            <v>968.01</v>
          </cell>
          <cell r="AT148">
            <v>40</v>
          </cell>
          <cell r="AV148">
            <v>24600</v>
          </cell>
          <cell r="BG148">
            <v>24600</v>
          </cell>
          <cell r="BH148">
            <v>5.1099999999999994</v>
          </cell>
          <cell r="BI148">
            <v>4.0880000000000001</v>
          </cell>
          <cell r="BK148">
            <v>2514.12</v>
          </cell>
          <cell r="BV148">
            <v>2514.12</v>
          </cell>
          <cell r="BW148">
            <v>28082.129999999997</v>
          </cell>
          <cell r="BX148">
            <v>14.706000000000003</v>
          </cell>
          <cell r="BY148">
            <v>9044.1900000000023</v>
          </cell>
          <cell r="BZ148">
            <v>24.36058839120064</v>
          </cell>
        </row>
        <row r="149">
          <cell r="D149" t="str">
            <v>D12-001</v>
          </cell>
          <cell r="E149">
            <v>59.136000000000003</v>
          </cell>
          <cell r="G149">
            <v>3162</v>
          </cell>
          <cell r="R149">
            <v>3162</v>
          </cell>
          <cell r="T149">
            <v>186988.03200000001</v>
          </cell>
          <cell r="AE149">
            <v>186988.03200000001</v>
          </cell>
          <cell r="AF149">
            <v>1.5740000000000001</v>
          </cell>
          <cell r="AH149">
            <v>4976.9880000000003</v>
          </cell>
          <cell r="AS149">
            <v>4976.9880000000003</v>
          </cell>
          <cell r="AT149">
            <v>36.380000000000003</v>
          </cell>
          <cell r="AV149">
            <v>115033.56000000001</v>
          </cell>
          <cell r="BG149">
            <v>115033.56000000001</v>
          </cell>
          <cell r="BH149">
            <v>3.83</v>
          </cell>
          <cell r="BI149">
            <v>3.0640000000000001</v>
          </cell>
          <cell r="BK149">
            <v>9688.3680000000004</v>
          </cell>
          <cell r="BV149">
            <v>9688.3680000000004</v>
          </cell>
          <cell r="BW149">
            <v>129698.91600000001</v>
          </cell>
          <cell r="BX149">
            <v>18.117999999999999</v>
          </cell>
          <cell r="BY149">
            <v>57289.115999999995</v>
          </cell>
          <cell r="BZ149">
            <v>30.637851731601728</v>
          </cell>
        </row>
        <row r="150">
          <cell r="D150" t="str">
            <v>N28-004</v>
          </cell>
          <cell r="E150">
            <v>52.36</v>
          </cell>
          <cell r="G150">
            <v>9477</v>
          </cell>
          <cell r="R150">
            <v>9477</v>
          </cell>
          <cell r="T150">
            <v>496215.72</v>
          </cell>
          <cell r="AE150">
            <v>496215.72</v>
          </cell>
          <cell r="AF150">
            <v>1.5740000000000001</v>
          </cell>
          <cell r="AH150">
            <v>14916.798000000001</v>
          </cell>
          <cell r="AS150">
            <v>14916.798000000001</v>
          </cell>
          <cell r="AT150">
            <v>25.27</v>
          </cell>
          <cell r="AV150">
            <v>239483.79</v>
          </cell>
          <cell r="BG150">
            <v>239483.79</v>
          </cell>
          <cell r="BH150">
            <v>4.18</v>
          </cell>
          <cell r="BI150">
            <v>3.3439999999999999</v>
          </cell>
          <cell r="BK150">
            <v>31691.088</v>
          </cell>
          <cell r="BV150">
            <v>31691.088</v>
          </cell>
          <cell r="BW150">
            <v>286091.67600000004</v>
          </cell>
          <cell r="BX150">
            <v>22.171999999999993</v>
          </cell>
          <cell r="BY150">
            <v>210124.04399999994</v>
          </cell>
          <cell r="BZ150">
            <v>42.345301757066451</v>
          </cell>
        </row>
        <row r="151">
          <cell r="E151" t="e">
            <v>#DIV/0!</v>
          </cell>
          <cell r="AF151" t="e">
            <v>#DIV/0!</v>
          </cell>
          <cell r="AT151" t="e">
            <v>#DIV/0!</v>
          </cell>
          <cell r="BH151" t="e">
            <v>#DIV/0!</v>
          </cell>
          <cell r="BI151" t="e">
            <v>#DIV/0!</v>
          </cell>
          <cell r="BW151">
            <v>0</v>
          </cell>
          <cell r="BX151" t="e">
            <v>#DIV/0!</v>
          </cell>
          <cell r="BY151">
            <v>0</v>
          </cell>
          <cell r="BZ151" t="e">
            <v>#DIV/0!</v>
          </cell>
        </row>
        <row r="152">
          <cell r="E152" t="e">
            <v>#DIV/0!</v>
          </cell>
          <cell r="AF152" t="e">
            <v>#DIV/0!</v>
          </cell>
          <cell r="AT152" t="e">
            <v>#DIV/0!</v>
          </cell>
          <cell r="BH152" t="e">
            <v>#DIV/0!</v>
          </cell>
          <cell r="BI152" t="e">
            <v>#DIV/0!</v>
          </cell>
          <cell r="BW152">
            <v>0</v>
          </cell>
          <cell r="BX152" t="e">
            <v>#DIV/0!</v>
          </cell>
          <cell r="BY152">
            <v>0</v>
          </cell>
          <cell r="BZ152" t="e">
            <v>#DIV/0!</v>
          </cell>
        </row>
        <row r="153">
          <cell r="E153" t="e">
            <v>#DIV/0!</v>
          </cell>
          <cell r="AF153" t="e">
            <v>#DIV/0!</v>
          </cell>
          <cell r="AT153" t="e">
            <v>#DIV/0!</v>
          </cell>
          <cell r="BH153" t="e">
            <v>#DIV/0!</v>
          </cell>
          <cell r="BI153" t="e">
            <v>#DIV/0!</v>
          </cell>
          <cell r="BW153">
            <v>0</v>
          </cell>
          <cell r="BX153" t="e">
            <v>#DIV/0!</v>
          </cell>
          <cell r="BY153">
            <v>0</v>
          </cell>
          <cell r="BZ153" t="e">
            <v>#DIV/0!</v>
          </cell>
        </row>
        <row r="154">
          <cell r="E154" t="e">
            <v>#DIV/0!</v>
          </cell>
          <cell r="AF154" t="e">
            <v>#DIV/0!</v>
          </cell>
          <cell r="AT154" t="e">
            <v>#DIV/0!</v>
          </cell>
          <cell r="BH154" t="e">
            <v>#DIV/0!</v>
          </cell>
          <cell r="BI154" t="e">
            <v>#DIV/0!</v>
          </cell>
          <cell r="BW154">
            <v>0</v>
          </cell>
          <cell r="BX154" t="e">
            <v>#DIV/0!</v>
          </cell>
          <cell r="BY154">
            <v>0</v>
          </cell>
          <cell r="BZ154" t="e">
            <v>#DIV/0!</v>
          </cell>
        </row>
        <row r="155">
          <cell r="E155" t="e">
            <v>#DIV/0!</v>
          </cell>
          <cell r="AF155" t="e">
            <v>#DIV/0!</v>
          </cell>
          <cell r="AT155" t="e">
            <v>#DIV/0!</v>
          </cell>
          <cell r="BH155" t="e">
            <v>#DIV/0!</v>
          </cell>
          <cell r="BI155" t="e">
            <v>#DIV/0!</v>
          </cell>
          <cell r="BW155">
            <v>0</v>
          </cell>
          <cell r="BX155" t="e">
            <v>#DIV/0!</v>
          </cell>
          <cell r="BY155">
            <v>0</v>
          </cell>
          <cell r="BZ155" t="e">
            <v>#DIV/0!</v>
          </cell>
        </row>
        <row r="156">
          <cell r="E156" t="e">
            <v>#DIV/0!</v>
          </cell>
          <cell r="AF156" t="e">
            <v>#DIV/0!</v>
          </cell>
          <cell r="AT156" t="e">
            <v>#DIV/0!</v>
          </cell>
          <cell r="BH156" t="e">
            <v>#DIV/0!</v>
          </cell>
          <cell r="BI156" t="e">
            <v>#DIV/0!</v>
          </cell>
          <cell r="BW156">
            <v>0</v>
          </cell>
          <cell r="BX156" t="e">
            <v>#DIV/0!</v>
          </cell>
          <cell r="BY156">
            <v>0</v>
          </cell>
          <cell r="BZ156" t="e">
            <v>#DIV/0!</v>
          </cell>
        </row>
        <row r="157">
          <cell r="E157" t="e">
            <v>#DIV/0!</v>
          </cell>
          <cell r="AF157" t="e">
            <v>#DIV/0!</v>
          </cell>
          <cell r="AT157" t="e">
            <v>#DIV/0!</v>
          </cell>
          <cell r="BH157" t="e">
            <v>#DIV/0!</v>
          </cell>
          <cell r="BI157" t="e">
            <v>#DIV/0!</v>
          </cell>
          <cell r="BW157">
            <v>0</v>
          </cell>
          <cell r="BX157" t="e">
            <v>#DIV/0!</v>
          </cell>
          <cell r="BY157">
            <v>0</v>
          </cell>
          <cell r="BZ157" t="e">
            <v>#DIV/0!</v>
          </cell>
        </row>
        <row r="168">
          <cell r="D168" t="str">
            <v>200L828</v>
          </cell>
        </row>
        <row r="169">
          <cell r="D169" t="str">
            <v>201D984</v>
          </cell>
        </row>
        <row r="170">
          <cell r="D170" t="str">
            <v>201L600</v>
          </cell>
        </row>
        <row r="171">
          <cell r="D171" t="str">
            <v>201L746</v>
          </cell>
        </row>
        <row r="172">
          <cell r="D172" t="str">
            <v>201L751</v>
          </cell>
        </row>
        <row r="173">
          <cell r="D173" t="str">
            <v>201L984</v>
          </cell>
        </row>
        <row r="174">
          <cell r="D174" t="str">
            <v>202L382</v>
          </cell>
        </row>
        <row r="175">
          <cell r="D175" t="str">
            <v>202L472</v>
          </cell>
        </row>
        <row r="176">
          <cell r="D176" t="str">
            <v>202L507</v>
          </cell>
        </row>
        <row r="177">
          <cell r="D177" t="str">
            <v>202L654</v>
          </cell>
        </row>
        <row r="178">
          <cell r="D178" t="str">
            <v>202L732</v>
          </cell>
        </row>
        <row r="179">
          <cell r="D179" t="str">
            <v>205-739</v>
          </cell>
        </row>
        <row r="180">
          <cell r="D180" t="str">
            <v>205-844</v>
          </cell>
        </row>
        <row r="181">
          <cell r="D181" t="str">
            <v>205D519</v>
          </cell>
        </row>
        <row r="182">
          <cell r="D182" t="str">
            <v>205D827</v>
          </cell>
        </row>
        <row r="183">
          <cell r="D183" t="str">
            <v>205L424</v>
          </cell>
        </row>
        <row r="184">
          <cell r="D184" t="str">
            <v>205L748</v>
          </cell>
        </row>
        <row r="185">
          <cell r="D185" t="str">
            <v>217-214</v>
          </cell>
        </row>
        <row r="186">
          <cell r="D186" t="str">
            <v>217-519</v>
          </cell>
        </row>
        <row r="187">
          <cell r="D187" t="str">
            <v>217-539</v>
          </cell>
        </row>
        <row r="188">
          <cell r="D188" t="str">
            <v>217-540</v>
          </cell>
        </row>
        <row r="189">
          <cell r="D189" t="str">
            <v>217A519</v>
          </cell>
        </row>
        <row r="190">
          <cell r="D190" t="str">
            <v>217L214</v>
          </cell>
        </row>
        <row r="191">
          <cell r="D191" t="str">
            <v>40-527</v>
          </cell>
        </row>
        <row r="192">
          <cell r="D192" t="str">
            <v>401L364</v>
          </cell>
        </row>
        <row r="193">
          <cell r="D193" t="str">
            <v>49X036</v>
          </cell>
        </row>
        <row r="194">
          <cell r="D194" t="str">
            <v>49X038</v>
          </cell>
        </row>
        <row r="195">
          <cell r="D195" t="str">
            <v>70-373</v>
          </cell>
        </row>
        <row r="196">
          <cell r="D196" t="str">
            <v>70-476</v>
          </cell>
        </row>
        <row r="197">
          <cell r="D197" t="str">
            <v>70-494</v>
          </cell>
        </row>
        <row r="198">
          <cell r="D198" t="str">
            <v>70-495</v>
          </cell>
        </row>
        <row r="199">
          <cell r="D199" t="str">
            <v>70-498</v>
          </cell>
        </row>
        <row r="200">
          <cell r="D200" t="str">
            <v>70-504</v>
          </cell>
        </row>
        <row r="201">
          <cell r="D201" t="str">
            <v>70-519</v>
          </cell>
        </row>
        <row r="202">
          <cell r="D202" t="str">
            <v>70-651</v>
          </cell>
        </row>
        <row r="203">
          <cell r="D203" t="str">
            <v>70-652</v>
          </cell>
        </row>
        <row r="204">
          <cell r="D204" t="str">
            <v>70-669</v>
          </cell>
        </row>
        <row r="205">
          <cell r="D205" t="str">
            <v>70-683</v>
          </cell>
        </row>
        <row r="206">
          <cell r="D206" t="str">
            <v>70-730</v>
          </cell>
        </row>
        <row r="207">
          <cell r="D207" t="str">
            <v>70U460</v>
          </cell>
        </row>
        <row r="208">
          <cell r="D208" t="str">
            <v>70U463</v>
          </cell>
        </row>
        <row r="209">
          <cell r="D209" t="str">
            <v>750-983</v>
          </cell>
        </row>
        <row r="210">
          <cell r="D210" t="str">
            <v>750B883</v>
          </cell>
        </row>
        <row r="211">
          <cell r="D211" t="str">
            <v>750D883</v>
          </cell>
        </row>
        <row r="212">
          <cell r="D212" t="str">
            <v>750L883</v>
          </cell>
        </row>
        <row r="213">
          <cell r="D213" t="str">
            <v>750S883</v>
          </cell>
        </row>
        <row r="214">
          <cell r="D214" t="str">
            <v>751-044</v>
          </cell>
        </row>
        <row r="215">
          <cell r="D215" t="str">
            <v>751-417</v>
          </cell>
        </row>
        <row r="216">
          <cell r="D216" t="str">
            <v>751-418</v>
          </cell>
        </row>
        <row r="217">
          <cell r="D217" t="str">
            <v>751-575</v>
          </cell>
        </row>
        <row r="218">
          <cell r="D218" t="str">
            <v>751-751</v>
          </cell>
        </row>
        <row r="219">
          <cell r="D219" t="str">
            <v>751-752</v>
          </cell>
        </row>
        <row r="220">
          <cell r="D220" t="str">
            <v>751S021</v>
          </cell>
        </row>
        <row r="221">
          <cell r="D221" t="str">
            <v>751S300</v>
          </cell>
        </row>
        <row r="222">
          <cell r="D222" t="str">
            <v>751S616</v>
          </cell>
        </row>
        <row r="223">
          <cell r="D223" t="str">
            <v>751S689</v>
          </cell>
        </row>
        <row r="224">
          <cell r="D224" t="str">
            <v>751S742</v>
          </cell>
        </row>
        <row r="225">
          <cell r="D225" t="str">
            <v>752-020</v>
          </cell>
        </row>
        <row r="226">
          <cell r="D226" t="str">
            <v>79X484</v>
          </cell>
        </row>
        <row r="227">
          <cell r="D227" t="str">
            <v>200-848</v>
          </cell>
        </row>
        <row r="228">
          <cell r="D228" t="str">
            <v>200L639</v>
          </cell>
        </row>
        <row r="229">
          <cell r="D229" t="str">
            <v>201E746</v>
          </cell>
        </row>
        <row r="230">
          <cell r="D230" t="str">
            <v>201F984</v>
          </cell>
        </row>
        <row r="231">
          <cell r="D231" t="str">
            <v>201L252</v>
          </cell>
        </row>
        <row r="232">
          <cell r="D232" t="str">
            <v>201L752</v>
          </cell>
        </row>
        <row r="233">
          <cell r="D233" t="str">
            <v>201L912</v>
          </cell>
        </row>
        <row r="234">
          <cell r="D234" t="str">
            <v>202-454</v>
          </cell>
        </row>
        <row r="235">
          <cell r="D235" t="str">
            <v>202B407</v>
          </cell>
        </row>
        <row r="236">
          <cell r="D236" t="str">
            <v>202L656</v>
          </cell>
        </row>
        <row r="237">
          <cell r="D237" t="str">
            <v>205-184</v>
          </cell>
        </row>
        <row r="238">
          <cell r="D238" t="str">
            <v>205-424</v>
          </cell>
        </row>
        <row r="239">
          <cell r="D239" t="str">
            <v>205L652</v>
          </cell>
        </row>
        <row r="240">
          <cell r="D240" t="str">
            <v>209-555</v>
          </cell>
        </row>
        <row r="241">
          <cell r="D241" t="str">
            <v>216-127</v>
          </cell>
        </row>
        <row r="242">
          <cell r="D242" t="str">
            <v>216-148</v>
          </cell>
        </row>
        <row r="243">
          <cell r="D243" t="str">
            <v>216-155</v>
          </cell>
        </row>
        <row r="244">
          <cell r="D244" t="str">
            <v>217-579</v>
          </cell>
        </row>
        <row r="245">
          <cell r="D245" t="str">
            <v>730S106</v>
          </cell>
        </row>
        <row r="246">
          <cell r="D246" t="str">
            <v>751S130</v>
          </cell>
        </row>
        <row r="247">
          <cell r="D247" t="str">
            <v>751S390</v>
          </cell>
        </row>
        <row r="248">
          <cell r="D248" t="str">
            <v>751S783</v>
          </cell>
        </row>
        <row r="249">
          <cell r="D249" t="str">
            <v>79X481</v>
          </cell>
        </row>
        <row r="250">
          <cell r="D250" t="str">
            <v>79X482</v>
          </cell>
        </row>
        <row r="251">
          <cell r="D251" t="str">
            <v>79X483</v>
          </cell>
        </row>
        <row r="252">
          <cell r="D252" t="str">
            <v>79X485</v>
          </cell>
        </row>
        <row r="253">
          <cell r="D253" t="str">
            <v>79X486</v>
          </cell>
        </row>
        <row r="367">
          <cell r="D367" t="str">
            <v>St. lots</v>
          </cell>
        </row>
        <row r="382">
          <cell r="D382" t="str">
            <v>200L639</v>
          </cell>
        </row>
        <row r="383">
          <cell r="D383" t="str">
            <v>200L828</v>
          </cell>
        </row>
        <row r="384">
          <cell r="D384" t="str">
            <v>201L252</v>
          </cell>
        </row>
        <row r="385">
          <cell r="D385" t="str">
            <v>201L253</v>
          </cell>
        </row>
        <row r="386">
          <cell r="D386" t="str">
            <v>201L600</v>
          </cell>
        </row>
        <row r="387">
          <cell r="D387" t="str">
            <v>201L751</v>
          </cell>
        </row>
        <row r="388">
          <cell r="D388" t="str">
            <v>201L912</v>
          </cell>
        </row>
        <row r="389">
          <cell r="D389" t="str">
            <v>201L984</v>
          </cell>
        </row>
        <row r="390">
          <cell r="D390" t="str">
            <v>202L382</v>
          </cell>
        </row>
        <row r="391">
          <cell r="D391" t="str">
            <v>202L460</v>
          </cell>
        </row>
        <row r="392">
          <cell r="D392" t="str">
            <v>202L474</v>
          </cell>
        </row>
        <row r="393">
          <cell r="D393" t="str">
            <v>202L475</v>
          </cell>
        </row>
        <row r="394">
          <cell r="D394" t="str">
            <v>202L490</v>
          </cell>
        </row>
        <row r="395">
          <cell r="D395" t="str">
            <v>202L507</v>
          </cell>
        </row>
        <row r="396">
          <cell r="D396" t="str">
            <v>202L604</v>
          </cell>
        </row>
        <row r="397">
          <cell r="D397" t="str">
            <v>202L654</v>
          </cell>
        </row>
        <row r="398">
          <cell r="D398" t="str">
            <v>202L655</v>
          </cell>
        </row>
        <row r="399">
          <cell r="D399" t="str">
            <v>202L690</v>
          </cell>
        </row>
        <row r="400">
          <cell r="D400" t="str">
            <v>202L701</v>
          </cell>
        </row>
        <row r="401">
          <cell r="D401" t="str">
            <v>202L737</v>
          </cell>
        </row>
        <row r="402">
          <cell r="D402" t="str">
            <v>202L762</v>
          </cell>
        </row>
        <row r="403">
          <cell r="D403" t="str">
            <v>202L804</v>
          </cell>
        </row>
        <row r="404">
          <cell r="D404" t="str">
            <v>202L819</v>
          </cell>
        </row>
        <row r="405">
          <cell r="D405" t="str">
            <v>202L826</v>
          </cell>
        </row>
        <row r="406">
          <cell r="D406" t="str">
            <v>205L216</v>
          </cell>
        </row>
        <row r="407">
          <cell r="D407" t="str">
            <v>205L449</v>
          </cell>
        </row>
        <row r="408">
          <cell r="D408" t="str">
            <v>205L816</v>
          </cell>
        </row>
        <row r="409">
          <cell r="D409" t="str">
            <v>205L818</v>
          </cell>
        </row>
        <row r="410">
          <cell r="D410" t="str">
            <v>205L902</v>
          </cell>
        </row>
        <row r="411">
          <cell r="D411" t="str">
            <v>206L118</v>
          </cell>
        </row>
        <row r="412">
          <cell r="D412" t="str">
            <v>206L158</v>
          </cell>
        </row>
        <row r="413">
          <cell r="D413" t="str">
            <v>209L042</v>
          </cell>
        </row>
        <row r="414">
          <cell r="D414" t="str">
            <v>210L260</v>
          </cell>
        </row>
        <row r="415">
          <cell r="D415" t="str">
            <v>210L585</v>
          </cell>
        </row>
        <row r="416">
          <cell r="D416" t="str">
            <v>217-731</v>
          </cell>
        </row>
        <row r="417">
          <cell r="D417" t="str">
            <v>217L214</v>
          </cell>
        </row>
        <row r="418">
          <cell r="D418" t="str">
            <v>21L872</v>
          </cell>
        </row>
        <row r="419">
          <cell r="D419" t="str">
            <v>230L056</v>
          </cell>
        </row>
        <row r="420">
          <cell r="D420" t="str">
            <v>237L063</v>
          </cell>
        </row>
        <row r="421">
          <cell r="D421" t="str">
            <v>300L221</v>
          </cell>
        </row>
        <row r="422">
          <cell r="D422" t="str">
            <v>401L047</v>
          </cell>
        </row>
        <row r="423">
          <cell r="D423" t="str">
            <v>401L152</v>
          </cell>
        </row>
        <row r="424">
          <cell r="D424" t="str">
            <v>401L364</v>
          </cell>
        </row>
        <row r="425">
          <cell r="D425" t="str">
            <v>401L382</v>
          </cell>
        </row>
        <row r="426">
          <cell r="D426" t="str">
            <v>750L961</v>
          </cell>
        </row>
        <row r="427">
          <cell r="D427" t="str">
            <v>751L417</v>
          </cell>
        </row>
        <row r="428">
          <cell r="D428" t="str">
            <v>760L002</v>
          </cell>
        </row>
        <row r="429">
          <cell r="D429" t="str">
            <v>202-305</v>
          </cell>
        </row>
        <row r="430">
          <cell r="D430" t="str">
            <v>202-454</v>
          </cell>
        </row>
        <row r="431">
          <cell r="D431" t="str">
            <v>205-520</v>
          </cell>
        </row>
        <row r="432">
          <cell r="D432" t="str">
            <v>205-811</v>
          </cell>
        </row>
        <row r="433">
          <cell r="D433" t="str">
            <v>205-843</v>
          </cell>
        </row>
        <row r="434">
          <cell r="D434" t="str">
            <v>205-882</v>
          </cell>
        </row>
        <row r="435">
          <cell r="D435" t="str">
            <v>205L252</v>
          </cell>
        </row>
        <row r="436">
          <cell r="D436" t="str">
            <v>205L424</v>
          </cell>
        </row>
        <row r="437">
          <cell r="D437" t="str">
            <v>205L538</v>
          </cell>
        </row>
        <row r="438">
          <cell r="D438" t="str">
            <v>206-160</v>
          </cell>
        </row>
        <row r="439">
          <cell r="D439" t="str">
            <v>206-164</v>
          </cell>
        </row>
        <row r="440">
          <cell r="D440" t="str">
            <v>209-078</v>
          </cell>
        </row>
        <row r="441">
          <cell r="D441" t="str">
            <v>209-121</v>
          </cell>
        </row>
        <row r="442">
          <cell r="D442" t="str">
            <v>209-192</v>
          </cell>
        </row>
        <row r="443">
          <cell r="D443" t="str">
            <v>209-333</v>
          </cell>
        </row>
        <row r="444">
          <cell r="D444" t="str">
            <v>209-460</v>
          </cell>
        </row>
        <row r="445">
          <cell r="D445" t="str">
            <v>209-473</v>
          </cell>
        </row>
        <row r="446">
          <cell r="D446" t="str">
            <v>209-545</v>
          </cell>
        </row>
        <row r="447">
          <cell r="D447" t="str">
            <v>216-155</v>
          </cell>
        </row>
        <row r="448">
          <cell r="D448" t="str">
            <v>217-417</v>
          </cell>
        </row>
        <row r="449">
          <cell r="D449" t="str">
            <v>217-539</v>
          </cell>
        </row>
        <row r="450">
          <cell r="D450" t="str">
            <v>217-573</v>
          </cell>
        </row>
        <row r="451">
          <cell r="D451" t="str">
            <v>217-675</v>
          </cell>
        </row>
        <row r="452">
          <cell r="D452" t="str">
            <v>217-737</v>
          </cell>
        </row>
        <row r="453">
          <cell r="D453" t="str">
            <v>217A417</v>
          </cell>
        </row>
        <row r="454">
          <cell r="D454" t="str">
            <v>237-114</v>
          </cell>
        </row>
        <row r="455">
          <cell r="D455" t="str">
            <v>317-018</v>
          </cell>
        </row>
        <row r="456">
          <cell r="D456" t="str">
            <v>751S689</v>
          </cell>
        </row>
        <row r="457">
          <cell r="D457" t="str">
            <v>79X482</v>
          </cell>
        </row>
        <row r="458">
          <cell r="D458" t="str">
            <v>79X483</v>
          </cell>
        </row>
        <row r="459">
          <cell r="D459" t="str">
            <v>79X485</v>
          </cell>
        </row>
        <row r="460">
          <cell r="D460" t="str">
            <v>79X486</v>
          </cell>
        </row>
      </sheetData>
      <sheetData sheetId="3" refreshError="1">
        <row r="123">
          <cell r="C123" t="str">
            <v>2K</v>
          </cell>
          <cell r="D123">
            <v>7.5</v>
          </cell>
          <cell r="E123">
            <v>420</v>
          </cell>
          <cell r="F123">
            <v>158.3126</v>
          </cell>
          <cell r="G123">
            <v>7</v>
          </cell>
          <cell r="H123">
            <v>9.7344000000000008</v>
          </cell>
          <cell r="I123">
            <v>19.468800000000002</v>
          </cell>
          <cell r="J123">
            <v>175.047</v>
          </cell>
          <cell r="K123">
            <v>194.51580000000001</v>
          </cell>
          <cell r="L123">
            <v>244.953</v>
          </cell>
          <cell r="M123">
            <v>225.48419999999999</v>
          </cell>
          <cell r="N123">
            <v>15.21</v>
          </cell>
          <cell r="O123">
            <v>0.64</v>
          </cell>
          <cell r="P123">
            <v>0.58322142857142856</v>
          </cell>
        </row>
        <row r="124">
          <cell r="C124" t="str">
            <v>2R</v>
          </cell>
          <cell r="D124">
            <v>7.5</v>
          </cell>
          <cell r="E124">
            <v>420</v>
          </cell>
          <cell r="F124">
            <v>160</v>
          </cell>
          <cell r="G124">
            <v>7</v>
          </cell>
          <cell r="H124">
            <v>9.7344000000000008</v>
          </cell>
          <cell r="I124">
            <v>19.468800000000002</v>
          </cell>
          <cell r="J124">
            <v>176.73439999999999</v>
          </cell>
          <cell r="K124">
            <v>196.20319999999998</v>
          </cell>
          <cell r="L124">
            <v>243.26560000000001</v>
          </cell>
          <cell r="M124">
            <v>223.79680000000002</v>
          </cell>
          <cell r="N124">
            <v>15.21</v>
          </cell>
          <cell r="O124">
            <v>0.64</v>
          </cell>
          <cell r="P124">
            <v>0.57920380952380957</v>
          </cell>
        </row>
        <row r="125">
          <cell r="C125" t="str">
            <v>2V</v>
          </cell>
          <cell r="D125">
            <v>7.5</v>
          </cell>
          <cell r="E125">
            <v>420</v>
          </cell>
          <cell r="F125">
            <v>193.1</v>
          </cell>
          <cell r="G125">
            <v>7</v>
          </cell>
          <cell r="H125">
            <v>10.553599999999999</v>
          </cell>
          <cell r="I125">
            <v>21.107199999999999</v>
          </cell>
          <cell r="J125">
            <v>210.65359999999998</v>
          </cell>
          <cell r="K125">
            <v>231.76079999999999</v>
          </cell>
          <cell r="L125">
            <v>209.34640000000002</v>
          </cell>
          <cell r="M125">
            <v>188.23920000000001</v>
          </cell>
          <cell r="N125">
            <v>16.489999999999998</v>
          </cell>
          <cell r="O125">
            <v>0.64</v>
          </cell>
          <cell r="P125">
            <v>0.49844380952380957</v>
          </cell>
        </row>
        <row r="126">
          <cell r="C126" t="str">
            <v>3T</v>
          </cell>
          <cell r="D126">
            <v>7.5</v>
          </cell>
          <cell r="E126">
            <v>420</v>
          </cell>
          <cell r="F126">
            <v>163.56</v>
          </cell>
          <cell r="G126">
            <v>7</v>
          </cell>
          <cell r="H126">
            <v>9.7344000000000008</v>
          </cell>
          <cell r="I126">
            <v>19.468800000000002</v>
          </cell>
          <cell r="J126">
            <v>180.2944</v>
          </cell>
          <cell r="K126">
            <v>199.76319999999998</v>
          </cell>
          <cell r="L126">
            <v>239.7056</v>
          </cell>
          <cell r="M126">
            <v>220.23680000000002</v>
          </cell>
          <cell r="N126">
            <v>15.21</v>
          </cell>
          <cell r="O126">
            <v>0.64</v>
          </cell>
          <cell r="P126">
            <v>0.57072761904761904</v>
          </cell>
        </row>
        <row r="127">
          <cell r="C127" t="str">
            <v>5D</v>
          </cell>
          <cell r="D127">
            <v>7.5</v>
          </cell>
          <cell r="E127">
            <v>420</v>
          </cell>
          <cell r="F127">
            <v>151.22</v>
          </cell>
          <cell r="G127">
            <v>7</v>
          </cell>
          <cell r="H127">
            <v>9.7344000000000008</v>
          </cell>
          <cell r="I127">
            <v>19.468800000000002</v>
          </cell>
          <cell r="J127">
            <v>167.95439999999999</v>
          </cell>
          <cell r="K127">
            <v>187.42320000000001</v>
          </cell>
          <cell r="L127">
            <v>252.04560000000001</v>
          </cell>
          <cell r="M127">
            <v>232.57679999999999</v>
          </cell>
          <cell r="N127">
            <v>15.21</v>
          </cell>
          <cell r="O127">
            <v>0.64</v>
          </cell>
          <cell r="P127">
            <v>0.60010857142857144</v>
          </cell>
        </row>
        <row r="128">
          <cell r="C128" t="str">
            <v>5P</v>
          </cell>
          <cell r="D128">
            <v>7.5</v>
          </cell>
          <cell r="E128">
            <v>420</v>
          </cell>
          <cell r="F128">
            <v>154.65</v>
          </cell>
          <cell r="G128">
            <v>7</v>
          </cell>
          <cell r="H128">
            <v>9.7344000000000008</v>
          </cell>
          <cell r="I128">
            <v>19.468800000000002</v>
          </cell>
          <cell r="J128">
            <v>171.3844</v>
          </cell>
          <cell r="K128">
            <v>190.85320000000002</v>
          </cell>
          <cell r="L128">
            <v>248.6156</v>
          </cell>
          <cell r="M128">
            <v>229.14679999999998</v>
          </cell>
          <cell r="N128">
            <v>15.21</v>
          </cell>
          <cell r="O128">
            <v>0.64</v>
          </cell>
          <cell r="P128">
            <v>0.59194190476190478</v>
          </cell>
        </row>
        <row r="129">
          <cell r="C129" t="str">
            <v>5W</v>
          </cell>
          <cell r="D129">
            <v>7.5</v>
          </cell>
          <cell r="E129">
            <v>420</v>
          </cell>
          <cell r="F129">
            <v>152.76</v>
          </cell>
          <cell r="G129">
            <v>7</v>
          </cell>
          <cell r="H129">
            <v>9.7344000000000008</v>
          </cell>
          <cell r="I129">
            <v>19.468800000000002</v>
          </cell>
          <cell r="J129">
            <v>169.49439999999998</v>
          </cell>
          <cell r="K129">
            <v>188.96319999999997</v>
          </cell>
          <cell r="L129">
            <v>250.50560000000002</v>
          </cell>
          <cell r="M129">
            <v>231.03680000000003</v>
          </cell>
          <cell r="N129">
            <v>15.21</v>
          </cell>
          <cell r="O129">
            <v>0.64</v>
          </cell>
          <cell r="P129">
            <v>0.59644190476190484</v>
          </cell>
        </row>
        <row r="130">
          <cell r="C130" t="str">
            <v>5S</v>
          </cell>
          <cell r="D130">
            <v>7.5</v>
          </cell>
          <cell r="E130">
            <v>420</v>
          </cell>
          <cell r="F130">
            <v>152.76</v>
          </cell>
          <cell r="G130">
            <v>7</v>
          </cell>
          <cell r="H130">
            <v>9.7344000000000008</v>
          </cell>
          <cell r="I130">
            <v>19.468800000000002</v>
          </cell>
          <cell r="J130">
            <v>169.49439999999998</v>
          </cell>
          <cell r="K130">
            <v>188.96319999999997</v>
          </cell>
          <cell r="L130">
            <v>250.50560000000002</v>
          </cell>
          <cell r="M130">
            <v>231.03680000000003</v>
          </cell>
          <cell r="N130">
            <v>15.21</v>
          </cell>
          <cell r="O130">
            <v>0.64</v>
          </cell>
          <cell r="P130">
            <v>0.59644190476190484</v>
          </cell>
        </row>
        <row r="131">
          <cell r="C131" t="str">
            <v>5U</v>
          </cell>
          <cell r="D131">
            <v>7.5</v>
          </cell>
          <cell r="E131">
            <v>420</v>
          </cell>
          <cell r="F131">
            <v>166.72</v>
          </cell>
          <cell r="G131">
            <v>7</v>
          </cell>
          <cell r="H131">
            <v>9.7344000000000008</v>
          </cell>
          <cell r="I131">
            <v>19.468800000000002</v>
          </cell>
          <cell r="J131">
            <v>183.45439999999999</v>
          </cell>
          <cell r="K131">
            <v>202.92320000000001</v>
          </cell>
          <cell r="L131">
            <v>236.54560000000001</v>
          </cell>
          <cell r="M131">
            <v>217.07679999999999</v>
          </cell>
          <cell r="N131">
            <v>15.21</v>
          </cell>
          <cell r="O131">
            <v>0.64</v>
          </cell>
          <cell r="P131">
            <v>0.56320380952380955</v>
          </cell>
        </row>
        <row r="132">
          <cell r="C132" t="str">
            <v>5Q</v>
          </cell>
          <cell r="D132">
            <v>7.5</v>
          </cell>
          <cell r="E132">
            <v>420</v>
          </cell>
          <cell r="F132">
            <v>178.5</v>
          </cell>
          <cell r="G132">
            <v>7</v>
          </cell>
          <cell r="H132">
            <v>9.7344000000000008</v>
          </cell>
          <cell r="I132">
            <v>19.468800000000002</v>
          </cell>
          <cell r="J132">
            <v>195.23439999999999</v>
          </cell>
          <cell r="K132">
            <v>214.70319999999998</v>
          </cell>
          <cell r="L132">
            <v>224.76560000000001</v>
          </cell>
          <cell r="M132">
            <v>205.29680000000002</v>
          </cell>
          <cell r="N132">
            <v>15.21</v>
          </cell>
          <cell r="O132">
            <v>0.64</v>
          </cell>
          <cell r="P132">
            <v>0.53515619047619045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m-Art"/>
      <sheetName val="Sum-Cuma"/>
      <sheetName val="Article"/>
      <sheetName val="CUMAA"/>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m-Art"/>
      <sheetName val="Sum-Cuma"/>
      <sheetName val="Article"/>
      <sheetName val="CUMAA"/>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misbs"/>
      <sheetName val="BOD PL NEW"/>
    </sheetNames>
    <sheetDataSet>
      <sheetData sheetId="0" refreshError="1"/>
      <sheetData sheetId="1" refreshError="1"/>
      <sheetData sheetId="2" refreshError="1"/>
      <sheetData sheetId="3"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40">
          <cell r="B140" t="str">
            <v>POLAND</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FF"/>
      <sheetName val="DTPL"/>
      <sheetName val="PAP Memo"/>
      <sheetName val="PAP"/>
      <sheetName val="note_to_RP"/>
      <sheetName val="MIS reports"/>
      <sheetName val="Seg. report"/>
      <sheetName val="SPR"/>
      <sheetName val="Yield-backup"/>
      <sheetName val="P L"/>
      <sheetName val="B S"/>
      <sheetName val="Yield-COB"/>
      <sheetName val="BOD BS"/>
      <sheetName val="BOD PL"/>
      <sheetName val="Yield-COB sum"/>
      <sheetName val="Interest"/>
      <sheetName val="Sheet1"/>
      <sheetName val="Borrowing"/>
      <sheetName val="Facility"/>
      <sheetName val="Esti reports"/>
      <sheetName val="Cashflow"/>
      <sheetName val="Cntrl Sheet"/>
      <sheetName val="CARE Ratios"/>
      <sheetName val="deb"/>
      <sheetName val="Keyratios"/>
      <sheetName val="Bal"/>
      <sheetName val="prof"/>
    </sheetNames>
    <sheetDataSet>
      <sheetData sheetId="0"/>
      <sheetData sheetId="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sheetData sheetId="22" refreshError="1"/>
      <sheetData sheetId="23"/>
      <sheetData sheetId="24"/>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amp; Date"/>
      <sheetName val="PickSheet"/>
      <sheetName val="Menu"/>
      <sheetName val="Info"/>
      <sheetName val="Date Setup"/>
      <sheetName val="BS"/>
      <sheetName val="BSUpdate"/>
      <sheetName val="IS Mon"/>
      <sheetName val="IS Mon - History"/>
      <sheetName val="ISMonUpdate"/>
      <sheetName val="IS STD"/>
      <sheetName val="ISSTD Macros"/>
      <sheetName val="Stats"/>
      <sheetName val="Stats - History"/>
      <sheetName val="StatsUpdate"/>
      <sheetName val="BLProf - History"/>
      <sheetName val="BLProf"/>
      <sheetName val="BacklogUpdate"/>
      <sheetName val="ProjCurr"/>
      <sheetName val="ProjCurrUpdate"/>
      <sheetName val="ProjNext"/>
      <sheetName val="ProjNextHistory"/>
      <sheetName val="ProjNextUpdate"/>
      <sheetName val="Sheet1"/>
      <sheetName val="Commentary"/>
      <sheetName val="All Sheet Macros"/>
      <sheetName val="PrintModule"/>
      <sheetName val="Message"/>
    </sheetNames>
    <sheetDataSet>
      <sheetData sheetId="0" refreshError="1"/>
      <sheetData sheetId="1" refreshError="1"/>
      <sheetData sheetId="2" refreshError="1"/>
      <sheetData sheetId="3" refreshError="1">
        <row r="6">
          <cell r="F6" t="str">
            <v>Bodyline (Pvt) Ltd</v>
          </cell>
        </row>
        <row r="9">
          <cell r="F9">
            <v>73.25</v>
          </cell>
        </row>
        <row r="12">
          <cell r="F12" t="str">
            <v>Rupees</v>
          </cell>
        </row>
      </sheetData>
      <sheetData sheetId="4" refreshError="1">
        <row r="7">
          <cell r="J7">
            <v>1</v>
          </cell>
          <cell r="O7" t="str">
            <v>Jan 2000</v>
          </cell>
        </row>
        <row r="8">
          <cell r="O8" t="str">
            <v>Jan 2000</v>
          </cell>
        </row>
        <row r="9">
          <cell r="J9">
            <v>7</v>
          </cell>
          <cell r="O9" t="str">
            <v>Jan 2000</v>
          </cell>
        </row>
        <row r="10">
          <cell r="O10" t="str">
            <v>Nov 1997</v>
          </cell>
        </row>
        <row r="11">
          <cell r="O11" t="str">
            <v>Jan 2000</v>
          </cell>
        </row>
        <row r="12">
          <cell r="O12" t="str">
            <v>Jan 2000</v>
          </cell>
        </row>
        <row r="13">
          <cell r="O13" t="str">
            <v>Jun 1995</v>
          </cell>
        </row>
      </sheetData>
      <sheetData sheetId="5" refreshError="1">
        <row r="13">
          <cell r="H13">
            <v>422381000</v>
          </cell>
          <cell r="N13">
            <v>461910000</v>
          </cell>
        </row>
        <row r="14">
          <cell r="H14">
            <v>2268000</v>
          </cell>
          <cell r="N14">
            <v>1756000</v>
          </cell>
        </row>
        <row r="15">
          <cell r="H15">
            <v>583952000</v>
          </cell>
          <cell r="N15">
            <v>608791000</v>
          </cell>
        </row>
        <row r="16">
          <cell r="H16">
            <v>72080000</v>
          </cell>
          <cell r="N16">
            <v>61406000</v>
          </cell>
        </row>
        <row r="19">
          <cell r="H19">
            <v>551378000</v>
          </cell>
          <cell r="N19">
            <v>532894000</v>
          </cell>
        </row>
        <row r="21">
          <cell r="N21">
            <v>0</v>
          </cell>
        </row>
        <row r="23">
          <cell r="N23">
            <v>0</v>
          </cell>
        </row>
        <row r="30">
          <cell r="H30">
            <v>71375000</v>
          </cell>
          <cell r="N30">
            <v>158010000</v>
          </cell>
        </row>
        <row r="31">
          <cell r="H31">
            <v>39930000</v>
          </cell>
          <cell r="N31">
            <v>39407000</v>
          </cell>
        </row>
        <row r="32">
          <cell r="H32">
            <v>493000</v>
          </cell>
          <cell r="N32">
            <v>414000</v>
          </cell>
        </row>
        <row r="33">
          <cell r="H33">
            <v>90043000</v>
          </cell>
          <cell r="N33">
            <v>123774000</v>
          </cell>
        </row>
        <row r="36">
          <cell r="H36">
            <v>18150000</v>
          </cell>
          <cell r="N36">
            <v>22391000</v>
          </cell>
        </row>
        <row r="38">
          <cell r="H38">
            <v>29951000</v>
          </cell>
          <cell r="N38">
            <v>30013000</v>
          </cell>
        </row>
        <row r="41">
          <cell r="H41">
            <v>330000000</v>
          </cell>
          <cell r="N41">
            <v>330000000</v>
          </cell>
        </row>
        <row r="42">
          <cell r="H42">
            <v>250000</v>
          </cell>
          <cell r="N42">
            <v>250000</v>
          </cell>
        </row>
        <row r="43">
          <cell r="H43">
            <v>36294000</v>
          </cell>
          <cell r="N43">
            <v>36294000</v>
          </cell>
        </row>
        <row r="44">
          <cell r="H44">
            <v>1015523000</v>
          </cell>
          <cell r="N44">
            <v>926154000</v>
          </cell>
        </row>
        <row r="45">
          <cell r="H45">
            <v>50000</v>
          </cell>
          <cell r="N45">
            <v>50000</v>
          </cell>
        </row>
      </sheetData>
      <sheetData sheetId="6" refreshError="1"/>
      <sheetData sheetId="7" refreshError="1">
        <row r="10">
          <cell r="G10">
            <v>346320000</v>
          </cell>
          <cell r="I10">
            <v>340940000</v>
          </cell>
          <cell r="M10">
            <v>340940000</v>
          </cell>
          <cell r="O10">
            <v>195796000</v>
          </cell>
        </row>
        <row r="14">
          <cell r="G14">
            <v>243097000</v>
          </cell>
          <cell r="I14">
            <v>223975000</v>
          </cell>
          <cell r="K14">
            <v>17047000</v>
          </cell>
          <cell r="L14">
            <v>1</v>
          </cell>
          <cell r="M14">
            <v>241880000</v>
          </cell>
          <cell r="O14">
            <v>139267000</v>
          </cell>
        </row>
        <row r="15">
          <cell r="K15">
            <v>858000</v>
          </cell>
          <cell r="L15">
            <v>2</v>
          </cell>
        </row>
        <row r="23">
          <cell r="G23">
            <v>121000</v>
          </cell>
          <cell r="I23">
            <v>858000</v>
          </cell>
          <cell r="K23">
            <v>-858000</v>
          </cell>
          <cell r="L23">
            <v>2</v>
          </cell>
          <cell r="M23">
            <v>0</v>
          </cell>
          <cell r="O23">
            <v>0</v>
          </cell>
        </row>
        <row r="25">
          <cell r="G25">
            <v>41213000</v>
          </cell>
          <cell r="I25">
            <v>32655000</v>
          </cell>
          <cell r="K25">
            <v>-17047000</v>
          </cell>
          <cell r="L25">
            <v>1</v>
          </cell>
          <cell r="M25">
            <v>15608000</v>
          </cell>
          <cell r="O25">
            <v>18426000</v>
          </cell>
        </row>
        <row r="34">
          <cell r="G34">
            <v>350000</v>
          </cell>
          <cell r="I34">
            <v>365000</v>
          </cell>
          <cell r="M34">
            <v>365000</v>
          </cell>
          <cell r="O34">
            <v>661000</v>
          </cell>
        </row>
        <row r="35">
          <cell r="G35">
            <v>-244000</v>
          </cell>
          <cell r="I35">
            <v>-5008000</v>
          </cell>
          <cell r="M35">
            <v>-5008000</v>
          </cell>
          <cell r="O35">
            <v>-1269000</v>
          </cell>
        </row>
        <row r="36">
          <cell r="G36">
            <v>976000</v>
          </cell>
          <cell r="I36">
            <v>-2062000</v>
          </cell>
          <cell r="M36">
            <v>-2062000</v>
          </cell>
          <cell r="O36">
            <v>-1544000</v>
          </cell>
        </row>
        <row r="43">
          <cell r="M43">
            <v>0</v>
          </cell>
          <cell r="O43">
            <v>88000</v>
          </cell>
        </row>
        <row r="49">
          <cell r="I49">
            <v>-788000</v>
          </cell>
        </row>
        <row r="54">
          <cell r="I54">
            <v>926154000</v>
          </cell>
        </row>
        <row r="59">
          <cell r="I59">
            <v>8219000</v>
          </cell>
        </row>
        <row r="61">
          <cell r="G61" t="str">
            <v>To add Royalty fees to cost of sales</v>
          </cell>
        </row>
        <row r="62">
          <cell r="G62" t="str">
            <v>To add export handling charges to cost of sales</v>
          </cell>
        </row>
      </sheetData>
      <sheetData sheetId="8" refreshError="1"/>
      <sheetData sheetId="9" refreshError="1"/>
      <sheetData sheetId="10" refreshError="1">
        <row r="10">
          <cell r="G10">
            <v>346320000</v>
          </cell>
          <cell r="I10">
            <v>340940000</v>
          </cell>
          <cell r="K10">
            <v>0</v>
          </cell>
          <cell r="L10">
            <v>0</v>
          </cell>
          <cell r="M10">
            <v>340940000</v>
          </cell>
          <cell r="O10">
            <v>195796000</v>
          </cell>
        </row>
        <row r="11">
          <cell r="K11">
            <v>0</v>
          </cell>
          <cell r="L11">
            <v>0</v>
          </cell>
        </row>
        <row r="14">
          <cell r="G14">
            <v>243097000</v>
          </cell>
          <cell r="I14">
            <v>223975000</v>
          </cell>
          <cell r="K14">
            <v>17047000</v>
          </cell>
          <cell r="L14">
            <v>1</v>
          </cell>
          <cell r="M14">
            <v>241880000</v>
          </cell>
          <cell r="O14">
            <v>139267000</v>
          </cell>
        </row>
        <row r="15">
          <cell r="K15">
            <v>858000</v>
          </cell>
          <cell r="L15">
            <v>2</v>
          </cell>
        </row>
        <row r="16">
          <cell r="K16">
            <v>0</v>
          </cell>
          <cell r="L16">
            <v>0</v>
          </cell>
        </row>
        <row r="17">
          <cell r="K17">
            <v>0</v>
          </cell>
          <cell r="L17">
            <v>0</v>
          </cell>
        </row>
        <row r="23">
          <cell r="G23">
            <v>121000</v>
          </cell>
          <cell r="I23">
            <v>858000</v>
          </cell>
          <cell r="K23">
            <v>-858000</v>
          </cell>
          <cell r="L23">
            <v>2</v>
          </cell>
          <cell r="M23">
            <v>0</v>
          </cell>
          <cell r="O23">
            <v>0</v>
          </cell>
        </row>
        <row r="24">
          <cell r="K24">
            <v>0</v>
          </cell>
          <cell r="L24">
            <v>0</v>
          </cell>
        </row>
        <row r="25">
          <cell r="G25">
            <v>41213000</v>
          </cell>
          <cell r="I25">
            <v>32655000</v>
          </cell>
          <cell r="K25">
            <v>-17047000</v>
          </cell>
          <cell r="L25">
            <v>1</v>
          </cell>
          <cell r="M25">
            <v>15608000</v>
          </cell>
          <cell r="O25">
            <v>18426000</v>
          </cell>
        </row>
        <row r="26">
          <cell r="K26">
            <v>0</v>
          </cell>
          <cell r="L26">
            <v>0</v>
          </cell>
        </row>
        <row r="27">
          <cell r="K27">
            <v>0</v>
          </cell>
          <cell r="L27">
            <v>0</v>
          </cell>
        </row>
        <row r="28">
          <cell r="K28">
            <v>0</v>
          </cell>
          <cell r="L28">
            <v>0</v>
          </cell>
        </row>
        <row r="34">
          <cell r="G34">
            <v>350000</v>
          </cell>
          <cell r="I34">
            <v>365000</v>
          </cell>
          <cell r="K34">
            <v>0</v>
          </cell>
          <cell r="L34">
            <v>0</v>
          </cell>
          <cell r="M34">
            <v>365000</v>
          </cell>
          <cell r="O34">
            <v>661000</v>
          </cell>
        </row>
        <row r="35">
          <cell r="G35">
            <v>-244000</v>
          </cell>
          <cell r="I35">
            <v>-5008000</v>
          </cell>
          <cell r="K35">
            <v>0</v>
          </cell>
          <cell r="L35">
            <v>0</v>
          </cell>
          <cell r="M35">
            <v>-5008000</v>
          </cell>
          <cell r="O35">
            <v>-1269000</v>
          </cell>
        </row>
        <row r="36">
          <cell r="G36">
            <v>976000</v>
          </cell>
          <cell r="I36">
            <v>-2062000</v>
          </cell>
          <cell r="K36">
            <v>0</v>
          </cell>
          <cell r="L36">
            <v>0</v>
          </cell>
          <cell r="M36">
            <v>-2062000</v>
          </cell>
          <cell r="O36">
            <v>-1544000</v>
          </cell>
        </row>
        <row r="37">
          <cell r="K37">
            <v>0</v>
          </cell>
          <cell r="L37">
            <v>0</v>
          </cell>
        </row>
        <row r="43">
          <cell r="G43">
            <v>0</v>
          </cell>
          <cell r="I43">
            <v>0</v>
          </cell>
          <cell r="K43">
            <v>0</v>
          </cell>
          <cell r="L43">
            <v>0</v>
          </cell>
          <cell r="M43">
            <v>0</v>
          </cell>
          <cell r="O43">
            <v>88000</v>
          </cell>
        </row>
        <row r="45">
          <cell r="K45">
            <v>0</v>
          </cell>
        </row>
        <row r="48">
          <cell r="I48">
            <v>0</v>
          </cell>
          <cell r="K48">
            <v>0</v>
          </cell>
          <cell r="L48">
            <v>0</v>
          </cell>
        </row>
        <row r="49">
          <cell r="I49">
            <v>-788000</v>
          </cell>
          <cell r="K49">
            <v>0</v>
          </cell>
          <cell r="L49">
            <v>0</v>
          </cell>
        </row>
        <row r="51">
          <cell r="I51">
            <v>0</v>
          </cell>
          <cell r="K51">
            <v>0</v>
          </cell>
          <cell r="L51">
            <v>0</v>
          </cell>
        </row>
        <row r="54">
          <cell r="I54">
            <v>926154000</v>
          </cell>
          <cell r="K54">
            <v>0</v>
          </cell>
          <cell r="L54">
            <v>0</v>
          </cell>
        </row>
        <row r="59">
          <cell r="I59">
            <v>133833000</v>
          </cell>
          <cell r="K59">
            <v>0</v>
          </cell>
        </row>
        <row r="61">
          <cell r="G61" t="str">
            <v>To add Royalty fees to cost of sales</v>
          </cell>
        </row>
        <row r="62">
          <cell r="G62" t="str">
            <v>To add export handling charges to cost of sales</v>
          </cell>
        </row>
        <row r="63">
          <cell r="G63">
            <v>0</v>
          </cell>
        </row>
        <row r="64">
          <cell r="G64">
            <v>0</v>
          </cell>
        </row>
        <row r="65">
          <cell r="G65">
            <v>0</v>
          </cell>
        </row>
        <row r="66">
          <cell r="G66">
            <v>0</v>
          </cell>
        </row>
      </sheetData>
      <sheetData sheetId="11" refreshError="1"/>
      <sheetData sheetId="12" refreshError="1"/>
      <sheetData sheetId="13" refreshError="1"/>
      <sheetData sheetId="14" refreshError="1"/>
      <sheetData sheetId="15" refreshError="1"/>
      <sheetData sheetId="16" refreshError="1">
        <row r="11">
          <cell r="E11">
            <v>5282</v>
          </cell>
          <cell r="G11">
            <v>8278</v>
          </cell>
          <cell r="L11">
            <v>4331</v>
          </cell>
          <cell r="M11">
            <v>4614</v>
          </cell>
          <cell r="O11">
            <v>3998</v>
          </cell>
          <cell r="P11">
            <v>1964</v>
          </cell>
          <cell r="R11">
            <v>4031</v>
          </cell>
          <cell r="S11">
            <v>5766</v>
          </cell>
          <cell r="U11">
            <v>4767</v>
          </cell>
          <cell r="V11">
            <v>5471</v>
          </cell>
          <cell r="X11">
            <v>3139</v>
          </cell>
          <cell r="Y11">
            <v>3139</v>
          </cell>
          <cell r="AA11">
            <v>4231</v>
          </cell>
          <cell r="AB11">
            <v>4231</v>
          </cell>
          <cell r="AD11">
            <v>4354</v>
          </cell>
          <cell r="AE11">
            <v>4354</v>
          </cell>
          <cell r="AK11">
            <v>6188</v>
          </cell>
          <cell r="AQ11">
            <v>3133</v>
          </cell>
        </row>
        <row r="12">
          <cell r="B12" t="str">
            <v>Triumph</v>
          </cell>
          <cell r="E12">
            <v>571</v>
          </cell>
          <cell r="G12">
            <v>8</v>
          </cell>
          <cell r="L12">
            <v>77</v>
          </cell>
          <cell r="M12">
            <v>31</v>
          </cell>
          <cell r="O12">
            <v>72</v>
          </cell>
          <cell r="P12">
            <v>41</v>
          </cell>
          <cell r="R12">
            <v>73</v>
          </cell>
          <cell r="S12">
            <v>103</v>
          </cell>
          <cell r="U12">
            <v>86</v>
          </cell>
          <cell r="V12">
            <v>62</v>
          </cell>
          <cell r="X12">
            <v>57</v>
          </cell>
          <cell r="Y12">
            <v>57</v>
          </cell>
          <cell r="AA12">
            <v>76</v>
          </cell>
          <cell r="AB12">
            <v>76</v>
          </cell>
          <cell r="AD12">
            <v>242</v>
          </cell>
          <cell r="AE12">
            <v>242</v>
          </cell>
          <cell r="AK12">
            <v>5</v>
          </cell>
          <cell r="AQ12">
            <v>0</v>
          </cell>
        </row>
        <row r="13">
          <cell r="B13" t="str">
            <v>Local sales</v>
          </cell>
          <cell r="E13">
            <v>26</v>
          </cell>
          <cell r="G13">
            <v>0</v>
          </cell>
          <cell r="AK13">
            <v>19</v>
          </cell>
          <cell r="AQ13">
            <v>0</v>
          </cell>
        </row>
        <row r="14">
          <cell r="B14" t="str">
            <v>Others</v>
          </cell>
          <cell r="E14">
            <v>0</v>
          </cell>
          <cell r="G14">
            <v>25</v>
          </cell>
          <cell r="L14">
            <v>241</v>
          </cell>
          <cell r="M14">
            <v>9</v>
          </cell>
          <cell r="O14">
            <v>222</v>
          </cell>
          <cell r="R14">
            <v>224</v>
          </cell>
          <cell r="U14">
            <v>265</v>
          </cell>
          <cell r="X14">
            <v>174</v>
          </cell>
          <cell r="Y14">
            <v>174</v>
          </cell>
          <cell r="AA14">
            <v>235</v>
          </cell>
          <cell r="AB14">
            <v>235</v>
          </cell>
          <cell r="AD14">
            <v>79</v>
          </cell>
          <cell r="AE14">
            <v>79</v>
          </cell>
          <cell r="AK14">
            <v>0</v>
          </cell>
          <cell r="AQ14">
            <v>0</v>
          </cell>
        </row>
        <row r="37">
          <cell r="E37">
            <v>2329</v>
          </cell>
          <cell r="G37">
            <v>0</v>
          </cell>
          <cell r="AK37">
            <v>1547</v>
          </cell>
          <cell r="AQ37">
            <v>782</v>
          </cell>
        </row>
        <row r="38">
          <cell r="B38" t="str">
            <v>Triumph</v>
          </cell>
          <cell r="E38">
            <v>154</v>
          </cell>
          <cell r="G38">
            <v>0</v>
          </cell>
          <cell r="AK38">
            <v>1</v>
          </cell>
          <cell r="AQ38">
            <v>0</v>
          </cell>
        </row>
        <row r="39">
          <cell r="B39" t="str">
            <v>Local sales</v>
          </cell>
          <cell r="E39">
            <v>6</v>
          </cell>
          <cell r="G39">
            <v>0</v>
          </cell>
          <cell r="AK39">
            <v>5</v>
          </cell>
          <cell r="AQ39">
            <v>0</v>
          </cell>
        </row>
        <row r="40">
          <cell r="E40">
            <v>0</v>
          </cell>
          <cell r="G40">
            <v>0</v>
          </cell>
          <cell r="AK40">
            <v>0</v>
          </cell>
          <cell r="AQ40">
            <v>0</v>
          </cell>
        </row>
      </sheetData>
      <sheetData sheetId="17" refreshError="1"/>
      <sheetData sheetId="18" refreshError="1">
        <row r="11">
          <cell r="G11">
            <v>340940</v>
          </cell>
          <cell r="I11">
            <v>292474</v>
          </cell>
          <cell r="K11">
            <v>304271</v>
          </cell>
          <cell r="O11">
            <v>499531</v>
          </cell>
          <cell r="Q11">
            <v>289943</v>
          </cell>
          <cell r="S11">
            <v>261145</v>
          </cell>
          <cell r="Z11">
            <v>936398</v>
          </cell>
          <cell r="AB11">
            <v>636458</v>
          </cell>
        </row>
        <row r="12">
          <cell r="G12">
            <v>223975</v>
          </cell>
          <cell r="I12">
            <v>179393</v>
          </cell>
          <cell r="K12">
            <v>196990</v>
          </cell>
          <cell r="O12">
            <v>307448</v>
          </cell>
          <cell r="Q12">
            <v>206453</v>
          </cell>
          <cell r="S12">
            <v>192355</v>
          </cell>
          <cell r="Z12">
            <v>697880</v>
          </cell>
          <cell r="AB12">
            <v>459355</v>
          </cell>
        </row>
        <row r="17">
          <cell r="G17">
            <v>858</v>
          </cell>
          <cell r="I17">
            <v>-80</v>
          </cell>
          <cell r="K17">
            <v>134</v>
          </cell>
          <cell r="O17">
            <v>199</v>
          </cell>
          <cell r="Q17">
            <v>210</v>
          </cell>
          <cell r="S17">
            <v>200</v>
          </cell>
          <cell r="Z17">
            <v>207</v>
          </cell>
          <cell r="AB17">
            <v>433</v>
          </cell>
        </row>
        <row r="18">
          <cell r="G18">
            <v>32655</v>
          </cell>
          <cell r="I18">
            <v>33790</v>
          </cell>
          <cell r="K18">
            <v>35275</v>
          </cell>
          <cell r="O18">
            <v>45820</v>
          </cell>
          <cell r="Q18">
            <v>30005</v>
          </cell>
          <cell r="S18">
            <v>26825</v>
          </cell>
          <cell r="Z18">
            <v>129078</v>
          </cell>
          <cell r="AB18">
            <v>103339</v>
          </cell>
        </row>
        <row r="24">
          <cell r="G24">
            <v>365</v>
          </cell>
          <cell r="I24">
            <v>461</v>
          </cell>
          <cell r="K24">
            <v>447</v>
          </cell>
          <cell r="O24">
            <v>399</v>
          </cell>
          <cell r="Q24">
            <v>1229</v>
          </cell>
          <cell r="S24">
            <v>1219</v>
          </cell>
          <cell r="Z24">
            <v>26065</v>
          </cell>
          <cell r="AB24">
            <v>22432</v>
          </cell>
        </row>
        <row r="25">
          <cell r="G25">
            <v>-5008</v>
          </cell>
          <cell r="I25">
            <v>-3902</v>
          </cell>
          <cell r="K25">
            <v>351</v>
          </cell>
          <cell r="O25">
            <v>2353</v>
          </cell>
          <cell r="Q25">
            <v>1212</v>
          </cell>
          <cell r="S25">
            <v>948</v>
          </cell>
          <cell r="Z25">
            <v>18889</v>
          </cell>
          <cell r="AB25">
            <v>26254</v>
          </cell>
        </row>
        <row r="26">
          <cell r="G26">
            <v>-2062</v>
          </cell>
          <cell r="I26">
            <v>-613</v>
          </cell>
          <cell r="K26">
            <v>-899</v>
          </cell>
          <cell r="O26">
            <v>-951</v>
          </cell>
          <cell r="Q26">
            <v>-1798</v>
          </cell>
          <cell r="S26">
            <v>-1442</v>
          </cell>
          <cell r="Z26">
            <v>-988</v>
          </cell>
          <cell r="AB26">
            <v>-3297</v>
          </cell>
        </row>
        <row r="32">
          <cell r="G32">
            <v>0</v>
          </cell>
          <cell r="I32">
            <v>0</v>
          </cell>
          <cell r="K32">
            <v>0</v>
          </cell>
          <cell r="O32">
            <v>0</v>
          </cell>
          <cell r="Q32">
            <v>0</v>
          </cell>
          <cell r="Z32">
            <v>0</v>
          </cell>
        </row>
        <row r="36">
          <cell r="G36">
            <v>0</v>
          </cell>
          <cell r="I36">
            <v>0</v>
          </cell>
          <cell r="K36">
            <v>0</v>
          </cell>
          <cell r="O36">
            <v>0</v>
          </cell>
          <cell r="Q36">
            <v>0</v>
          </cell>
          <cell r="Z36">
            <v>0</v>
          </cell>
        </row>
      </sheetData>
      <sheetData sheetId="19" refreshError="1"/>
      <sheetData sheetId="20" refreshError="1">
        <row r="11">
          <cell r="Z11">
            <v>1235535</v>
          </cell>
          <cell r="AB11">
            <v>945043</v>
          </cell>
        </row>
        <row r="12">
          <cell r="Z12">
            <v>881814</v>
          </cell>
          <cell r="AB12">
            <v>615815</v>
          </cell>
        </row>
        <row r="17">
          <cell r="Z17">
            <v>223</v>
          </cell>
          <cell r="AB17">
            <v>4821</v>
          </cell>
        </row>
        <row r="18">
          <cell r="Z18">
            <v>143345</v>
          </cell>
          <cell r="AB18">
            <v>143587</v>
          </cell>
        </row>
        <row r="24">
          <cell r="Z24">
            <v>26272</v>
          </cell>
          <cell r="AB24">
            <v>21311</v>
          </cell>
        </row>
        <row r="25">
          <cell r="Z25">
            <v>12024</v>
          </cell>
          <cell r="AB25">
            <v>8470</v>
          </cell>
        </row>
        <row r="26">
          <cell r="Z26">
            <v>-3216</v>
          </cell>
          <cell r="AB26">
            <v>-2195</v>
          </cell>
        </row>
        <row r="32">
          <cell r="AB32">
            <v>942</v>
          </cell>
        </row>
      </sheetData>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L"/>
      <sheetName val="B S"/>
      <sheetName val="MISPL"/>
      <sheetName val="MISBS"/>
      <sheetName val="Bal"/>
      <sheetName val="prof"/>
      <sheetName val="Keyratios"/>
      <sheetName val="Capad"/>
      <sheetName val="Cash Flow"/>
      <sheetName val="ASUM"/>
      <sheetName val="BRAN"/>
      <sheetName val="sum"/>
      <sheetName val="Presentation"/>
      <sheetName val="MISDOC"/>
      <sheetName val="NFF 2002"/>
      <sheetName val="BOD PL NEW"/>
      <sheetName val="BOD BS"/>
      <sheetName val="estMAR"/>
      <sheetName val="sprreco"/>
      <sheetName val="Break"/>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lot"/>
      <sheetName val="Cover"/>
      <sheetName val="Conten"/>
      <sheetName val="Claims"/>
      <sheetName val="Sheet1"/>
      <sheetName val="LIST"/>
    </sheetNames>
    <sheetDataSet>
      <sheetData sheetId="0" refreshError="1"/>
      <sheetData sheetId="1" refreshError="1">
        <row r="58">
          <cell r="B58" t="str">
            <v>209-845</v>
          </cell>
          <cell r="C58">
            <v>179.00997549877493</v>
          </cell>
          <cell r="D58">
            <v>34284</v>
          </cell>
          <cell r="E58">
            <v>6137178</v>
          </cell>
          <cell r="F58">
            <v>7.0561374693734686</v>
          </cell>
          <cell r="G58">
            <v>241912.617</v>
          </cell>
          <cell r="H58">
            <v>101</v>
          </cell>
          <cell r="I58">
            <v>3462684</v>
          </cell>
          <cell r="J58">
            <v>11.64</v>
          </cell>
          <cell r="K58">
            <v>10.126800000000001</v>
          </cell>
          <cell r="L58">
            <v>347187.21120000002</v>
          </cell>
          <cell r="M58">
            <v>4051783.8281999999</v>
          </cell>
          <cell r="N58">
            <v>60.827038029401471</v>
          </cell>
          <cell r="O58">
            <v>2085394.1718000001</v>
          </cell>
          <cell r="P58">
            <v>33.979691835563514</v>
          </cell>
        </row>
        <row r="155">
          <cell r="B155" t="str">
            <v>Stock Lot</v>
          </cell>
          <cell r="C155">
            <v>24.382720199190786</v>
          </cell>
          <cell r="D155">
            <v>9639</v>
          </cell>
          <cell r="E155">
            <v>235025.03999999998</v>
          </cell>
          <cell r="F155">
            <v>0</v>
          </cell>
          <cell r="M155">
            <v>0</v>
          </cell>
          <cell r="N155">
            <v>24.382720199190786</v>
          </cell>
          <cell r="O155">
            <v>235025.03999999998</v>
          </cell>
          <cell r="P155">
            <v>100</v>
          </cell>
        </row>
      </sheetData>
      <sheetData sheetId="2"/>
      <sheetData sheetId="3" refreshError="1">
        <row r="11">
          <cell r="D11" t="str">
            <v>205-811</v>
          </cell>
        </row>
        <row r="12">
          <cell r="D12" t="str">
            <v>206-164</v>
          </cell>
        </row>
        <row r="13">
          <cell r="D13" t="str">
            <v>209-459</v>
          </cell>
        </row>
        <row r="14">
          <cell r="D14" t="str">
            <v>209-533</v>
          </cell>
        </row>
        <row r="15">
          <cell r="D15" t="str">
            <v>209-534</v>
          </cell>
        </row>
        <row r="16">
          <cell r="D16" t="str">
            <v>209-545</v>
          </cell>
        </row>
        <row r="17">
          <cell r="D17" t="str">
            <v>209A340</v>
          </cell>
        </row>
        <row r="18">
          <cell r="D18" t="str">
            <v>209A533</v>
          </cell>
        </row>
        <row r="19">
          <cell r="D19" t="str">
            <v>216-148</v>
          </cell>
        </row>
        <row r="20">
          <cell r="D20" t="str">
            <v>217-718</v>
          </cell>
        </row>
        <row r="21">
          <cell r="D21" t="str">
            <v>730S100</v>
          </cell>
        </row>
        <row r="22">
          <cell r="D22" t="str">
            <v>317-018</v>
          </cell>
        </row>
        <row r="23">
          <cell r="D23" t="str">
            <v>217-428</v>
          </cell>
        </row>
        <row r="24">
          <cell r="D24" t="str">
            <v>217-540</v>
          </cell>
        </row>
        <row r="25">
          <cell r="D25" t="str">
            <v>217-573</v>
          </cell>
        </row>
        <row r="26">
          <cell r="D26" t="str">
            <v>217-579</v>
          </cell>
        </row>
        <row r="27">
          <cell r="D27" t="str">
            <v>217-661</v>
          </cell>
        </row>
        <row r="28">
          <cell r="D28" t="str">
            <v>217A428</v>
          </cell>
        </row>
        <row r="29">
          <cell r="D29" t="str">
            <v>217B428</v>
          </cell>
        </row>
        <row r="30">
          <cell r="D30" t="str">
            <v>209-468</v>
          </cell>
        </row>
        <row r="31">
          <cell r="D31" t="str">
            <v>209-535</v>
          </cell>
        </row>
        <row r="301">
          <cell r="D301" t="str">
            <v>201-746</v>
          </cell>
        </row>
        <row r="302">
          <cell r="D302" t="str">
            <v>201L984</v>
          </cell>
        </row>
        <row r="303">
          <cell r="D303" t="str">
            <v>49X036</v>
          </cell>
        </row>
        <row r="304">
          <cell r="D304" t="str">
            <v>70-689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PL.XLS"/>
      <sheetName val="CUM-PL.XLS"/>
      <sheetName val="MON-COMP.XLS"/>
      <sheetName val="CUM-COMP.XLS"/>
      <sheetName val="BUD-D.XLS"/>
      <sheetName val="B-SHEET"/>
      <sheetName val="MI-COM"/>
      <sheetName val="STK-DEV"/>
      <sheetName val="FA-ADD"/>
      <sheetName val="BS-COMM"/>
      <sheetName val="BUD_D_XLS"/>
    </sheetNames>
    <sheetDataSet>
      <sheetData sheetId="0"/>
      <sheetData sheetId="1"/>
      <sheetData sheetId="2"/>
      <sheetData sheetId="3"/>
      <sheetData sheetId="4" refreshError="1">
        <row r="3">
          <cell r="K3" t="str">
            <v>FOR THE MONTH ENDED JANUARY 1995</v>
          </cell>
          <cell r="U3" t="str">
            <v>FOR THE MONTH ENDED FEBRUARY 1994</v>
          </cell>
          <cell r="AE3" t="str">
            <v>FOR THE MONTH ENDED MARCH 1994</v>
          </cell>
          <cell r="AO3" t="str">
            <v>FOR THE MONTH ENDED APRIL 1994</v>
          </cell>
          <cell r="AY3" t="str">
            <v>FOR THE MONTH ENDED APRIL 1994</v>
          </cell>
          <cell r="BI3" t="str">
            <v>FOR THE MONTH ENDED JUNE 1994</v>
          </cell>
          <cell r="BS3" t="str">
            <v>FOR THE MONTH ENDED JULY 1994</v>
          </cell>
          <cell r="CC3" t="str">
            <v>FOR THE MONTH ENDED AUGUST 1994</v>
          </cell>
          <cell r="CM3" t="str">
            <v>FOR THE MONTH ENDED SEPTEMBER 1994</v>
          </cell>
          <cell r="CW3" t="str">
            <v>FOR THE MONTH ENDED OCTOBER 1994</v>
          </cell>
          <cell r="DG3" t="str">
            <v>FOR THE MONTH ENDED NOVEMBER 1994</v>
          </cell>
          <cell r="DQ3" t="str">
            <v>FOR THE MONTH ENDED DECEMBER 1994</v>
          </cell>
          <cell r="EA3" t="str">
            <v>CUMULATIVE AS AT JANUARY 1995</v>
          </cell>
        </row>
        <row r="4">
          <cell r="J4" t="str">
            <v>Run Date:</v>
          </cell>
          <cell r="K4">
            <v>35268.702116898145</v>
          </cell>
          <cell r="T4" t="str">
            <v>Run Date:</v>
          </cell>
          <cell r="U4">
            <v>35268.702116898145</v>
          </cell>
          <cell r="AD4" t="str">
            <v>Run Date:</v>
          </cell>
          <cell r="AE4">
            <v>35268.702116898145</v>
          </cell>
          <cell r="AN4" t="str">
            <v>Run Date:</v>
          </cell>
          <cell r="AO4">
            <v>35268.702116898145</v>
          </cell>
          <cell r="AX4" t="str">
            <v>Run Date:</v>
          </cell>
          <cell r="AY4">
            <v>35268.702116898145</v>
          </cell>
          <cell r="BH4" t="str">
            <v>Run Date:</v>
          </cell>
          <cell r="BI4">
            <v>35268.702116898145</v>
          </cell>
          <cell r="BR4" t="str">
            <v>Run Date:</v>
          </cell>
          <cell r="BS4">
            <v>35268.702116898145</v>
          </cell>
          <cell r="CB4" t="str">
            <v>Run Date:</v>
          </cell>
          <cell r="CC4">
            <v>35268.702116898145</v>
          </cell>
          <cell r="CL4" t="str">
            <v>Run Date:</v>
          </cell>
          <cell r="CM4">
            <v>35268.702116898145</v>
          </cell>
          <cell r="CV4" t="str">
            <v>Run Date:</v>
          </cell>
          <cell r="CW4">
            <v>35268.702116898145</v>
          </cell>
          <cell r="DF4" t="str">
            <v>Run Date:</v>
          </cell>
          <cell r="DG4">
            <v>35268.702116898145</v>
          </cell>
          <cell r="DP4" t="str">
            <v>Run Date:</v>
          </cell>
          <cell r="DQ4">
            <v>35268.702116898145</v>
          </cell>
          <cell r="DZ4" t="str">
            <v>Run Date:</v>
          </cell>
          <cell r="EA4">
            <v>35268.702116898145</v>
          </cell>
        </row>
        <row r="5">
          <cell r="B5" t="str">
            <v>Total</v>
          </cell>
          <cell r="C5" t="str">
            <v>Purchasing</v>
          </cell>
          <cell r="D5" t="str">
            <v>Production</v>
          </cell>
          <cell r="E5" t="str">
            <v>Warehousing</v>
          </cell>
          <cell r="F5" t="str">
            <v>Mgmt/Admin</v>
          </cell>
          <cell r="G5" t="str">
            <v>Finance</v>
          </cell>
          <cell r="H5" t="str">
            <v>Export</v>
          </cell>
          <cell r="I5" t="str">
            <v>Shipping</v>
          </cell>
          <cell r="J5" t="str">
            <v>others</v>
          </cell>
          <cell r="K5" t="str">
            <v>Building</v>
          </cell>
          <cell r="L5" t="str">
            <v>Total</v>
          </cell>
          <cell r="M5" t="str">
            <v>Purchasing</v>
          </cell>
          <cell r="N5" t="str">
            <v>Production</v>
          </cell>
          <cell r="O5" t="str">
            <v>Warehousing</v>
          </cell>
          <cell r="P5" t="str">
            <v>Mgmt/Admin</v>
          </cell>
          <cell r="Q5" t="str">
            <v>Finance</v>
          </cell>
          <cell r="R5" t="str">
            <v>Export</v>
          </cell>
          <cell r="S5" t="str">
            <v>Shipping</v>
          </cell>
          <cell r="T5" t="str">
            <v>others</v>
          </cell>
          <cell r="U5" t="str">
            <v>Building</v>
          </cell>
          <cell r="V5" t="str">
            <v>Total</v>
          </cell>
          <cell r="W5" t="str">
            <v>Purchasing</v>
          </cell>
          <cell r="X5" t="str">
            <v>Production</v>
          </cell>
          <cell r="Y5" t="str">
            <v>Warehousing</v>
          </cell>
          <cell r="Z5" t="str">
            <v>Mgmt/Admin</v>
          </cell>
          <cell r="AA5" t="str">
            <v>Finance</v>
          </cell>
          <cell r="AB5" t="str">
            <v>Export</v>
          </cell>
          <cell r="AC5" t="str">
            <v>Shipping</v>
          </cell>
          <cell r="AD5" t="str">
            <v>others</v>
          </cell>
          <cell r="AE5" t="str">
            <v>Building</v>
          </cell>
          <cell r="AF5" t="str">
            <v>Total</v>
          </cell>
          <cell r="AG5" t="str">
            <v>Purchasing</v>
          </cell>
          <cell r="AH5" t="str">
            <v>Production</v>
          </cell>
          <cell r="AI5" t="str">
            <v>Warehousing</v>
          </cell>
          <cell r="AJ5" t="str">
            <v>Mgmt/Admin</v>
          </cell>
          <cell r="AK5" t="str">
            <v>Finance</v>
          </cell>
          <cell r="AL5" t="str">
            <v>Export</v>
          </cell>
          <cell r="AM5" t="str">
            <v>Shipping</v>
          </cell>
          <cell r="AN5" t="str">
            <v>others</v>
          </cell>
          <cell r="AO5" t="str">
            <v>Building</v>
          </cell>
          <cell r="AP5" t="str">
            <v>Total</v>
          </cell>
          <cell r="AQ5" t="str">
            <v>Purchasing</v>
          </cell>
          <cell r="AR5" t="str">
            <v>Production</v>
          </cell>
          <cell r="AS5" t="str">
            <v>Warehousing</v>
          </cell>
          <cell r="AT5" t="str">
            <v>Mgmt/Admin</v>
          </cell>
          <cell r="AU5" t="str">
            <v>Finance</v>
          </cell>
          <cell r="AV5" t="str">
            <v>Export</v>
          </cell>
          <cell r="AW5" t="str">
            <v>Shipping</v>
          </cell>
          <cell r="AX5" t="str">
            <v>others</v>
          </cell>
          <cell r="AY5" t="str">
            <v>Building</v>
          </cell>
          <cell r="AZ5" t="str">
            <v>Total</v>
          </cell>
          <cell r="BA5" t="str">
            <v>Purchasing</v>
          </cell>
          <cell r="BB5" t="str">
            <v>Production</v>
          </cell>
          <cell r="BC5" t="str">
            <v>Warehousing</v>
          </cell>
          <cell r="BD5" t="str">
            <v>Mgmt/Admin</v>
          </cell>
          <cell r="BE5" t="str">
            <v>Finance</v>
          </cell>
          <cell r="BF5" t="str">
            <v>Export</v>
          </cell>
          <cell r="BG5" t="str">
            <v>Shipping</v>
          </cell>
          <cell r="BH5" t="str">
            <v>others</v>
          </cell>
          <cell r="BI5" t="str">
            <v>Building</v>
          </cell>
          <cell r="BJ5" t="str">
            <v>Total</v>
          </cell>
          <cell r="BK5" t="str">
            <v>Purchasing</v>
          </cell>
          <cell r="BL5" t="str">
            <v>Production</v>
          </cell>
          <cell r="BM5" t="str">
            <v>Warehousing</v>
          </cell>
          <cell r="BN5" t="str">
            <v>Mgmt/Admin</v>
          </cell>
          <cell r="BO5" t="str">
            <v>Finance</v>
          </cell>
          <cell r="BP5" t="str">
            <v>Export</v>
          </cell>
          <cell r="BQ5" t="str">
            <v>Shipping</v>
          </cell>
          <cell r="BR5" t="str">
            <v>others</v>
          </cell>
          <cell r="BS5" t="str">
            <v>Building</v>
          </cell>
          <cell r="BT5" t="str">
            <v>Total</v>
          </cell>
          <cell r="BU5" t="str">
            <v>Purchasing</v>
          </cell>
          <cell r="BV5" t="str">
            <v>Production</v>
          </cell>
          <cell r="BW5" t="str">
            <v>Warehousing</v>
          </cell>
          <cell r="BX5" t="str">
            <v>Mgmt/Admin</v>
          </cell>
          <cell r="BY5" t="str">
            <v>Finance</v>
          </cell>
          <cell r="BZ5" t="str">
            <v>Export</v>
          </cell>
          <cell r="CA5" t="str">
            <v>Shipping</v>
          </cell>
          <cell r="CB5" t="str">
            <v>others</v>
          </cell>
          <cell r="CC5" t="str">
            <v>Building</v>
          </cell>
          <cell r="CD5" t="str">
            <v>Total</v>
          </cell>
          <cell r="CE5" t="str">
            <v>Purchasing</v>
          </cell>
          <cell r="CF5" t="str">
            <v>Production</v>
          </cell>
          <cell r="CG5" t="str">
            <v>Warehousing</v>
          </cell>
          <cell r="CH5" t="str">
            <v>Mgmt/Admin</v>
          </cell>
          <cell r="CI5" t="str">
            <v>Finance</v>
          </cell>
          <cell r="CJ5" t="str">
            <v>Export</v>
          </cell>
          <cell r="CK5" t="str">
            <v>Shipping</v>
          </cell>
          <cell r="CL5" t="str">
            <v>others</v>
          </cell>
          <cell r="CM5" t="str">
            <v>Building</v>
          </cell>
          <cell r="CN5" t="str">
            <v>Total</v>
          </cell>
          <cell r="CO5" t="str">
            <v>Purchasing</v>
          </cell>
          <cell r="CP5" t="str">
            <v>Production</v>
          </cell>
          <cell r="CQ5" t="str">
            <v>Warehousing</v>
          </cell>
          <cell r="CR5" t="str">
            <v>Mgmt/Admin</v>
          </cell>
          <cell r="CS5" t="str">
            <v>Finance</v>
          </cell>
          <cell r="CT5" t="str">
            <v>Export</v>
          </cell>
          <cell r="CU5" t="str">
            <v>Shipping</v>
          </cell>
          <cell r="CV5" t="str">
            <v>others</v>
          </cell>
          <cell r="CW5" t="str">
            <v>Building</v>
          </cell>
          <cell r="CX5" t="str">
            <v>Total</v>
          </cell>
          <cell r="CY5" t="str">
            <v>Purchasing</v>
          </cell>
          <cell r="CZ5" t="str">
            <v>Production</v>
          </cell>
          <cell r="DA5" t="str">
            <v>Warehousing</v>
          </cell>
          <cell r="DB5" t="str">
            <v>Mgmt/Admin</v>
          </cell>
          <cell r="DC5" t="str">
            <v>Finance</v>
          </cell>
          <cell r="DD5" t="str">
            <v>Export</v>
          </cell>
          <cell r="DE5" t="str">
            <v>Shipping</v>
          </cell>
          <cell r="DF5" t="str">
            <v>others</v>
          </cell>
          <cell r="DG5" t="str">
            <v>Building</v>
          </cell>
          <cell r="DH5" t="str">
            <v>Total</v>
          </cell>
          <cell r="DI5" t="str">
            <v>Purchasing</v>
          </cell>
          <cell r="DJ5" t="str">
            <v>Production</v>
          </cell>
          <cell r="DK5" t="str">
            <v>Warehousing</v>
          </cell>
          <cell r="DL5" t="str">
            <v>Mgmt/Admin</v>
          </cell>
          <cell r="DM5" t="str">
            <v>Finance</v>
          </cell>
          <cell r="DN5" t="str">
            <v>Export</v>
          </cell>
          <cell r="DO5" t="str">
            <v>Shipping</v>
          </cell>
          <cell r="DP5" t="str">
            <v>others</v>
          </cell>
          <cell r="DQ5" t="str">
            <v>Building</v>
          </cell>
          <cell r="DR5" t="str">
            <v>Total</v>
          </cell>
          <cell r="DS5" t="str">
            <v>Purchasing</v>
          </cell>
          <cell r="DT5" t="str">
            <v>Production</v>
          </cell>
          <cell r="DU5" t="str">
            <v>Warehousing</v>
          </cell>
          <cell r="DV5" t="str">
            <v>Mgmt/Admin</v>
          </cell>
          <cell r="DW5" t="str">
            <v>Finance</v>
          </cell>
          <cell r="DX5" t="str">
            <v>Export</v>
          </cell>
          <cell r="DY5" t="str">
            <v>Shipping</v>
          </cell>
          <cell r="DZ5" t="str">
            <v>others</v>
          </cell>
          <cell r="EA5" t="str">
            <v>Building</v>
          </cell>
        </row>
        <row r="6">
          <cell r="B6">
            <v>666</v>
          </cell>
          <cell r="C6">
            <v>28</v>
          </cell>
          <cell r="D6">
            <v>363</v>
          </cell>
          <cell r="E6">
            <v>275</v>
          </cell>
          <cell r="L6">
            <v>638</v>
          </cell>
          <cell r="N6">
            <v>363</v>
          </cell>
          <cell r="O6">
            <v>275</v>
          </cell>
          <cell r="V6">
            <v>638</v>
          </cell>
          <cell r="X6">
            <v>363</v>
          </cell>
          <cell r="Y6">
            <v>275</v>
          </cell>
          <cell r="AF6">
            <v>638</v>
          </cell>
          <cell r="AH6">
            <v>363</v>
          </cell>
          <cell r="AI6">
            <v>275</v>
          </cell>
          <cell r="AP6">
            <v>663</v>
          </cell>
          <cell r="AR6">
            <v>388</v>
          </cell>
          <cell r="AS6">
            <v>275</v>
          </cell>
          <cell r="AZ6">
            <v>663</v>
          </cell>
          <cell r="BB6">
            <v>388</v>
          </cell>
          <cell r="BC6">
            <v>275</v>
          </cell>
          <cell r="BL6">
            <v>0</v>
          </cell>
          <cell r="BV6">
            <v>0</v>
          </cell>
          <cell r="CF6">
            <v>0</v>
          </cell>
          <cell r="CP6">
            <v>0</v>
          </cell>
          <cell r="CZ6">
            <v>0</v>
          </cell>
          <cell r="DJ6">
            <v>0</v>
          </cell>
          <cell r="DR6">
            <v>3906</v>
          </cell>
          <cell r="DS6">
            <v>28</v>
          </cell>
          <cell r="DT6">
            <v>2228</v>
          </cell>
          <cell r="DU6">
            <v>1650</v>
          </cell>
          <cell r="DV6">
            <v>0</v>
          </cell>
          <cell r="DW6">
            <v>0</v>
          </cell>
          <cell r="DX6">
            <v>0</v>
          </cell>
          <cell r="DY6">
            <v>0</v>
          </cell>
          <cell r="DZ6">
            <v>0</v>
          </cell>
          <cell r="EA6">
            <v>0</v>
          </cell>
        </row>
        <row r="7">
          <cell r="B7">
            <v>3160</v>
          </cell>
          <cell r="C7">
            <v>26</v>
          </cell>
          <cell r="D7">
            <v>1785</v>
          </cell>
          <cell r="E7">
            <v>139</v>
          </cell>
          <cell r="F7">
            <v>626</v>
          </cell>
          <cell r="I7">
            <v>182</v>
          </cell>
          <cell r="J7">
            <v>402</v>
          </cell>
          <cell r="L7">
            <v>2604</v>
          </cell>
          <cell r="M7">
            <v>26</v>
          </cell>
          <cell r="N7">
            <v>1785</v>
          </cell>
          <cell r="O7">
            <v>139</v>
          </cell>
          <cell r="P7">
            <v>68</v>
          </cell>
          <cell r="S7">
            <v>182</v>
          </cell>
          <cell r="T7">
            <v>404</v>
          </cell>
          <cell r="V7">
            <v>2711</v>
          </cell>
          <cell r="W7">
            <v>26</v>
          </cell>
          <cell r="X7">
            <v>1915</v>
          </cell>
          <cell r="Y7">
            <v>139</v>
          </cell>
          <cell r="Z7">
            <v>68</v>
          </cell>
          <cell r="AC7">
            <v>206</v>
          </cell>
          <cell r="AD7">
            <v>357</v>
          </cell>
          <cell r="AF7">
            <v>2700</v>
          </cell>
          <cell r="AG7">
            <v>26</v>
          </cell>
          <cell r="AH7">
            <v>1852</v>
          </cell>
          <cell r="AI7">
            <v>139</v>
          </cell>
          <cell r="AJ7">
            <v>68</v>
          </cell>
          <cell r="AM7">
            <v>206</v>
          </cell>
          <cell r="AN7">
            <v>409</v>
          </cell>
          <cell r="AP7">
            <v>2733</v>
          </cell>
          <cell r="AQ7">
            <v>26</v>
          </cell>
          <cell r="AR7">
            <v>1852</v>
          </cell>
          <cell r="AS7">
            <v>139</v>
          </cell>
          <cell r="AT7">
            <v>78</v>
          </cell>
          <cell r="AW7">
            <v>229</v>
          </cell>
          <cell r="AX7">
            <v>409</v>
          </cell>
          <cell r="AZ7">
            <v>2838</v>
          </cell>
          <cell r="BA7">
            <v>27</v>
          </cell>
          <cell r="BB7">
            <v>1929</v>
          </cell>
          <cell r="BC7">
            <v>148</v>
          </cell>
          <cell r="BD7">
            <v>78</v>
          </cell>
          <cell r="BG7">
            <v>229</v>
          </cell>
          <cell r="BH7">
            <v>427</v>
          </cell>
          <cell r="BL7">
            <v>0</v>
          </cell>
          <cell r="BM7">
            <v>0</v>
          </cell>
          <cell r="BQ7">
            <v>0</v>
          </cell>
          <cell r="BV7">
            <v>0</v>
          </cell>
          <cell r="BW7">
            <v>0</v>
          </cell>
          <cell r="CA7">
            <v>0</v>
          </cell>
          <cell r="CF7">
            <v>0</v>
          </cell>
          <cell r="CG7">
            <v>0</v>
          </cell>
          <cell r="CK7">
            <v>0</v>
          </cell>
          <cell r="CP7">
            <v>0</v>
          </cell>
          <cell r="CQ7">
            <v>0</v>
          </cell>
          <cell r="CU7">
            <v>0</v>
          </cell>
          <cell r="CZ7">
            <v>0</v>
          </cell>
          <cell r="DA7">
            <v>0</v>
          </cell>
          <cell r="DE7">
            <v>0</v>
          </cell>
          <cell r="DJ7">
            <v>0</v>
          </cell>
          <cell r="DK7">
            <v>0</v>
          </cell>
          <cell r="DO7">
            <v>0</v>
          </cell>
          <cell r="DR7">
            <v>16746</v>
          </cell>
          <cell r="DS7">
            <v>157</v>
          </cell>
          <cell r="DT7">
            <v>11118</v>
          </cell>
          <cell r="DU7">
            <v>843</v>
          </cell>
          <cell r="DV7">
            <v>986</v>
          </cell>
          <cell r="DW7">
            <v>0</v>
          </cell>
          <cell r="DX7">
            <v>0</v>
          </cell>
          <cell r="DY7">
            <v>1234</v>
          </cell>
          <cell r="DZ7">
            <v>2408</v>
          </cell>
          <cell r="EA7">
            <v>0</v>
          </cell>
        </row>
        <row r="8">
          <cell r="B8">
            <v>790</v>
          </cell>
          <cell r="K8">
            <v>790</v>
          </cell>
          <cell r="L8">
            <v>803</v>
          </cell>
          <cell r="U8">
            <v>803</v>
          </cell>
          <cell r="V8">
            <v>815</v>
          </cell>
          <cell r="AE8">
            <v>815</v>
          </cell>
          <cell r="AF8">
            <v>828</v>
          </cell>
          <cell r="AO8">
            <v>828</v>
          </cell>
          <cell r="AP8">
            <v>841</v>
          </cell>
          <cell r="AY8">
            <v>841</v>
          </cell>
          <cell r="AZ8">
            <v>854</v>
          </cell>
          <cell r="BI8">
            <v>854</v>
          </cell>
          <cell r="BS8">
            <v>0</v>
          </cell>
          <cell r="CC8">
            <v>0</v>
          </cell>
          <cell r="CM8">
            <v>0</v>
          </cell>
          <cell r="CW8">
            <v>0</v>
          </cell>
          <cell r="DG8">
            <v>0</v>
          </cell>
          <cell r="DQ8">
            <v>0</v>
          </cell>
          <cell r="DR8">
            <v>4931</v>
          </cell>
          <cell r="DS8">
            <v>0</v>
          </cell>
          <cell r="DT8">
            <v>0</v>
          </cell>
          <cell r="DU8">
            <v>0</v>
          </cell>
          <cell r="DV8">
            <v>0</v>
          </cell>
          <cell r="DW8">
            <v>0</v>
          </cell>
          <cell r="DX8">
            <v>0</v>
          </cell>
          <cell r="DY8">
            <v>0</v>
          </cell>
          <cell r="DZ8">
            <v>0</v>
          </cell>
          <cell r="EA8">
            <v>4931</v>
          </cell>
        </row>
        <row r="9">
          <cell r="B9">
            <v>816</v>
          </cell>
          <cell r="D9">
            <v>816</v>
          </cell>
          <cell r="L9">
            <v>831</v>
          </cell>
          <cell r="N9">
            <v>831</v>
          </cell>
          <cell r="V9">
            <v>866</v>
          </cell>
          <cell r="X9">
            <v>866</v>
          </cell>
          <cell r="AF9">
            <v>880</v>
          </cell>
          <cell r="AH9">
            <v>880</v>
          </cell>
          <cell r="AP9">
            <v>900</v>
          </cell>
          <cell r="AR9">
            <v>900</v>
          </cell>
          <cell r="AZ9">
            <v>925</v>
          </cell>
          <cell r="BB9">
            <v>925</v>
          </cell>
          <cell r="BL9">
            <v>0</v>
          </cell>
          <cell r="BV9">
            <v>0</v>
          </cell>
          <cell r="CF9">
            <v>0</v>
          </cell>
          <cell r="CP9">
            <v>0</v>
          </cell>
          <cell r="CZ9">
            <v>0</v>
          </cell>
          <cell r="DJ9">
            <v>0</v>
          </cell>
          <cell r="DR9">
            <v>5218</v>
          </cell>
          <cell r="DS9">
            <v>0</v>
          </cell>
          <cell r="DT9">
            <v>5218</v>
          </cell>
          <cell r="DU9">
            <v>0</v>
          </cell>
          <cell r="DV9">
            <v>0</v>
          </cell>
          <cell r="DW9">
            <v>0</v>
          </cell>
          <cell r="DX9">
            <v>0</v>
          </cell>
          <cell r="DY9">
            <v>0</v>
          </cell>
          <cell r="DZ9">
            <v>0</v>
          </cell>
          <cell r="EA9">
            <v>0</v>
          </cell>
        </row>
        <row r="10">
          <cell r="B10">
            <v>140</v>
          </cell>
          <cell r="D10">
            <v>140</v>
          </cell>
          <cell r="L10">
            <v>125</v>
          </cell>
          <cell r="N10">
            <v>125</v>
          </cell>
          <cell r="V10">
            <v>242</v>
          </cell>
          <cell r="X10">
            <v>242</v>
          </cell>
          <cell r="AF10">
            <v>333</v>
          </cell>
          <cell r="AH10">
            <v>333</v>
          </cell>
          <cell r="AP10">
            <v>164</v>
          </cell>
          <cell r="AR10">
            <v>164</v>
          </cell>
          <cell r="AZ10">
            <v>649</v>
          </cell>
          <cell r="BB10">
            <v>649</v>
          </cell>
          <cell r="BL10">
            <v>0</v>
          </cell>
          <cell r="BV10">
            <v>0</v>
          </cell>
          <cell r="CF10">
            <v>0</v>
          </cell>
          <cell r="CP10">
            <v>0</v>
          </cell>
          <cell r="CZ10">
            <v>0</v>
          </cell>
          <cell r="DJ10">
            <v>0</v>
          </cell>
          <cell r="DR10">
            <v>1653</v>
          </cell>
          <cell r="DS10">
            <v>0</v>
          </cell>
          <cell r="DT10">
            <v>1653</v>
          </cell>
          <cell r="DU10">
            <v>0</v>
          </cell>
          <cell r="DV10">
            <v>0</v>
          </cell>
          <cell r="DW10">
            <v>0</v>
          </cell>
          <cell r="DX10">
            <v>0</v>
          </cell>
          <cell r="DY10">
            <v>0</v>
          </cell>
          <cell r="DZ10">
            <v>0</v>
          </cell>
          <cell r="EA10">
            <v>0</v>
          </cell>
        </row>
        <row r="11">
          <cell r="B11">
            <v>806</v>
          </cell>
          <cell r="D11">
            <v>806</v>
          </cell>
          <cell r="L11">
            <v>804</v>
          </cell>
          <cell r="N11">
            <v>804</v>
          </cell>
          <cell r="V11">
            <v>804</v>
          </cell>
          <cell r="X11">
            <v>804</v>
          </cell>
          <cell r="AF11">
            <v>804</v>
          </cell>
          <cell r="AH11">
            <v>804</v>
          </cell>
          <cell r="AP11">
            <v>902</v>
          </cell>
          <cell r="AR11">
            <v>902</v>
          </cell>
          <cell r="AZ11">
            <v>904</v>
          </cell>
          <cell r="BB11">
            <v>904</v>
          </cell>
          <cell r="BL11">
            <v>0</v>
          </cell>
          <cell r="BV11">
            <v>0</v>
          </cell>
          <cell r="CF11">
            <v>0</v>
          </cell>
          <cell r="CP11">
            <v>0</v>
          </cell>
          <cell r="CZ11">
            <v>0</v>
          </cell>
          <cell r="DJ11">
            <v>0</v>
          </cell>
          <cell r="DR11">
            <v>5024</v>
          </cell>
          <cell r="DS11">
            <v>0</v>
          </cell>
          <cell r="DT11">
            <v>5024</v>
          </cell>
          <cell r="DU11">
            <v>0</v>
          </cell>
          <cell r="DV11">
            <v>0</v>
          </cell>
          <cell r="DW11">
            <v>0</v>
          </cell>
          <cell r="DX11">
            <v>0</v>
          </cell>
          <cell r="DY11">
            <v>0</v>
          </cell>
          <cell r="DZ11">
            <v>0</v>
          </cell>
          <cell r="EA11">
            <v>0</v>
          </cell>
        </row>
        <row r="12">
          <cell r="B12">
            <v>299</v>
          </cell>
          <cell r="K12">
            <v>299</v>
          </cell>
          <cell r="L12">
            <v>299</v>
          </cell>
          <cell r="U12">
            <v>299</v>
          </cell>
          <cell r="V12">
            <v>299</v>
          </cell>
          <cell r="AE12">
            <v>299</v>
          </cell>
          <cell r="AF12">
            <v>299</v>
          </cell>
          <cell r="AO12">
            <v>299</v>
          </cell>
          <cell r="AP12">
            <v>299</v>
          </cell>
          <cell r="AY12">
            <v>299</v>
          </cell>
          <cell r="AZ12">
            <v>299</v>
          </cell>
          <cell r="BI12">
            <v>299</v>
          </cell>
          <cell r="BS12">
            <v>0</v>
          </cell>
          <cell r="CC12">
            <v>0</v>
          </cell>
          <cell r="CM12">
            <v>0</v>
          </cell>
          <cell r="CW12">
            <v>0</v>
          </cell>
          <cell r="DG12">
            <v>0</v>
          </cell>
          <cell r="DQ12">
            <v>0</v>
          </cell>
          <cell r="DR12">
            <v>1794</v>
          </cell>
          <cell r="DS12">
            <v>0</v>
          </cell>
          <cell r="DT12">
            <v>0</v>
          </cell>
          <cell r="DU12">
            <v>0</v>
          </cell>
          <cell r="DV12">
            <v>0</v>
          </cell>
          <cell r="DW12">
            <v>0</v>
          </cell>
          <cell r="DX12">
            <v>0</v>
          </cell>
          <cell r="DY12">
            <v>0</v>
          </cell>
          <cell r="DZ12">
            <v>0</v>
          </cell>
          <cell r="EA12">
            <v>1794</v>
          </cell>
        </row>
        <row r="13">
          <cell r="B13">
            <v>4868</v>
          </cell>
          <cell r="C13">
            <v>164</v>
          </cell>
          <cell r="D13">
            <v>1717</v>
          </cell>
          <cell r="E13">
            <v>124</v>
          </cell>
          <cell r="F13">
            <v>2563</v>
          </cell>
          <cell r="I13">
            <v>138</v>
          </cell>
          <cell r="J13">
            <v>162</v>
          </cell>
          <cell r="L13">
            <v>4200</v>
          </cell>
          <cell r="M13">
            <v>164</v>
          </cell>
          <cell r="N13">
            <v>1727</v>
          </cell>
          <cell r="O13">
            <v>124</v>
          </cell>
          <cell r="P13">
            <v>1885</v>
          </cell>
          <cell r="S13">
            <v>138</v>
          </cell>
          <cell r="T13">
            <v>162</v>
          </cell>
          <cell r="V13">
            <v>4337</v>
          </cell>
          <cell r="W13">
            <v>164</v>
          </cell>
          <cell r="X13">
            <v>1843</v>
          </cell>
          <cell r="Y13">
            <v>124</v>
          </cell>
          <cell r="Z13">
            <v>1906</v>
          </cell>
          <cell r="AC13">
            <v>138</v>
          </cell>
          <cell r="AD13">
            <v>162</v>
          </cell>
          <cell r="AF13">
            <v>9182</v>
          </cell>
          <cell r="AG13">
            <v>164</v>
          </cell>
          <cell r="AH13">
            <v>1853</v>
          </cell>
          <cell r="AI13">
            <v>124</v>
          </cell>
          <cell r="AJ13">
            <v>6741</v>
          </cell>
          <cell r="AM13">
            <v>138</v>
          </cell>
          <cell r="AN13">
            <v>162</v>
          </cell>
          <cell r="AP13">
            <v>4360</v>
          </cell>
          <cell r="AQ13">
            <v>164</v>
          </cell>
          <cell r="AR13">
            <v>1864</v>
          </cell>
          <cell r="AS13">
            <v>124</v>
          </cell>
          <cell r="AT13">
            <v>1908</v>
          </cell>
          <cell r="AW13">
            <v>138</v>
          </cell>
          <cell r="AX13">
            <v>162</v>
          </cell>
          <cell r="AZ13">
            <v>4381</v>
          </cell>
          <cell r="BA13">
            <v>164</v>
          </cell>
          <cell r="BB13">
            <v>1879</v>
          </cell>
          <cell r="BC13">
            <v>124</v>
          </cell>
          <cell r="BD13">
            <v>1914</v>
          </cell>
          <cell r="BG13">
            <v>138</v>
          </cell>
          <cell r="BH13">
            <v>162</v>
          </cell>
          <cell r="BK13">
            <v>0</v>
          </cell>
          <cell r="BL13">
            <v>0</v>
          </cell>
          <cell r="BM13">
            <v>0</v>
          </cell>
          <cell r="BN13">
            <v>0</v>
          </cell>
          <cell r="BQ13">
            <v>0</v>
          </cell>
          <cell r="BR13">
            <v>0</v>
          </cell>
          <cell r="BU13">
            <v>0</v>
          </cell>
          <cell r="BV13">
            <v>0</v>
          </cell>
          <cell r="BW13">
            <v>0</v>
          </cell>
          <cell r="BX13">
            <v>0</v>
          </cell>
          <cell r="CA13">
            <v>0</v>
          </cell>
          <cell r="CB13">
            <v>0</v>
          </cell>
          <cell r="CE13">
            <v>0</v>
          </cell>
          <cell r="CF13">
            <v>0</v>
          </cell>
          <cell r="CG13">
            <v>0</v>
          </cell>
          <cell r="CH13">
            <v>0</v>
          </cell>
          <cell r="CK13">
            <v>0</v>
          </cell>
          <cell r="CL13">
            <v>0</v>
          </cell>
          <cell r="CO13">
            <v>0</v>
          </cell>
          <cell r="CP13">
            <v>0</v>
          </cell>
          <cell r="CQ13">
            <v>0</v>
          </cell>
          <cell r="CR13">
            <v>0</v>
          </cell>
          <cell r="CU13">
            <v>0</v>
          </cell>
          <cell r="CV13">
            <v>0</v>
          </cell>
          <cell r="CY13">
            <v>0</v>
          </cell>
          <cell r="CZ13">
            <v>0</v>
          </cell>
          <cell r="DA13">
            <v>0</v>
          </cell>
          <cell r="DB13">
            <v>0</v>
          </cell>
          <cell r="DE13">
            <v>0</v>
          </cell>
          <cell r="DF13">
            <v>0</v>
          </cell>
          <cell r="DI13">
            <v>0</v>
          </cell>
          <cell r="DJ13">
            <v>0</v>
          </cell>
          <cell r="DK13">
            <v>0</v>
          </cell>
          <cell r="DL13">
            <v>0</v>
          </cell>
          <cell r="DO13">
            <v>0</v>
          </cell>
          <cell r="DP13">
            <v>0</v>
          </cell>
          <cell r="DR13">
            <v>31328</v>
          </cell>
          <cell r="DS13">
            <v>984</v>
          </cell>
          <cell r="DT13">
            <v>10883</v>
          </cell>
          <cell r="DU13">
            <v>744</v>
          </cell>
          <cell r="DV13">
            <v>16917</v>
          </cell>
          <cell r="DW13">
            <v>0</v>
          </cell>
          <cell r="DX13">
            <v>0</v>
          </cell>
          <cell r="DY13">
            <v>828</v>
          </cell>
          <cell r="DZ13">
            <v>972</v>
          </cell>
          <cell r="EA13">
            <v>0</v>
          </cell>
        </row>
        <row r="14">
          <cell r="B14">
            <v>1611.6</v>
          </cell>
          <cell r="D14">
            <v>1611.6</v>
          </cell>
          <cell r="L14">
            <v>1626</v>
          </cell>
          <cell r="N14">
            <v>1626</v>
          </cell>
          <cell r="V14">
            <v>1636</v>
          </cell>
          <cell r="X14">
            <v>1636</v>
          </cell>
          <cell r="AF14">
            <v>1646</v>
          </cell>
          <cell r="AH14">
            <v>1646</v>
          </cell>
          <cell r="AP14">
            <v>1656</v>
          </cell>
          <cell r="AR14">
            <v>1656</v>
          </cell>
          <cell r="AZ14">
            <v>1666</v>
          </cell>
          <cell r="BB14">
            <v>1666</v>
          </cell>
          <cell r="BL14">
            <v>0</v>
          </cell>
          <cell r="BV14">
            <v>0</v>
          </cell>
          <cell r="CF14">
            <v>0</v>
          </cell>
          <cell r="CP14">
            <v>0</v>
          </cell>
          <cell r="CZ14">
            <v>0</v>
          </cell>
          <cell r="DJ14">
            <v>0</v>
          </cell>
          <cell r="DR14">
            <v>9841.6</v>
          </cell>
          <cell r="DS14">
            <v>0</v>
          </cell>
          <cell r="DT14">
            <v>9841.6</v>
          </cell>
          <cell r="DU14">
            <v>0</v>
          </cell>
          <cell r="DV14">
            <v>0</v>
          </cell>
          <cell r="DW14">
            <v>0</v>
          </cell>
          <cell r="DX14">
            <v>0</v>
          </cell>
          <cell r="DY14">
            <v>0</v>
          </cell>
          <cell r="DZ14">
            <v>0</v>
          </cell>
          <cell r="EA14">
            <v>0</v>
          </cell>
        </row>
        <row r="15">
          <cell r="B15">
            <v>51</v>
          </cell>
          <cell r="F15">
            <v>51</v>
          </cell>
          <cell r="L15">
            <v>51</v>
          </cell>
          <cell r="P15">
            <v>51</v>
          </cell>
          <cell r="V15">
            <v>52</v>
          </cell>
          <cell r="Z15">
            <v>52</v>
          </cell>
          <cell r="AF15">
            <v>52</v>
          </cell>
          <cell r="AJ15">
            <v>52</v>
          </cell>
          <cell r="AP15">
            <v>52</v>
          </cell>
          <cell r="AT15">
            <v>52</v>
          </cell>
          <cell r="AZ15">
            <v>53</v>
          </cell>
          <cell r="BD15">
            <v>53</v>
          </cell>
          <cell r="BN15">
            <v>0</v>
          </cell>
          <cell r="BX15">
            <v>0</v>
          </cell>
          <cell r="CH15">
            <v>0</v>
          </cell>
          <cell r="CR15">
            <v>0</v>
          </cell>
          <cell r="DB15">
            <v>0</v>
          </cell>
          <cell r="DL15">
            <v>0</v>
          </cell>
          <cell r="DR15">
            <v>311</v>
          </cell>
          <cell r="DS15">
            <v>0</v>
          </cell>
          <cell r="DT15">
            <v>0</v>
          </cell>
          <cell r="DU15">
            <v>0</v>
          </cell>
          <cell r="DV15">
            <v>311</v>
          </cell>
          <cell r="DW15">
            <v>0</v>
          </cell>
          <cell r="DX15">
            <v>0</v>
          </cell>
          <cell r="DY15">
            <v>0</v>
          </cell>
          <cell r="DZ15">
            <v>0</v>
          </cell>
          <cell r="EA15">
            <v>0</v>
          </cell>
        </row>
        <row r="16">
          <cell r="B16">
            <v>629</v>
          </cell>
          <cell r="C16">
            <v>5.5620915032679736</v>
          </cell>
          <cell r="D16">
            <v>548.47058823529414</v>
          </cell>
          <cell r="E16">
            <v>13.542483660130719</v>
          </cell>
          <cell r="F16">
            <v>32.647058823529413</v>
          </cell>
          <cell r="I16">
            <v>14.267973856209151</v>
          </cell>
          <cell r="J16">
            <v>14.509803921568627</v>
          </cell>
          <cell r="L16">
            <v>561</v>
          </cell>
          <cell r="M16">
            <v>4.9607843137254903</v>
          </cell>
          <cell r="N16">
            <v>489.1764705882353</v>
          </cell>
          <cell r="O16">
            <v>12.078431372549019</v>
          </cell>
          <cell r="P16">
            <v>29.117647058823529</v>
          </cell>
          <cell r="S16">
            <v>12.725490196078431</v>
          </cell>
          <cell r="T16">
            <v>12.941176470588236</v>
          </cell>
          <cell r="V16">
            <v>797</v>
          </cell>
          <cell r="W16">
            <v>7.0476739715494041</v>
          </cell>
          <cell r="X16">
            <v>694.96193771626292</v>
          </cell>
          <cell r="Y16">
            <v>17.159554017685505</v>
          </cell>
          <cell r="Z16">
            <v>41.366782006920417</v>
          </cell>
          <cell r="AC16">
            <v>18.078815840061516</v>
          </cell>
          <cell r="AD16">
            <v>18.385236447520185</v>
          </cell>
          <cell r="AF16">
            <v>1336</v>
          </cell>
          <cell r="AG16">
            <v>11.813917723952326</v>
          </cell>
          <cell r="AH16">
            <v>1164.955017301038</v>
          </cell>
          <cell r="AI16">
            <v>28.764321414840445</v>
          </cell>
          <cell r="AJ16">
            <v>69.34256055363322</v>
          </cell>
          <cell r="AM16">
            <v>30.305267204921183</v>
          </cell>
          <cell r="AN16">
            <v>30.818915801614764</v>
          </cell>
          <cell r="AP16">
            <v>729</v>
          </cell>
          <cell r="AQ16">
            <v>6.4463667820069208</v>
          </cell>
          <cell r="AR16">
            <v>635.66782006920414</v>
          </cell>
          <cell r="AS16">
            <v>15.695501730103807</v>
          </cell>
          <cell r="AT16">
            <v>37.837370242214533</v>
          </cell>
          <cell r="AW16">
            <v>16.536332179930795</v>
          </cell>
          <cell r="AX16">
            <v>16.816608996539792</v>
          </cell>
          <cell r="AZ16">
            <v>614</v>
          </cell>
          <cell r="BA16">
            <v>5.4294502114571319</v>
          </cell>
          <cell r="BB16">
            <v>535.39100346020757</v>
          </cell>
          <cell r="BC16">
            <v>13.219530949634756</v>
          </cell>
          <cell r="BD16">
            <v>31.868512110726645</v>
          </cell>
          <cell r="BG16">
            <v>13.927720107650904</v>
          </cell>
          <cell r="BH16">
            <v>14.163783160322954</v>
          </cell>
          <cell r="BK16">
            <v>0</v>
          </cell>
          <cell r="BL16">
            <v>0</v>
          </cell>
          <cell r="BM16">
            <v>0</v>
          </cell>
          <cell r="BN16">
            <v>0</v>
          </cell>
          <cell r="BQ16">
            <v>0</v>
          </cell>
          <cell r="BR16">
            <v>0</v>
          </cell>
          <cell r="BU16">
            <v>0</v>
          </cell>
          <cell r="BV16">
            <v>0</v>
          </cell>
          <cell r="BW16">
            <v>0</v>
          </cell>
          <cell r="BX16">
            <v>0</v>
          </cell>
          <cell r="CA16">
            <v>0</v>
          </cell>
          <cell r="CB16">
            <v>0</v>
          </cell>
          <cell r="CE16">
            <v>0</v>
          </cell>
          <cell r="CF16">
            <v>0</v>
          </cell>
          <cell r="CG16">
            <v>0</v>
          </cell>
          <cell r="CH16">
            <v>0</v>
          </cell>
          <cell r="CK16">
            <v>0</v>
          </cell>
          <cell r="CL16">
            <v>0</v>
          </cell>
          <cell r="CO16">
            <v>0</v>
          </cell>
          <cell r="CP16">
            <v>0</v>
          </cell>
          <cell r="CQ16">
            <v>0</v>
          </cell>
          <cell r="CR16">
            <v>0</v>
          </cell>
          <cell r="CU16">
            <v>0</v>
          </cell>
          <cell r="CV16">
            <v>0</v>
          </cell>
          <cell r="CY16">
            <v>0</v>
          </cell>
          <cell r="CZ16">
            <v>0</v>
          </cell>
          <cell r="DA16">
            <v>0</v>
          </cell>
          <cell r="DB16">
            <v>0</v>
          </cell>
          <cell r="DE16">
            <v>0</v>
          </cell>
          <cell r="DF16">
            <v>0</v>
          </cell>
          <cell r="DI16">
            <v>0</v>
          </cell>
          <cell r="DJ16">
            <v>0</v>
          </cell>
          <cell r="DK16">
            <v>0</v>
          </cell>
          <cell r="DL16">
            <v>0</v>
          </cell>
          <cell r="DO16">
            <v>0</v>
          </cell>
          <cell r="DP16">
            <v>0</v>
          </cell>
          <cell r="DR16">
            <v>4666</v>
          </cell>
          <cell r="DS16">
            <v>41.260284505959248</v>
          </cell>
          <cell r="DT16">
            <v>4068.622837370242</v>
          </cell>
          <cell r="DU16">
            <v>100.45982314494427</v>
          </cell>
          <cell r="DV16">
            <v>242.17993079584775</v>
          </cell>
          <cell r="DW16">
            <v>0</v>
          </cell>
          <cell r="DX16">
            <v>0</v>
          </cell>
          <cell r="DY16">
            <v>105.84159938485197</v>
          </cell>
          <cell r="DZ16">
            <v>107.63552479815455</v>
          </cell>
          <cell r="EA16">
            <v>0</v>
          </cell>
        </row>
        <row r="17">
          <cell r="B17">
            <v>95</v>
          </cell>
          <cell r="D17">
            <v>95</v>
          </cell>
          <cell r="L17">
            <v>96</v>
          </cell>
          <cell r="N17">
            <v>96</v>
          </cell>
          <cell r="V17">
            <v>100</v>
          </cell>
          <cell r="X17">
            <v>100</v>
          </cell>
          <cell r="AF17">
            <v>104</v>
          </cell>
          <cell r="AH17">
            <v>104</v>
          </cell>
          <cell r="AP17">
            <v>106</v>
          </cell>
          <cell r="AR17">
            <v>106</v>
          </cell>
          <cell r="AZ17">
            <v>109</v>
          </cell>
          <cell r="BB17">
            <v>109</v>
          </cell>
          <cell r="BL17">
            <v>0</v>
          </cell>
          <cell r="BV17">
            <v>0</v>
          </cell>
          <cell r="CF17">
            <v>0</v>
          </cell>
          <cell r="CP17">
            <v>0</v>
          </cell>
          <cell r="CZ17">
            <v>0</v>
          </cell>
          <cell r="DJ17">
            <v>0</v>
          </cell>
          <cell r="DR17">
            <v>610</v>
          </cell>
          <cell r="DS17">
            <v>0</v>
          </cell>
          <cell r="DT17">
            <v>610</v>
          </cell>
          <cell r="DU17">
            <v>0</v>
          </cell>
          <cell r="DV17">
            <v>0</v>
          </cell>
          <cell r="DW17">
            <v>0</v>
          </cell>
          <cell r="DX17">
            <v>0</v>
          </cell>
          <cell r="DY17">
            <v>0</v>
          </cell>
          <cell r="DZ17">
            <v>0</v>
          </cell>
          <cell r="EA17">
            <v>0</v>
          </cell>
        </row>
        <row r="18">
          <cell r="B18">
            <v>250</v>
          </cell>
          <cell r="C18">
            <v>19</v>
          </cell>
          <cell r="D18">
            <v>56</v>
          </cell>
          <cell r="E18">
            <v>25</v>
          </cell>
          <cell r="F18">
            <v>103</v>
          </cell>
          <cell r="I18">
            <v>29</v>
          </cell>
          <cell r="J18">
            <v>18</v>
          </cell>
          <cell r="L18">
            <v>240</v>
          </cell>
          <cell r="M18">
            <v>19</v>
          </cell>
          <cell r="N18">
            <v>56</v>
          </cell>
          <cell r="O18">
            <v>25</v>
          </cell>
          <cell r="P18">
            <v>105</v>
          </cell>
          <cell r="S18">
            <v>17</v>
          </cell>
          <cell r="T18">
            <v>18</v>
          </cell>
          <cell r="V18">
            <v>243</v>
          </cell>
          <cell r="W18">
            <v>19</v>
          </cell>
          <cell r="X18">
            <v>56</v>
          </cell>
          <cell r="Y18">
            <v>25</v>
          </cell>
          <cell r="Z18">
            <v>108</v>
          </cell>
          <cell r="AC18">
            <v>17</v>
          </cell>
          <cell r="AD18">
            <v>18</v>
          </cell>
          <cell r="AF18">
            <v>244</v>
          </cell>
          <cell r="AG18">
            <v>19</v>
          </cell>
          <cell r="AH18">
            <v>56</v>
          </cell>
          <cell r="AI18">
            <v>25</v>
          </cell>
          <cell r="AJ18">
            <v>109</v>
          </cell>
          <cell r="AM18">
            <v>17</v>
          </cell>
          <cell r="AN18">
            <v>18</v>
          </cell>
          <cell r="AP18">
            <v>258</v>
          </cell>
          <cell r="AQ18">
            <v>19</v>
          </cell>
          <cell r="AR18">
            <v>56</v>
          </cell>
          <cell r="AS18">
            <v>25</v>
          </cell>
          <cell r="AT18">
            <v>111</v>
          </cell>
          <cell r="AW18">
            <v>29</v>
          </cell>
          <cell r="AX18">
            <v>18</v>
          </cell>
          <cell r="AZ18">
            <v>247</v>
          </cell>
          <cell r="BA18">
            <v>19</v>
          </cell>
          <cell r="BB18">
            <v>56</v>
          </cell>
          <cell r="BC18">
            <v>25</v>
          </cell>
          <cell r="BD18">
            <v>112</v>
          </cell>
          <cell r="BG18">
            <v>17</v>
          </cell>
          <cell r="BH18">
            <v>18</v>
          </cell>
          <cell r="BK18">
            <v>0</v>
          </cell>
          <cell r="BL18">
            <v>0</v>
          </cell>
          <cell r="BM18">
            <v>0</v>
          </cell>
          <cell r="BN18">
            <v>0</v>
          </cell>
          <cell r="BQ18">
            <v>0</v>
          </cell>
          <cell r="BR18">
            <v>0</v>
          </cell>
          <cell r="BU18">
            <v>0</v>
          </cell>
          <cell r="BV18">
            <v>0</v>
          </cell>
          <cell r="BW18">
            <v>0</v>
          </cell>
          <cell r="BX18">
            <v>0</v>
          </cell>
          <cell r="CA18">
            <v>0</v>
          </cell>
          <cell r="CB18">
            <v>0</v>
          </cell>
          <cell r="CE18">
            <v>0</v>
          </cell>
          <cell r="CF18">
            <v>0</v>
          </cell>
          <cell r="CG18">
            <v>0</v>
          </cell>
          <cell r="CH18">
            <v>0</v>
          </cell>
          <cell r="CK18">
            <v>0</v>
          </cell>
          <cell r="CL18">
            <v>0</v>
          </cell>
          <cell r="CO18">
            <v>0</v>
          </cell>
          <cell r="CP18">
            <v>0</v>
          </cell>
          <cell r="CQ18">
            <v>0</v>
          </cell>
          <cell r="CR18">
            <v>0</v>
          </cell>
          <cell r="CU18">
            <v>0</v>
          </cell>
          <cell r="CV18">
            <v>0</v>
          </cell>
          <cell r="CY18">
            <v>0</v>
          </cell>
          <cell r="CZ18">
            <v>0</v>
          </cell>
          <cell r="DA18">
            <v>0</v>
          </cell>
          <cell r="DB18">
            <v>0</v>
          </cell>
          <cell r="DE18">
            <v>0</v>
          </cell>
          <cell r="DF18">
            <v>0</v>
          </cell>
          <cell r="DI18">
            <v>0</v>
          </cell>
          <cell r="DJ18">
            <v>0</v>
          </cell>
          <cell r="DK18">
            <v>0</v>
          </cell>
          <cell r="DL18">
            <v>0</v>
          </cell>
          <cell r="DO18">
            <v>0</v>
          </cell>
          <cell r="DP18">
            <v>0</v>
          </cell>
          <cell r="DR18">
            <v>1482</v>
          </cell>
          <cell r="DS18">
            <v>114</v>
          </cell>
          <cell r="DT18">
            <v>336</v>
          </cell>
          <cell r="DU18">
            <v>150</v>
          </cell>
          <cell r="DV18">
            <v>648</v>
          </cell>
          <cell r="DW18">
            <v>0</v>
          </cell>
          <cell r="DX18">
            <v>0</v>
          </cell>
          <cell r="DY18">
            <v>126</v>
          </cell>
          <cell r="DZ18">
            <v>108</v>
          </cell>
          <cell r="EA18">
            <v>0</v>
          </cell>
        </row>
        <row r="19">
          <cell r="B19">
            <v>795</v>
          </cell>
          <cell r="C19">
            <v>144</v>
          </cell>
          <cell r="D19">
            <v>77</v>
          </cell>
          <cell r="F19">
            <v>510</v>
          </cell>
          <cell r="I19">
            <v>64</v>
          </cell>
          <cell r="L19">
            <v>793</v>
          </cell>
          <cell r="M19">
            <v>144</v>
          </cell>
          <cell r="N19">
            <v>77</v>
          </cell>
          <cell r="P19">
            <v>510</v>
          </cell>
          <cell r="S19">
            <v>62</v>
          </cell>
          <cell r="V19">
            <v>797</v>
          </cell>
          <cell r="W19">
            <v>144</v>
          </cell>
          <cell r="X19">
            <v>77</v>
          </cell>
          <cell r="Z19">
            <v>510</v>
          </cell>
          <cell r="AC19">
            <v>66</v>
          </cell>
          <cell r="AF19">
            <v>785</v>
          </cell>
          <cell r="AG19">
            <v>144</v>
          </cell>
          <cell r="AH19">
            <v>77</v>
          </cell>
          <cell r="AJ19">
            <v>510</v>
          </cell>
          <cell r="AM19">
            <v>54</v>
          </cell>
          <cell r="AP19">
            <v>797</v>
          </cell>
          <cell r="AQ19">
            <v>144</v>
          </cell>
          <cell r="AR19">
            <v>77</v>
          </cell>
          <cell r="AT19">
            <v>510</v>
          </cell>
          <cell r="AW19">
            <v>66</v>
          </cell>
          <cell r="AZ19">
            <v>799</v>
          </cell>
          <cell r="BA19">
            <v>144</v>
          </cell>
          <cell r="BB19">
            <v>77</v>
          </cell>
          <cell r="BD19">
            <v>509</v>
          </cell>
          <cell r="BG19">
            <v>69</v>
          </cell>
          <cell r="BK19">
            <v>0</v>
          </cell>
          <cell r="BL19">
            <v>0</v>
          </cell>
          <cell r="BM19">
            <v>0</v>
          </cell>
          <cell r="BN19">
            <v>0</v>
          </cell>
          <cell r="BQ19">
            <v>0</v>
          </cell>
          <cell r="BR19">
            <v>0</v>
          </cell>
          <cell r="BU19">
            <v>0</v>
          </cell>
          <cell r="BV19">
            <v>0</v>
          </cell>
          <cell r="BW19">
            <v>0</v>
          </cell>
          <cell r="BX19">
            <v>0</v>
          </cell>
          <cell r="CA19">
            <v>0</v>
          </cell>
          <cell r="CB19">
            <v>0</v>
          </cell>
          <cell r="CE19">
            <v>0</v>
          </cell>
          <cell r="CF19">
            <v>0</v>
          </cell>
          <cell r="CG19">
            <v>0</v>
          </cell>
          <cell r="CH19">
            <v>0</v>
          </cell>
          <cell r="CK19">
            <v>0</v>
          </cell>
          <cell r="CL19">
            <v>0</v>
          </cell>
          <cell r="CO19">
            <v>0</v>
          </cell>
          <cell r="CP19">
            <v>0</v>
          </cell>
          <cell r="CQ19">
            <v>0</v>
          </cell>
          <cell r="CR19">
            <v>0</v>
          </cell>
          <cell r="CU19">
            <v>0</v>
          </cell>
          <cell r="CV19">
            <v>0</v>
          </cell>
          <cell r="CY19">
            <v>0</v>
          </cell>
          <cell r="CZ19">
            <v>0</v>
          </cell>
          <cell r="DA19">
            <v>0</v>
          </cell>
          <cell r="DB19">
            <v>0</v>
          </cell>
          <cell r="DE19">
            <v>0</v>
          </cell>
          <cell r="DF19">
            <v>0</v>
          </cell>
          <cell r="DI19">
            <v>0</v>
          </cell>
          <cell r="DJ19">
            <v>0</v>
          </cell>
          <cell r="DK19">
            <v>0</v>
          </cell>
          <cell r="DL19">
            <v>0</v>
          </cell>
          <cell r="DO19">
            <v>0</v>
          </cell>
          <cell r="DP19">
            <v>0</v>
          </cell>
          <cell r="DR19">
            <v>4766</v>
          </cell>
          <cell r="DS19">
            <v>864</v>
          </cell>
          <cell r="DT19">
            <v>462</v>
          </cell>
          <cell r="DU19">
            <v>0</v>
          </cell>
          <cell r="DV19">
            <v>3059</v>
          </cell>
          <cell r="DW19">
            <v>0</v>
          </cell>
          <cell r="DX19">
            <v>0</v>
          </cell>
          <cell r="DY19">
            <v>381</v>
          </cell>
          <cell r="DZ19">
            <v>0</v>
          </cell>
          <cell r="EA19">
            <v>0</v>
          </cell>
        </row>
        <row r="20">
          <cell r="B20">
            <v>262</v>
          </cell>
          <cell r="F20">
            <v>131</v>
          </cell>
          <cell r="K20">
            <v>131</v>
          </cell>
          <cell r="L20">
            <v>262</v>
          </cell>
          <cell r="P20">
            <v>131</v>
          </cell>
          <cell r="U20">
            <v>131</v>
          </cell>
          <cell r="V20">
            <v>264</v>
          </cell>
          <cell r="Z20">
            <v>132</v>
          </cell>
          <cell r="AE20">
            <v>132</v>
          </cell>
          <cell r="AF20">
            <v>267</v>
          </cell>
          <cell r="AJ20">
            <v>133.5</v>
          </cell>
          <cell r="AO20">
            <v>133.5</v>
          </cell>
          <cell r="AP20">
            <v>268</v>
          </cell>
          <cell r="AT20">
            <v>134</v>
          </cell>
          <cell r="AY20">
            <v>134</v>
          </cell>
          <cell r="AZ20">
            <v>268</v>
          </cell>
          <cell r="BD20">
            <v>134</v>
          </cell>
          <cell r="BI20">
            <v>134</v>
          </cell>
          <cell r="BN20">
            <v>0</v>
          </cell>
          <cell r="BS20">
            <v>0</v>
          </cell>
          <cell r="BX20">
            <v>0</v>
          </cell>
          <cell r="CC20">
            <v>0</v>
          </cell>
          <cell r="CH20">
            <v>0</v>
          </cell>
          <cell r="CM20">
            <v>0</v>
          </cell>
          <cell r="CR20">
            <v>0</v>
          </cell>
          <cell r="CW20">
            <v>0</v>
          </cell>
          <cell r="DB20">
            <v>0</v>
          </cell>
          <cell r="DG20">
            <v>0</v>
          </cell>
          <cell r="DL20">
            <v>0</v>
          </cell>
          <cell r="DQ20">
            <v>0</v>
          </cell>
          <cell r="DR20">
            <v>1591</v>
          </cell>
          <cell r="DS20">
            <v>0</v>
          </cell>
          <cell r="DT20">
            <v>0</v>
          </cell>
          <cell r="DU20">
            <v>0</v>
          </cell>
          <cell r="DV20">
            <v>795.5</v>
          </cell>
          <cell r="DW20">
            <v>0</v>
          </cell>
          <cell r="DX20">
            <v>0</v>
          </cell>
          <cell r="DY20">
            <v>0</v>
          </cell>
          <cell r="DZ20">
            <v>0</v>
          </cell>
          <cell r="EA20">
            <v>795.5</v>
          </cell>
        </row>
        <row r="21">
          <cell r="B21">
            <v>197</v>
          </cell>
          <cell r="F21">
            <v>197</v>
          </cell>
          <cell r="L21">
            <v>196</v>
          </cell>
          <cell r="P21">
            <v>196</v>
          </cell>
          <cell r="V21">
            <v>196</v>
          </cell>
          <cell r="Z21">
            <v>196</v>
          </cell>
          <cell r="AF21">
            <v>196</v>
          </cell>
          <cell r="AJ21">
            <v>196</v>
          </cell>
          <cell r="AP21">
            <v>196</v>
          </cell>
          <cell r="AT21">
            <v>196</v>
          </cell>
          <cell r="AZ21">
            <v>198</v>
          </cell>
          <cell r="BD21">
            <v>198</v>
          </cell>
          <cell r="BN21">
            <v>0</v>
          </cell>
          <cell r="BX21">
            <v>0</v>
          </cell>
          <cell r="CH21">
            <v>0</v>
          </cell>
          <cell r="CR21">
            <v>0</v>
          </cell>
          <cell r="DB21">
            <v>0</v>
          </cell>
          <cell r="DL21">
            <v>0</v>
          </cell>
          <cell r="DR21">
            <v>1179</v>
          </cell>
          <cell r="DS21">
            <v>0</v>
          </cell>
          <cell r="DT21">
            <v>0</v>
          </cell>
          <cell r="DU21">
            <v>0</v>
          </cell>
          <cell r="DV21">
            <v>1179</v>
          </cell>
          <cell r="DW21">
            <v>0</v>
          </cell>
          <cell r="DX21">
            <v>0</v>
          </cell>
          <cell r="DY21">
            <v>0</v>
          </cell>
          <cell r="DZ21">
            <v>0</v>
          </cell>
          <cell r="EA21">
            <v>0</v>
          </cell>
        </row>
        <row r="22">
          <cell r="B22">
            <v>1073</v>
          </cell>
          <cell r="C22">
            <v>22</v>
          </cell>
          <cell r="D22">
            <v>931</v>
          </cell>
          <cell r="E22">
            <v>3</v>
          </cell>
          <cell r="F22">
            <v>78</v>
          </cell>
          <cell r="I22">
            <v>21</v>
          </cell>
          <cell r="J22">
            <v>18</v>
          </cell>
          <cell r="L22">
            <v>1068</v>
          </cell>
          <cell r="M22">
            <v>22</v>
          </cell>
          <cell r="N22">
            <v>934</v>
          </cell>
          <cell r="O22">
            <v>3</v>
          </cell>
          <cell r="P22">
            <v>70</v>
          </cell>
          <cell r="S22">
            <v>21</v>
          </cell>
          <cell r="T22">
            <v>18</v>
          </cell>
          <cell r="V22">
            <v>1078</v>
          </cell>
          <cell r="W22">
            <v>22</v>
          </cell>
          <cell r="X22">
            <v>936</v>
          </cell>
          <cell r="Y22">
            <v>3</v>
          </cell>
          <cell r="Z22">
            <v>78</v>
          </cell>
          <cell r="AC22">
            <v>21</v>
          </cell>
          <cell r="AD22">
            <v>18</v>
          </cell>
          <cell r="AF22">
            <v>1081</v>
          </cell>
          <cell r="AG22">
            <v>22</v>
          </cell>
          <cell r="AH22">
            <v>939</v>
          </cell>
          <cell r="AI22">
            <v>3</v>
          </cell>
          <cell r="AJ22">
            <v>78</v>
          </cell>
          <cell r="AM22">
            <v>21</v>
          </cell>
          <cell r="AN22">
            <v>18</v>
          </cell>
          <cell r="AP22">
            <v>1083</v>
          </cell>
          <cell r="AQ22">
            <v>22</v>
          </cell>
          <cell r="AR22">
            <v>941</v>
          </cell>
          <cell r="AS22">
            <v>3</v>
          </cell>
          <cell r="AT22">
            <v>78</v>
          </cell>
          <cell r="AW22">
            <v>21</v>
          </cell>
          <cell r="AX22">
            <v>18</v>
          </cell>
          <cell r="AZ22">
            <v>1234</v>
          </cell>
          <cell r="BA22">
            <v>22</v>
          </cell>
          <cell r="BB22">
            <v>1092</v>
          </cell>
          <cell r="BC22">
            <v>3</v>
          </cell>
          <cell r="BD22">
            <v>78</v>
          </cell>
          <cell r="BG22">
            <v>21</v>
          </cell>
          <cell r="BH22">
            <v>18</v>
          </cell>
          <cell r="BK22">
            <v>0</v>
          </cell>
          <cell r="BL22">
            <v>0</v>
          </cell>
          <cell r="BM22">
            <v>0</v>
          </cell>
          <cell r="BN22">
            <v>0</v>
          </cell>
          <cell r="BP22">
            <v>0</v>
          </cell>
          <cell r="BQ22">
            <v>0</v>
          </cell>
          <cell r="BR22">
            <v>0</v>
          </cell>
          <cell r="BU22">
            <v>0</v>
          </cell>
          <cell r="BV22">
            <v>0</v>
          </cell>
          <cell r="BW22">
            <v>0</v>
          </cell>
          <cell r="BX22">
            <v>0</v>
          </cell>
          <cell r="BZ22">
            <v>0</v>
          </cell>
          <cell r="CA22">
            <v>0</v>
          </cell>
          <cell r="CB22">
            <v>0</v>
          </cell>
          <cell r="CE22">
            <v>0</v>
          </cell>
          <cell r="CF22">
            <v>0</v>
          </cell>
          <cell r="CG22">
            <v>0</v>
          </cell>
          <cell r="CH22">
            <v>0</v>
          </cell>
          <cell r="CJ22">
            <v>0</v>
          </cell>
          <cell r="CK22">
            <v>0</v>
          </cell>
          <cell r="CL22">
            <v>0</v>
          </cell>
          <cell r="CO22">
            <v>0</v>
          </cell>
          <cell r="CP22">
            <v>0</v>
          </cell>
          <cell r="CQ22">
            <v>0</v>
          </cell>
          <cell r="CR22">
            <v>0</v>
          </cell>
          <cell r="CT22">
            <v>0</v>
          </cell>
          <cell r="CU22">
            <v>0</v>
          </cell>
          <cell r="CV22">
            <v>0</v>
          </cell>
          <cell r="CY22">
            <v>0</v>
          </cell>
          <cell r="CZ22">
            <v>0</v>
          </cell>
          <cell r="DA22">
            <v>0</v>
          </cell>
          <cell r="DB22">
            <v>0</v>
          </cell>
          <cell r="DD22">
            <v>0</v>
          </cell>
          <cell r="DE22">
            <v>0</v>
          </cell>
          <cell r="DF22">
            <v>0</v>
          </cell>
          <cell r="DI22">
            <v>0</v>
          </cell>
          <cell r="DJ22">
            <v>0</v>
          </cell>
          <cell r="DK22">
            <v>0</v>
          </cell>
          <cell r="DL22">
            <v>0</v>
          </cell>
          <cell r="DN22">
            <v>0</v>
          </cell>
          <cell r="DO22">
            <v>0</v>
          </cell>
          <cell r="DP22">
            <v>0</v>
          </cell>
          <cell r="DR22">
            <v>6617</v>
          </cell>
          <cell r="DS22">
            <v>132</v>
          </cell>
          <cell r="DT22">
            <v>5773</v>
          </cell>
          <cell r="DU22">
            <v>18</v>
          </cell>
          <cell r="DV22">
            <v>460</v>
          </cell>
          <cell r="DW22">
            <v>0</v>
          </cell>
          <cell r="DX22">
            <v>0</v>
          </cell>
          <cell r="DY22">
            <v>126</v>
          </cell>
          <cell r="DZ22">
            <v>108</v>
          </cell>
          <cell r="EA22">
            <v>0</v>
          </cell>
        </row>
        <row r="23">
          <cell r="B23">
            <v>30</v>
          </cell>
          <cell r="F23">
            <v>30</v>
          </cell>
          <cell r="L23">
            <v>30</v>
          </cell>
          <cell r="P23">
            <v>30</v>
          </cell>
          <cell r="V23">
            <v>30</v>
          </cell>
          <cell r="Z23">
            <v>30</v>
          </cell>
          <cell r="AF23">
            <v>30</v>
          </cell>
          <cell r="AJ23">
            <v>30</v>
          </cell>
          <cell r="AP23">
            <v>30</v>
          </cell>
          <cell r="AT23">
            <v>30</v>
          </cell>
          <cell r="AZ23">
            <v>30</v>
          </cell>
          <cell r="BD23">
            <v>30</v>
          </cell>
          <cell r="BN23">
            <v>0</v>
          </cell>
          <cell r="BX23">
            <v>0</v>
          </cell>
          <cell r="CH23">
            <v>0</v>
          </cell>
          <cell r="CR23">
            <v>0</v>
          </cell>
          <cell r="DB23">
            <v>0</v>
          </cell>
          <cell r="DL23">
            <v>0</v>
          </cell>
          <cell r="DR23">
            <v>180</v>
          </cell>
          <cell r="DS23">
            <v>0</v>
          </cell>
          <cell r="DT23">
            <v>0</v>
          </cell>
          <cell r="DU23">
            <v>0</v>
          </cell>
          <cell r="DV23">
            <v>180</v>
          </cell>
          <cell r="DW23">
            <v>0</v>
          </cell>
          <cell r="DX23">
            <v>0</v>
          </cell>
          <cell r="DY23">
            <v>0</v>
          </cell>
          <cell r="DZ23">
            <v>0</v>
          </cell>
          <cell r="EA23">
            <v>0</v>
          </cell>
        </row>
        <row r="24">
          <cell r="B24">
            <v>74</v>
          </cell>
          <cell r="F24">
            <v>74</v>
          </cell>
          <cell r="L24">
            <v>74</v>
          </cell>
          <cell r="P24">
            <v>74</v>
          </cell>
          <cell r="V24">
            <v>74</v>
          </cell>
          <cell r="Z24">
            <v>74</v>
          </cell>
          <cell r="AF24">
            <v>74</v>
          </cell>
          <cell r="AJ24">
            <v>74</v>
          </cell>
          <cell r="AP24">
            <v>74</v>
          </cell>
          <cell r="AT24">
            <v>74</v>
          </cell>
          <cell r="AZ24">
            <v>74</v>
          </cell>
          <cell r="BD24">
            <v>74</v>
          </cell>
          <cell r="BN24">
            <v>0</v>
          </cell>
          <cell r="BX24">
            <v>0</v>
          </cell>
          <cell r="CH24">
            <v>0</v>
          </cell>
          <cell r="CR24">
            <v>0</v>
          </cell>
          <cell r="DB24">
            <v>0</v>
          </cell>
          <cell r="DL24">
            <v>0</v>
          </cell>
          <cell r="DR24">
            <v>444</v>
          </cell>
          <cell r="DS24">
            <v>0</v>
          </cell>
          <cell r="DT24">
            <v>0</v>
          </cell>
          <cell r="DU24">
            <v>0</v>
          </cell>
          <cell r="DV24">
            <v>444</v>
          </cell>
          <cell r="DW24">
            <v>0</v>
          </cell>
          <cell r="DX24">
            <v>0</v>
          </cell>
          <cell r="DY24">
            <v>0</v>
          </cell>
          <cell r="DZ24">
            <v>0</v>
          </cell>
          <cell r="EA24">
            <v>0</v>
          </cell>
        </row>
        <row r="25">
          <cell r="B25">
            <v>30</v>
          </cell>
          <cell r="F25">
            <v>30</v>
          </cell>
          <cell r="L25">
            <v>30</v>
          </cell>
          <cell r="P25">
            <v>30</v>
          </cell>
          <cell r="V25">
            <v>30</v>
          </cell>
          <cell r="Z25">
            <v>30</v>
          </cell>
          <cell r="AF25">
            <v>30</v>
          </cell>
          <cell r="AJ25">
            <v>30</v>
          </cell>
          <cell r="AP25">
            <v>30</v>
          </cell>
          <cell r="AT25">
            <v>30</v>
          </cell>
          <cell r="AZ25">
            <v>30</v>
          </cell>
          <cell r="BD25">
            <v>30</v>
          </cell>
          <cell r="BK25">
            <v>0</v>
          </cell>
          <cell r="BL25">
            <v>0</v>
          </cell>
          <cell r="BM25">
            <v>0</v>
          </cell>
          <cell r="BN25">
            <v>0</v>
          </cell>
          <cell r="BQ25">
            <v>0</v>
          </cell>
          <cell r="BR25">
            <v>0</v>
          </cell>
          <cell r="BU25">
            <v>0</v>
          </cell>
          <cell r="BV25">
            <v>0</v>
          </cell>
          <cell r="BW25">
            <v>0</v>
          </cell>
          <cell r="BX25">
            <v>0</v>
          </cell>
          <cell r="CA25">
            <v>0</v>
          </cell>
          <cell r="CB25">
            <v>0</v>
          </cell>
          <cell r="CE25">
            <v>0</v>
          </cell>
          <cell r="CF25">
            <v>0</v>
          </cell>
          <cell r="CG25">
            <v>0</v>
          </cell>
          <cell r="CH25">
            <v>0</v>
          </cell>
          <cell r="CK25">
            <v>0</v>
          </cell>
          <cell r="CL25">
            <v>0</v>
          </cell>
          <cell r="CO25">
            <v>0</v>
          </cell>
          <cell r="CP25">
            <v>0</v>
          </cell>
          <cell r="CQ25">
            <v>0</v>
          </cell>
          <cell r="CR25">
            <v>0</v>
          </cell>
          <cell r="CU25">
            <v>0</v>
          </cell>
          <cell r="CV25">
            <v>0</v>
          </cell>
          <cell r="CY25">
            <v>0</v>
          </cell>
          <cell r="CZ25">
            <v>0</v>
          </cell>
          <cell r="DA25">
            <v>0</v>
          </cell>
          <cell r="DB25">
            <v>0</v>
          </cell>
          <cell r="DE25">
            <v>0</v>
          </cell>
          <cell r="DF25">
            <v>0</v>
          </cell>
          <cell r="DI25">
            <v>0</v>
          </cell>
          <cell r="DJ25">
            <v>0</v>
          </cell>
          <cell r="DK25">
            <v>0</v>
          </cell>
          <cell r="DL25">
            <v>0</v>
          </cell>
          <cell r="DO25">
            <v>0</v>
          </cell>
          <cell r="DP25">
            <v>0</v>
          </cell>
          <cell r="DR25">
            <v>180</v>
          </cell>
          <cell r="DS25">
            <v>0</v>
          </cell>
          <cell r="DT25">
            <v>0</v>
          </cell>
          <cell r="DU25">
            <v>0</v>
          </cell>
          <cell r="DV25">
            <v>180</v>
          </cell>
          <cell r="DW25">
            <v>0</v>
          </cell>
          <cell r="DX25">
            <v>0</v>
          </cell>
          <cell r="DY25">
            <v>0</v>
          </cell>
          <cell r="DZ25">
            <v>0</v>
          </cell>
          <cell r="EA25">
            <v>0</v>
          </cell>
        </row>
        <row r="26">
          <cell r="B26">
            <v>148</v>
          </cell>
          <cell r="D26">
            <v>11</v>
          </cell>
          <cell r="E26">
            <v>4</v>
          </cell>
          <cell r="F26">
            <v>133</v>
          </cell>
          <cell r="L26">
            <v>136</v>
          </cell>
          <cell r="N26">
            <v>11</v>
          </cell>
          <cell r="P26">
            <v>125</v>
          </cell>
          <cell r="V26">
            <v>268</v>
          </cell>
          <cell r="X26">
            <v>11</v>
          </cell>
          <cell r="Z26">
            <v>257</v>
          </cell>
          <cell r="AF26">
            <v>141</v>
          </cell>
          <cell r="AH26">
            <v>11</v>
          </cell>
          <cell r="AJ26">
            <v>130</v>
          </cell>
          <cell r="AP26">
            <v>148</v>
          </cell>
          <cell r="AR26">
            <v>11</v>
          </cell>
          <cell r="AT26">
            <v>137</v>
          </cell>
          <cell r="AZ26">
            <v>165</v>
          </cell>
          <cell r="BA26">
            <v>15</v>
          </cell>
          <cell r="BB26">
            <v>11</v>
          </cell>
          <cell r="BC26">
            <v>5</v>
          </cell>
          <cell r="BD26">
            <v>134</v>
          </cell>
          <cell r="BN26">
            <v>0</v>
          </cell>
          <cell r="BX26">
            <v>0</v>
          </cell>
          <cell r="CH26">
            <v>0</v>
          </cell>
          <cell r="CR26">
            <v>0</v>
          </cell>
          <cell r="DB26">
            <v>0</v>
          </cell>
          <cell r="DL26">
            <v>0</v>
          </cell>
          <cell r="DR26">
            <v>1006</v>
          </cell>
          <cell r="DS26">
            <v>15</v>
          </cell>
          <cell r="DT26">
            <v>66</v>
          </cell>
          <cell r="DU26">
            <v>9</v>
          </cell>
          <cell r="DV26">
            <v>916</v>
          </cell>
          <cell r="DW26">
            <v>0</v>
          </cell>
          <cell r="DX26">
            <v>0</v>
          </cell>
          <cell r="DY26">
            <v>0</v>
          </cell>
          <cell r="DZ26">
            <v>0</v>
          </cell>
          <cell r="EA26">
            <v>0</v>
          </cell>
        </row>
        <row r="27">
          <cell r="B27">
            <v>14</v>
          </cell>
          <cell r="F27">
            <v>14</v>
          </cell>
          <cell r="L27">
            <v>0</v>
          </cell>
          <cell r="V27">
            <v>62</v>
          </cell>
          <cell r="Z27">
            <v>62</v>
          </cell>
          <cell r="AF27">
            <v>7</v>
          </cell>
          <cell r="AJ27">
            <v>7</v>
          </cell>
          <cell r="AP27">
            <v>0</v>
          </cell>
          <cell r="AT27">
            <v>0</v>
          </cell>
          <cell r="AZ27">
            <v>0</v>
          </cell>
          <cell r="BD27">
            <v>0</v>
          </cell>
          <cell r="BK27">
            <v>0</v>
          </cell>
          <cell r="BL27">
            <v>0</v>
          </cell>
          <cell r="BM27">
            <v>0</v>
          </cell>
          <cell r="BN27">
            <v>0</v>
          </cell>
          <cell r="BQ27">
            <v>0</v>
          </cell>
          <cell r="BR27">
            <v>0</v>
          </cell>
          <cell r="BU27">
            <v>0</v>
          </cell>
          <cell r="BV27">
            <v>0</v>
          </cell>
          <cell r="BW27">
            <v>0</v>
          </cell>
          <cell r="BX27">
            <v>0</v>
          </cell>
          <cell r="CA27">
            <v>0</v>
          </cell>
          <cell r="CB27">
            <v>0</v>
          </cell>
          <cell r="CE27">
            <v>0</v>
          </cell>
          <cell r="CF27">
            <v>0</v>
          </cell>
          <cell r="CG27">
            <v>0</v>
          </cell>
          <cell r="CH27">
            <v>0</v>
          </cell>
          <cell r="CK27">
            <v>0</v>
          </cell>
          <cell r="CL27">
            <v>0</v>
          </cell>
          <cell r="CO27">
            <v>0</v>
          </cell>
          <cell r="CP27">
            <v>0</v>
          </cell>
          <cell r="CQ27">
            <v>0</v>
          </cell>
          <cell r="CR27">
            <v>0</v>
          </cell>
          <cell r="CU27">
            <v>0</v>
          </cell>
          <cell r="CV27">
            <v>0</v>
          </cell>
          <cell r="CY27">
            <v>0</v>
          </cell>
          <cell r="CZ27">
            <v>0</v>
          </cell>
          <cell r="DA27">
            <v>0</v>
          </cell>
          <cell r="DB27">
            <v>0</v>
          </cell>
          <cell r="DE27">
            <v>0</v>
          </cell>
          <cell r="DF27">
            <v>0</v>
          </cell>
          <cell r="DI27">
            <v>0</v>
          </cell>
          <cell r="DJ27">
            <v>0</v>
          </cell>
          <cell r="DK27">
            <v>0</v>
          </cell>
          <cell r="DL27">
            <v>0</v>
          </cell>
          <cell r="DO27">
            <v>0</v>
          </cell>
          <cell r="DP27">
            <v>0</v>
          </cell>
          <cell r="DR27">
            <v>83</v>
          </cell>
          <cell r="DS27">
            <v>0</v>
          </cell>
          <cell r="DT27">
            <v>0</v>
          </cell>
          <cell r="DU27">
            <v>0</v>
          </cell>
          <cell r="DV27">
            <v>83</v>
          </cell>
          <cell r="DW27">
            <v>0</v>
          </cell>
          <cell r="DX27">
            <v>0</v>
          </cell>
          <cell r="DY27">
            <v>0</v>
          </cell>
          <cell r="DZ27">
            <v>0</v>
          </cell>
          <cell r="EA27">
            <v>0</v>
          </cell>
        </row>
        <row r="28">
          <cell r="B28">
            <v>54</v>
          </cell>
          <cell r="F28">
            <v>54</v>
          </cell>
          <cell r="L28">
            <v>54</v>
          </cell>
          <cell r="P28">
            <v>54</v>
          </cell>
          <cell r="V28">
            <v>54</v>
          </cell>
          <cell r="Z28">
            <v>54</v>
          </cell>
          <cell r="AF28">
            <v>54</v>
          </cell>
          <cell r="AJ28">
            <v>54</v>
          </cell>
          <cell r="AP28">
            <v>54</v>
          </cell>
          <cell r="AT28">
            <v>54</v>
          </cell>
          <cell r="AZ28">
            <v>54</v>
          </cell>
          <cell r="BD28">
            <v>54</v>
          </cell>
          <cell r="BN28">
            <v>0</v>
          </cell>
          <cell r="BX28">
            <v>0</v>
          </cell>
          <cell r="CH28">
            <v>0</v>
          </cell>
          <cell r="CR28">
            <v>0</v>
          </cell>
          <cell r="DB28">
            <v>0</v>
          </cell>
          <cell r="DL28">
            <v>0</v>
          </cell>
          <cell r="DR28">
            <v>324</v>
          </cell>
          <cell r="DS28">
            <v>0</v>
          </cell>
          <cell r="DT28">
            <v>0</v>
          </cell>
          <cell r="DU28">
            <v>0</v>
          </cell>
          <cell r="DV28">
            <v>324</v>
          </cell>
          <cell r="DW28">
            <v>0</v>
          </cell>
          <cell r="DX28">
            <v>0</v>
          </cell>
          <cell r="DY28">
            <v>0</v>
          </cell>
          <cell r="DZ28">
            <v>0</v>
          </cell>
          <cell r="EA28">
            <v>0</v>
          </cell>
        </row>
        <row r="29">
          <cell r="B29">
            <v>89</v>
          </cell>
          <cell r="J29">
            <v>89</v>
          </cell>
          <cell r="L29">
            <v>89</v>
          </cell>
          <cell r="T29">
            <v>89</v>
          </cell>
          <cell r="V29">
            <v>89</v>
          </cell>
          <cell r="AD29">
            <v>89</v>
          </cell>
          <cell r="AF29">
            <v>89</v>
          </cell>
          <cell r="AN29">
            <v>89</v>
          </cell>
          <cell r="AP29">
            <v>89</v>
          </cell>
          <cell r="AX29">
            <v>89</v>
          </cell>
          <cell r="AZ29">
            <v>89</v>
          </cell>
          <cell r="BH29">
            <v>89</v>
          </cell>
          <cell r="BK29">
            <v>0</v>
          </cell>
          <cell r="BL29">
            <v>0</v>
          </cell>
          <cell r="BM29">
            <v>0</v>
          </cell>
          <cell r="BN29">
            <v>0</v>
          </cell>
          <cell r="BQ29">
            <v>0</v>
          </cell>
          <cell r="BR29">
            <v>0</v>
          </cell>
          <cell r="BU29">
            <v>0</v>
          </cell>
          <cell r="BV29">
            <v>0</v>
          </cell>
          <cell r="BW29">
            <v>0</v>
          </cell>
          <cell r="BX29">
            <v>0</v>
          </cell>
          <cell r="CA29">
            <v>0</v>
          </cell>
          <cell r="CB29">
            <v>0</v>
          </cell>
          <cell r="CE29">
            <v>0</v>
          </cell>
          <cell r="CF29">
            <v>0</v>
          </cell>
          <cell r="CG29">
            <v>0</v>
          </cell>
          <cell r="CH29">
            <v>0</v>
          </cell>
          <cell r="CK29">
            <v>0</v>
          </cell>
          <cell r="CL29">
            <v>0</v>
          </cell>
          <cell r="CO29">
            <v>0</v>
          </cell>
          <cell r="CP29">
            <v>0</v>
          </cell>
          <cell r="CQ29">
            <v>0</v>
          </cell>
          <cell r="CR29">
            <v>0</v>
          </cell>
          <cell r="CU29">
            <v>0</v>
          </cell>
          <cell r="CV29">
            <v>0</v>
          </cell>
          <cell r="CY29">
            <v>0</v>
          </cell>
          <cell r="CZ29">
            <v>0</v>
          </cell>
          <cell r="DA29">
            <v>0</v>
          </cell>
          <cell r="DB29">
            <v>0</v>
          </cell>
          <cell r="DE29">
            <v>0</v>
          </cell>
          <cell r="DF29">
            <v>0</v>
          </cell>
          <cell r="DI29">
            <v>0</v>
          </cell>
          <cell r="DJ29">
            <v>0</v>
          </cell>
          <cell r="DK29">
            <v>0</v>
          </cell>
          <cell r="DL29">
            <v>0</v>
          </cell>
          <cell r="DO29">
            <v>0</v>
          </cell>
          <cell r="DP29">
            <v>0</v>
          </cell>
          <cell r="DR29">
            <v>534</v>
          </cell>
          <cell r="DS29">
            <v>0</v>
          </cell>
          <cell r="DT29">
            <v>0</v>
          </cell>
          <cell r="DU29">
            <v>0</v>
          </cell>
          <cell r="DV29">
            <v>0</v>
          </cell>
          <cell r="DW29">
            <v>0</v>
          </cell>
          <cell r="DX29">
            <v>0</v>
          </cell>
          <cell r="DY29">
            <v>0</v>
          </cell>
          <cell r="DZ29">
            <v>534</v>
          </cell>
          <cell r="EA29">
            <v>0</v>
          </cell>
        </row>
        <row r="30">
          <cell r="B30">
            <v>159</v>
          </cell>
          <cell r="K30">
            <v>159</v>
          </cell>
          <cell r="L30">
            <v>159</v>
          </cell>
          <cell r="U30">
            <v>159</v>
          </cell>
          <cell r="V30">
            <v>186</v>
          </cell>
          <cell r="AE30">
            <v>186</v>
          </cell>
          <cell r="AF30">
            <v>186</v>
          </cell>
          <cell r="AO30">
            <v>186</v>
          </cell>
          <cell r="AP30">
            <v>186</v>
          </cell>
          <cell r="AY30">
            <v>186</v>
          </cell>
          <cell r="AZ30">
            <v>186</v>
          </cell>
          <cell r="BI30">
            <v>186</v>
          </cell>
          <cell r="BS30">
            <v>0</v>
          </cell>
          <cell r="CC30">
            <v>0</v>
          </cell>
          <cell r="CM30">
            <v>0</v>
          </cell>
          <cell r="CW30">
            <v>0</v>
          </cell>
          <cell r="DG30">
            <v>0</v>
          </cell>
          <cell r="DQ30">
            <v>0</v>
          </cell>
          <cell r="DR30">
            <v>1062</v>
          </cell>
          <cell r="DS30">
            <v>0</v>
          </cell>
          <cell r="DT30">
            <v>0</v>
          </cell>
          <cell r="DU30">
            <v>0</v>
          </cell>
          <cell r="DV30">
            <v>0</v>
          </cell>
          <cell r="DW30">
            <v>0</v>
          </cell>
          <cell r="DX30">
            <v>0</v>
          </cell>
          <cell r="DY30">
            <v>0</v>
          </cell>
          <cell r="DZ30">
            <v>0</v>
          </cell>
          <cell r="EA30">
            <v>1062</v>
          </cell>
        </row>
        <row r="31">
          <cell r="B31">
            <v>0</v>
          </cell>
          <cell r="L31">
            <v>0</v>
          </cell>
          <cell r="V31">
            <v>0</v>
          </cell>
          <cell r="AF31">
            <v>260</v>
          </cell>
          <cell r="AG31">
            <v>90</v>
          </cell>
          <cell r="AJ31">
            <v>170</v>
          </cell>
          <cell r="AP31">
            <v>0</v>
          </cell>
          <cell r="AQ31">
            <v>0</v>
          </cell>
          <cell r="AT31">
            <v>0</v>
          </cell>
          <cell r="AZ31">
            <v>0</v>
          </cell>
          <cell r="BA31">
            <v>0</v>
          </cell>
          <cell r="BD31">
            <v>0</v>
          </cell>
          <cell r="BN31">
            <v>0</v>
          </cell>
          <cell r="BX31">
            <v>0</v>
          </cell>
          <cell r="CH31">
            <v>0</v>
          </cell>
          <cell r="CR31">
            <v>0</v>
          </cell>
          <cell r="DB31">
            <v>0</v>
          </cell>
          <cell r="DL31">
            <v>0</v>
          </cell>
          <cell r="DR31">
            <v>260</v>
          </cell>
          <cell r="DS31">
            <v>90</v>
          </cell>
          <cell r="DT31">
            <v>0</v>
          </cell>
          <cell r="DU31">
            <v>0</v>
          </cell>
          <cell r="DV31">
            <v>170</v>
          </cell>
          <cell r="DW31">
            <v>0</v>
          </cell>
          <cell r="DX31">
            <v>0</v>
          </cell>
          <cell r="DY31">
            <v>0</v>
          </cell>
          <cell r="DZ31">
            <v>0</v>
          </cell>
          <cell r="EA31">
            <v>0</v>
          </cell>
        </row>
        <row r="32">
          <cell r="B32">
            <v>123</v>
          </cell>
          <cell r="F32">
            <v>123</v>
          </cell>
          <cell r="L32">
            <v>0</v>
          </cell>
          <cell r="V32">
            <v>0</v>
          </cell>
          <cell r="AF32">
            <v>0</v>
          </cell>
          <cell r="AP32">
            <v>0</v>
          </cell>
          <cell r="AZ32">
            <v>0</v>
          </cell>
          <cell r="DR32">
            <v>123</v>
          </cell>
          <cell r="DS32">
            <v>0</v>
          </cell>
          <cell r="DT32">
            <v>0</v>
          </cell>
          <cell r="DU32">
            <v>0</v>
          </cell>
          <cell r="DV32">
            <v>123</v>
          </cell>
          <cell r="DW32">
            <v>0</v>
          </cell>
          <cell r="DX32">
            <v>0</v>
          </cell>
          <cell r="DY32">
            <v>0</v>
          </cell>
          <cell r="DZ32">
            <v>0</v>
          </cell>
          <cell r="EA32">
            <v>0</v>
          </cell>
        </row>
        <row r="33">
          <cell r="B33">
            <v>96</v>
          </cell>
          <cell r="F33">
            <v>96</v>
          </cell>
          <cell r="L33">
            <v>96</v>
          </cell>
          <cell r="P33">
            <v>96</v>
          </cell>
          <cell r="V33">
            <v>317</v>
          </cell>
          <cell r="AA33">
            <v>317</v>
          </cell>
          <cell r="AF33">
            <v>96</v>
          </cell>
          <cell r="AK33">
            <v>96</v>
          </cell>
          <cell r="AP33">
            <v>96</v>
          </cell>
          <cell r="AU33">
            <v>96</v>
          </cell>
          <cell r="AZ33">
            <v>96</v>
          </cell>
          <cell r="BE33">
            <v>96</v>
          </cell>
          <cell r="BN33">
            <v>0</v>
          </cell>
          <cell r="BX33">
            <v>0</v>
          </cell>
          <cell r="CH33">
            <v>0</v>
          </cell>
          <cell r="CR33">
            <v>0</v>
          </cell>
          <cell r="DB33">
            <v>0</v>
          </cell>
          <cell r="DL33">
            <v>0</v>
          </cell>
          <cell r="DR33">
            <v>797</v>
          </cell>
          <cell r="DS33">
            <v>0</v>
          </cell>
          <cell r="DT33">
            <v>0</v>
          </cell>
          <cell r="DU33">
            <v>0</v>
          </cell>
          <cell r="DV33">
            <v>192</v>
          </cell>
          <cell r="DW33">
            <v>605</v>
          </cell>
          <cell r="DX33">
            <v>0</v>
          </cell>
          <cell r="DY33">
            <v>0</v>
          </cell>
          <cell r="DZ33">
            <v>0</v>
          </cell>
          <cell r="EA33">
            <v>0</v>
          </cell>
        </row>
        <row r="34">
          <cell r="B34">
            <v>0</v>
          </cell>
          <cell r="L34">
            <v>0</v>
          </cell>
          <cell r="V34">
            <v>0</v>
          </cell>
          <cell r="AF34">
            <v>0</v>
          </cell>
          <cell r="AP34">
            <v>0</v>
          </cell>
          <cell r="AZ34">
            <v>0</v>
          </cell>
          <cell r="BQ34">
            <v>0</v>
          </cell>
          <cell r="CA34">
            <v>0</v>
          </cell>
          <cell r="CK34">
            <v>0</v>
          </cell>
          <cell r="CU34">
            <v>0</v>
          </cell>
          <cell r="DE34">
            <v>0</v>
          </cell>
          <cell r="DO34">
            <v>0</v>
          </cell>
          <cell r="DR34">
            <v>0</v>
          </cell>
          <cell r="DS34">
            <v>0</v>
          </cell>
          <cell r="DT34">
            <v>0</v>
          </cell>
          <cell r="DU34">
            <v>0</v>
          </cell>
          <cell r="DV34">
            <v>0</v>
          </cell>
          <cell r="DW34">
            <v>0</v>
          </cell>
          <cell r="DX34">
            <v>0</v>
          </cell>
          <cell r="DY34">
            <v>0</v>
          </cell>
          <cell r="DZ34">
            <v>0</v>
          </cell>
          <cell r="EA34">
            <v>0</v>
          </cell>
        </row>
        <row r="35">
          <cell r="B35">
            <v>83</v>
          </cell>
          <cell r="G35">
            <v>83</v>
          </cell>
          <cell r="L35">
            <v>79</v>
          </cell>
          <cell r="Q35">
            <v>79</v>
          </cell>
          <cell r="V35">
            <v>79</v>
          </cell>
          <cell r="AA35">
            <v>79</v>
          </cell>
          <cell r="AF35">
            <v>79</v>
          </cell>
          <cell r="AK35">
            <v>79</v>
          </cell>
          <cell r="AP35">
            <v>79</v>
          </cell>
          <cell r="AU35">
            <v>79</v>
          </cell>
          <cell r="AZ35">
            <v>77</v>
          </cell>
          <cell r="BE35">
            <v>77</v>
          </cell>
          <cell r="BO35">
            <v>0</v>
          </cell>
          <cell r="BY35">
            <v>0</v>
          </cell>
          <cell r="CI35">
            <v>0</v>
          </cell>
          <cell r="CS35">
            <v>0</v>
          </cell>
          <cell r="DC35">
            <v>0</v>
          </cell>
          <cell r="DM35">
            <v>0</v>
          </cell>
          <cell r="DR35">
            <v>476</v>
          </cell>
          <cell r="DS35">
            <v>0</v>
          </cell>
          <cell r="DT35">
            <v>0</v>
          </cell>
          <cell r="DU35">
            <v>0</v>
          </cell>
          <cell r="DV35">
            <v>0</v>
          </cell>
          <cell r="DW35">
            <v>476</v>
          </cell>
          <cell r="DX35">
            <v>0</v>
          </cell>
          <cell r="DY35">
            <v>0</v>
          </cell>
          <cell r="DZ35">
            <v>0</v>
          </cell>
          <cell r="EA35">
            <v>0</v>
          </cell>
        </row>
        <row r="36">
          <cell r="B36">
            <v>100</v>
          </cell>
          <cell r="G36">
            <v>100</v>
          </cell>
          <cell r="L36">
            <v>100</v>
          </cell>
          <cell r="Q36">
            <v>100</v>
          </cell>
          <cell r="V36">
            <v>100</v>
          </cell>
          <cell r="AA36">
            <v>100</v>
          </cell>
          <cell r="AF36">
            <v>100</v>
          </cell>
          <cell r="AK36">
            <v>100</v>
          </cell>
          <cell r="AP36">
            <v>100</v>
          </cell>
          <cell r="AU36">
            <v>100</v>
          </cell>
          <cell r="AZ36">
            <v>100</v>
          </cell>
          <cell r="BE36">
            <v>100</v>
          </cell>
          <cell r="BO36">
            <v>0</v>
          </cell>
          <cell r="BY36">
            <v>0</v>
          </cell>
          <cell r="CI36">
            <v>0</v>
          </cell>
          <cell r="CS36">
            <v>0</v>
          </cell>
          <cell r="DC36">
            <v>0</v>
          </cell>
          <cell r="DM36">
            <v>0</v>
          </cell>
          <cell r="DR36">
            <v>600</v>
          </cell>
          <cell r="DS36">
            <v>0</v>
          </cell>
          <cell r="DT36">
            <v>0</v>
          </cell>
          <cell r="DU36">
            <v>0</v>
          </cell>
          <cell r="DV36">
            <v>0</v>
          </cell>
          <cell r="DW36">
            <v>600</v>
          </cell>
          <cell r="DX36">
            <v>0</v>
          </cell>
          <cell r="DY36">
            <v>0</v>
          </cell>
          <cell r="DZ36">
            <v>0</v>
          </cell>
          <cell r="EA36">
            <v>0</v>
          </cell>
        </row>
        <row r="37">
          <cell r="B37">
            <v>2871</v>
          </cell>
          <cell r="G37">
            <v>2871</v>
          </cell>
          <cell r="L37">
            <v>2891</v>
          </cell>
          <cell r="Q37">
            <v>2891</v>
          </cell>
          <cell r="V37">
            <v>2834</v>
          </cell>
          <cell r="AA37">
            <v>2834</v>
          </cell>
          <cell r="AF37">
            <v>2778</v>
          </cell>
          <cell r="AK37">
            <v>2778</v>
          </cell>
          <cell r="AP37">
            <v>2797</v>
          </cell>
          <cell r="AU37">
            <v>2797</v>
          </cell>
          <cell r="AZ37">
            <v>2727</v>
          </cell>
          <cell r="BE37">
            <v>2727</v>
          </cell>
          <cell r="BO37">
            <v>0</v>
          </cell>
          <cell r="BY37">
            <v>0</v>
          </cell>
          <cell r="CI37">
            <v>0</v>
          </cell>
          <cell r="CS37">
            <v>0</v>
          </cell>
          <cell r="DC37">
            <v>0</v>
          </cell>
          <cell r="DM37">
            <v>0</v>
          </cell>
          <cell r="DR37">
            <v>16898</v>
          </cell>
          <cell r="DS37">
            <v>0</v>
          </cell>
          <cell r="DT37">
            <v>0</v>
          </cell>
          <cell r="DU37">
            <v>0</v>
          </cell>
          <cell r="DV37">
            <v>0</v>
          </cell>
          <cell r="DW37">
            <v>16898</v>
          </cell>
          <cell r="DX37">
            <v>0</v>
          </cell>
          <cell r="DY37">
            <v>0</v>
          </cell>
          <cell r="DZ37">
            <v>0</v>
          </cell>
          <cell r="EA37">
            <v>0</v>
          </cell>
        </row>
        <row r="38">
          <cell r="B38">
            <v>919</v>
          </cell>
          <cell r="G38">
            <v>919</v>
          </cell>
          <cell r="L38">
            <v>919</v>
          </cell>
          <cell r="Q38">
            <v>919</v>
          </cell>
          <cell r="V38">
            <v>907</v>
          </cell>
          <cell r="AA38">
            <v>907</v>
          </cell>
          <cell r="AF38">
            <v>935</v>
          </cell>
          <cell r="AK38">
            <v>935</v>
          </cell>
          <cell r="AP38">
            <v>1017</v>
          </cell>
          <cell r="AU38">
            <v>1017</v>
          </cell>
          <cell r="AZ38">
            <v>1128</v>
          </cell>
          <cell r="BE38">
            <v>1128</v>
          </cell>
          <cell r="BO38">
            <v>0</v>
          </cell>
          <cell r="BY38">
            <v>0</v>
          </cell>
          <cell r="CI38">
            <v>0</v>
          </cell>
          <cell r="CS38">
            <v>0</v>
          </cell>
          <cell r="DC38">
            <v>0</v>
          </cell>
          <cell r="DM38">
            <v>0</v>
          </cell>
          <cell r="DR38">
            <v>5825</v>
          </cell>
          <cell r="DS38">
            <v>0</v>
          </cell>
          <cell r="DT38">
            <v>0</v>
          </cell>
          <cell r="DU38">
            <v>0</v>
          </cell>
          <cell r="DV38">
            <v>0</v>
          </cell>
          <cell r="DW38">
            <v>5825</v>
          </cell>
          <cell r="DX38">
            <v>0</v>
          </cell>
          <cell r="DY38">
            <v>0</v>
          </cell>
          <cell r="DZ38">
            <v>0</v>
          </cell>
          <cell r="EA38">
            <v>0</v>
          </cell>
        </row>
        <row r="39">
          <cell r="B39">
            <v>459</v>
          </cell>
          <cell r="C39">
            <v>25</v>
          </cell>
          <cell r="D39">
            <v>30</v>
          </cell>
          <cell r="E39">
            <v>28</v>
          </cell>
          <cell r="F39">
            <v>250</v>
          </cell>
          <cell r="G39">
            <v>0</v>
          </cell>
          <cell r="H39">
            <v>0</v>
          </cell>
          <cell r="I39">
            <v>0</v>
          </cell>
          <cell r="J39">
            <v>0</v>
          </cell>
          <cell r="K39">
            <v>126</v>
          </cell>
          <cell r="L39">
            <v>409</v>
          </cell>
          <cell r="M39">
            <v>0</v>
          </cell>
          <cell r="N39">
            <v>0</v>
          </cell>
          <cell r="O39">
            <v>28</v>
          </cell>
          <cell r="P39">
            <v>255</v>
          </cell>
          <cell r="Q39">
            <v>0</v>
          </cell>
          <cell r="R39">
            <v>0</v>
          </cell>
          <cell r="S39">
            <v>0</v>
          </cell>
          <cell r="T39">
            <v>0</v>
          </cell>
          <cell r="U39">
            <v>126</v>
          </cell>
          <cell r="V39">
            <v>414</v>
          </cell>
          <cell r="W39">
            <v>0</v>
          </cell>
          <cell r="X39">
            <v>0</v>
          </cell>
          <cell r="Y39">
            <v>28</v>
          </cell>
          <cell r="Z39">
            <v>260</v>
          </cell>
          <cell r="AC39">
            <v>0</v>
          </cell>
          <cell r="AD39">
            <v>0</v>
          </cell>
          <cell r="AE39">
            <v>126</v>
          </cell>
          <cell r="AF39">
            <v>449</v>
          </cell>
          <cell r="AG39">
            <v>0</v>
          </cell>
          <cell r="AH39">
            <v>30</v>
          </cell>
          <cell r="AI39">
            <v>28</v>
          </cell>
          <cell r="AJ39">
            <v>265</v>
          </cell>
          <cell r="AM39">
            <v>0</v>
          </cell>
          <cell r="AN39">
            <v>0</v>
          </cell>
          <cell r="AO39">
            <v>126</v>
          </cell>
          <cell r="AP39">
            <v>424</v>
          </cell>
          <cell r="AQ39">
            <v>0</v>
          </cell>
          <cell r="AR39">
            <v>0</v>
          </cell>
          <cell r="AS39">
            <v>28</v>
          </cell>
          <cell r="AT39">
            <v>270</v>
          </cell>
          <cell r="AW39">
            <v>0</v>
          </cell>
          <cell r="AX39">
            <v>0</v>
          </cell>
          <cell r="AY39">
            <v>126</v>
          </cell>
          <cell r="AZ39">
            <v>429</v>
          </cell>
          <cell r="BA39">
            <v>0</v>
          </cell>
          <cell r="BB39">
            <v>0</v>
          </cell>
          <cell r="BC39">
            <v>28</v>
          </cell>
          <cell r="BD39">
            <v>275</v>
          </cell>
          <cell r="BG39">
            <v>0</v>
          </cell>
          <cell r="BH39">
            <v>0</v>
          </cell>
          <cell r="BI39">
            <v>126</v>
          </cell>
          <cell r="BJ39">
            <v>0</v>
          </cell>
          <cell r="BK39">
            <v>0</v>
          </cell>
          <cell r="BL39">
            <v>0</v>
          </cell>
          <cell r="BM39">
            <v>0</v>
          </cell>
          <cell r="BN39">
            <v>0</v>
          </cell>
          <cell r="BQ39">
            <v>0</v>
          </cell>
          <cell r="BR39">
            <v>0</v>
          </cell>
          <cell r="BS39">
            <v>0</v>
          </cell>
          <cell r="BT39">
            <v>0</v>
          </cell>
          <cell r="BU39">
            <v>0</v>
          </cell>
          <cell r="BV39">
            <v>0</v>
          </cell>
          <cell r="BW39">
            <v>0</v>
          </cell>
          <cell r="BX39">
            <v>0</v>
          </cell>
          <cell r="CA39">
            <v>0</v>
          </cell>
          <cell r="CB39">
            <v>0</v>
          </cell>
          <cell r="CC39">
            <v>0</v>
          </cell>
          <cell r="CD39">
            <v>0</v>
          </cell>
          <cell r="CE39">
            <v>0</v>
          </cell>
          <cell r="CF39">
            <v>0</v>
          </cell>
          <cell r="CG39">
            <v>0</v>
          </cell>
          <cell r="CH39">
            <v>0</v>
          </cell>
          <cell r="CK39">
            <v>0</v>
          </cell>
          <cell r="CL39">
            <v>0</v>
          </cell>
          <cell r="CM39">
            <v>0</v>
          </cell>
          <cell r="CN39">
            <v>0</v>
          </cell>
          <cell r="CO39">
            <v>0</v>
          </cell>
          <cell r="CP39">
            <v>0</v>
          </cell>
          <cell r="CQ39">
            <v>0</v>
          </cell>
          <cell r="CR39">
            <v>0</v>
          </cell>
          <cell r="CU39">
            <v>0</v>
          </cell>
          <cell r="CV39">
            <v>0</v>
          </cell>
          <cell r="CW39">
            <v>0</v>
          </cell>
          <cell r="CX39">
            <v>0</v>
          </cell>
          <cell r="CY39">
            <v>0</v>
          </cell>
          <cell r="CZ39">
            <v>0</v>
          </cell>
          <cell r="DA39">
            <v>0</v>
          </cell>
          <cell r="DB39">
            <v>0</v>
          </cell>
          <cell r="DE39">
            <v>0</v>
          </cell>
          <cell r="DF39">
            <v>0</v>
          </cell>
          <cell r="DG39">
            <v>0</v>
          </cell>
          <cell r="DH39">
            <v>0</v>
          </cell>
          <cell r="DI39">
            <v>0</v>
          </cell>
          <cell r="DJ39">
            <v>0</v>
          </cell>
          <cell r="DK39">
            <v>0</v>
          </cell>
          <cell r="DL39">
            <v>0</v>
          </cell>
          <cell r="DO39">
            <v>0</v>
          </cell>
          <cell r="DP39">
            <v>0</v>
          </cell>
          <cell r="DQ39">
            <v>0</v>
          </cell>
          <cell r="DR39">
            <v>2584</v>
          </cell>
          <cell r="DS39">
            <v>25</v>
          </cell>
          <cell r="DT39">
            <v>60</v>
          </cell>
          <cell r="DU39">
            <v>168</v>
          </cell>
          <cell r="DV39">
            <v>1575</v>
          </cell>
          <cell r="DW39">
            <v>0</v>
          </cell>
          <cell r="DX39">
            <v>0</v>
          </cell>
          <cell r="DY39">
            <v>0</v>
          </cell>
          <cell r="DZ39">
            <v>0</v>
          </cell>
          <cell r="EA39">
            <v>756</v>
          </cell>
        </row>
        <row r="40">
          <cell r="L40">
            <v>0</v>
          </cell>
          <cell r="V40">
            <v>0</v>
          </cell>
          <cell r="AF40">
            <v>0</v>
          </cell>
          <cell r="AP40">
            <v>0</v>
          </cell>
          <cell r="AZ40">
            <v>0</v>
          </cell>
          <cell r="DL40">
            <v>0</v>
          </cell>
          <cell r="DR40">
            <v>0</v>
          </cell>
          <cell r="DS40">
            <v>0</v>
          </cell>
          <cell r="DT40">
            <v>0</v>
          </cell>
          <cell r="DU40">
            <v>0</v>
          </cell>
          <cell r="DV40">
            <v>0</v>
          </cell>
          <cell r="DW40">
            <v>0</v>
          </cell>
          <cell r="DX40">
            <v>0</v>
          </cell>
          <cell r="DY40">
            <v>0</v>
          </cell>
          <cell r="DZ40">
            <v>0</v>
          </cell>
          <cell r="EA40">
            <v>0</v>
          </cell>
        </row>
        <row r="41">
          <cell r="L41">
            <v>0</v>
          </cell>
          <cell r="V41">
            <v>0</v>
          </cell>
          <cell r="AF41">
            <v>0</v>
          </cell>
          <cell r="AP41">
            <v>0</v>
          </cell>
          <cell r="AZ41">
            <v>0</v>
          </cell>
          <cell r="BN41">
            <v>0</v>
          </cell>
          <cell r="BX41">
            <v>0</v>
          </cell>
          <cell r="CH41">
            <v>0</v>
          </cell>
          <cell r="CR41">
            <v>0</v>
          </cell>
          <cell r="DB41">
            <v>0</v>
          </cell>
          <cell r="DL41">
            <v>0</v>
          </cell>
          <cell r="DR41">
            <v>0</v>
          </cell>
          <cell r="DS41">
            <v>0</v>
          </cell>
          <cell r="DT41">
            <v>0</v>
          </cell>
          <cell r="DU41">
            <v>0</v>
          </cell>
          <cell r="DV41">
            <v>0</v>
          </cell>
          <cell r="DW41">
            <v>0</v>
          </cell>
          <cell r="DX41">
            <v>0</v>
          </cell>
          <cell r="DY41">
            <v>0</v>
          </cell>
          <cell r="DZ41">
            <v>0</v>
          </cell>
          <cell r="EA41">
            <v>0</v>
          </cell>
        </row>
        <row r="42">
          <cell r="L42">
            <v>0</v>
          </cell>
          <cell r="V42">
            <v>0</v>
          </cell>
          <cell r="AF42">
            <v>0</v>
          </cell>
          <cell r="AP42">
            <v>0</v>
          </cell>
          <cell r="AZ42">
            <v>0</v>
          </cell>
          <cell r="BO42">
            <v>0</v>
          </cell>
          <cell r="BY42">
            <v>0</v>
          </cell>
          <cell r="CI42">
            <v>0</v>
          </cell>
          <cell r="CS42">
            <v>0</v>
          </cell>
          <cell r="DC42">
            <v>0</v>
          </cell>
          <cell r="DM42">
            <v>0</v>
          </cell>
          <cell r="DR42">
            <v>0</v>
          </cell>
          <cell r="DS42">
            <v>0</v>
          </cell>
          <cell r="DT42">
            <v>0</v>
          </cell>
          <cell r="DU42">
            <v>0</v>
          </cell>
          <cell r="DV42">
            <v>0</v>
          </cell>
          <cell r="DW42">
            <v>0</v>
          </cell>
          <cell r="DX42">
            <v>0</v>
          </cell>
          <cell r="DY42">
            <v>0</v>
          </cell>
          <cell r="DZ42">
            <v>0</v>
          </cell>
          <cell r="EA42">
            <v>0</v>
          </cell>
        </row>
        <row r="43">
          <cell r="L43">
            <v>0</v>
          </cell>
          <cell r="V43">
            <v>0</v>
          </cell>
          <cell r="AF43">
            <v>0</v>
          </cell>
          <cell r="AP43">
            <v>0</v>
          </cell>
          <cell r="AZ43">
            <v>0</v>
          </cell>
          <cell r="BQ43">
            <v>0</v>
          </cell>
          <cell r="CA43">
            <v>0</v>
          </cell>
          <cell r="CK43">
            <v>0</v>
          </cell>
          <cell r="CU43">
            <v>0</v>
          </cell>
          <cell r="DE43">
            <v>0</v>
          </cell>
          <cell r="DO43">
            <v>0</v>
          </cell>
          <cell r="DR43">
            <v>0</v>
          </cell>
          <cell r="DS43">
            <v>0</v>
          </cell>
          <cell r="DT43">
            <v>0</v>
          </cell>
          <cell r="DU43">
            <v>0</v>
          </cell>
          <cell r="DV43">
            <v>0</v>
          </cell>
          <cell r="DW43">
            <v>0</v>
          </cell>
          <cell r="DX43">
            <v>0</v>
          </cell>
          <cell r="DY43">
            <v>0</v>
          </cell>
          <cell r="DZ43">
            <v>0</v>
          </cell>
          <cell r="EA43">
            <v>0</v>
          </cell>
        </row>
        <row r="44">
          <cell r="B44">
            <v>6508.9731666666648</v>
          </cell>
          <cell r="C44">
            <v>182.13245835576416</v>
          </cell>
          <cell r="D44">
            <v>2480.7045512977334</v>
          </cell>
          <cell r="E44">
            <v>210.6790451801825</v>
          </cell>
          <cell r="F44">
            <v>696.1133440105059</v>
          </cell>
          <cell r="I44">
            <v>195.54079168909749</v>
          </cell>
          <cell r="J44">
            <v>275.55120801318168</v>
          </cell>
          <cell r="K44">
            <v>2468.2517681201998</v>
          </cell>
          <cell r="L44">
            <v>6521.3227121212112</v>
          </cell>
          <cell r="M44">
            <v>182.13245835576416</v>
          </cell>
          <cell r="N44">
            <v>2480.7045512977334</v>
          </cell>
          <cell r="O44">
            <v>210.6790451801825</v>
          </cell>
          <cell r="P44">
            <v>697.94288946505139</v>
          </cell>
          <cell r="S44">
            <v>195.54079168909749</v>
          </cell>
          <cell r="T44">
            <v>284.86029892227259</v>
          </cell>
          <cell r="U44">
            <v>2469.4626772111087</v>
          </cell>
          <cell r="V44">
            <v>6780.5627121212101</v>
          </cell>
          <cell r="W44">
            <v>182.25245835576416</v>
          </cell>
          <cell r="X44">
            <v>2726.0370512977333</v>
          </cell>
          <cell r="Y44">
            <v>210.6790451801825</v>
          </cell>
          <cell r="Z44">
            <v>704.2303894650513</v>
          </cell>
          <cell r="AC44">
            <v>195.54079168909749</v>
          </cell>
          <cell r="AD44">
            <v>284.86029892227259</v>
          </cell>
          <cell r="AE44">
            <v>2476.9626772111087</v>
          </cell>
          <cell r="AF44">
            <v>7333.312712121211</v>
          </cell>
          <cell r="AG44">
            <v>182.25245835576416</v>
          </cell>
          <cell r="AH44">
            <v>3217.842606853289</v>
          </cell>
          <cell r="AI44">
            <v>210.6790451801825</v>
          </cell>
          <cell r="AJ44">
            <v>705.40816724282911</v>
          </cell>
          <cell r="AM44">
            <v>196.14079168909748</v>
          </cell>
          <cell r="AN44">
            <v>286.52696558893928</v>
          </cell>
          <cell r="AO44">
            <v>2534.4626772111087</v>
          </cell>
          <cell r="AP44">
            <v>7413.625212121211</v>
          </cell>
          <cell r="AQ44">
            <v>185.25245835576416</v>
          </cell>
          <cell r="AR44">
            <v>3292.780106853289</v>
          </cell>
          <cell r="AS44">
            <v>210.6790451801825</v>
          </cell>
          <cell r="AT44">
            <v>705.40816724282911</v>
          </cell>
          <cell r="AW44">
            <v>198.51579168909748</v>
          </cell>
          <cell r="AX44">
            <v>286.52696558893928</v>
          </cell>
          <cell r="AY44">
            <v>2534.4626772111087</v>
          </cell>
          <cell r="AZ44">
            <v>8311.6180692640664</v>
          </cell>
          <cell r="BA44">
            <v>185.25245835576416</v>
          </cell>
          <cell r="BB44">
            <v>3484.8872497104317</v>
          </cell>
          <cell r="BC44">
            <v>213.27904518018249</v>
          </cell>
          <cell r="BD44">
            <v>1408.6938815285434</v>
          </cell>
          <cell r="BG44">
            <v>198.51579168909748</v>
          </cell>
          <cell r="BH44">
            <v>286.52696558893928</v>
          </cell>
          <cell r="BI44">
            <v>2534.4626772111087</v>
          </cell>
          <cell r="BK44">
            <v>0</v>
          </cell>
          <cell r="BL44">
            <v>0</v>
          </cell>
          <cell r="BM44">
            <v>0</v>
          </cell>
          <cell r="BN44">
            <v>0</v>
          </cell>
          <cell r="BQ44">
            <v>0</v>
          </cell>
          <cell r="BR44">
            <v>0</v>
          </cell>
          <cell r="BS44">
            <v>0</v>
          </cell>
          <cell r="BU44">
            <v>0</v>
          </cell>
          <cell r="BV44">
            <v>0</v>
          </cell>
          <cell r="BW44">
            <v>0</v>
          </cell>
          <cell r="BX44">
            <v>0</v>
          </cell>
          <cell r="CA44">
            <v>0</v>
          </cell>
          <cell r="CB44">
            <v>0</v>
          </cell>
          <cell r="CC44">
            <v>0</v>
          </cell>
          <cell r="CE44">
            <v>0</v>
          </cell>
          <cell r="CF44">
            <v>0</v>
          </cell>
          <cell r="CG44">
            <v>0</v>
          </cell>
          <cell r="CH44">
            <v>0</v>
          </cell>
          <cell r="CK44">
            <v>0</v>
          </cell>
          <cell r="CL44">
            <v>0</v>
          </cell>
          <cell r="CM44">
            <v>0</v>
          </cell>
          <cell r="CO44">
            <v>0</v>
          </cell>
          <cell r="CP44">
            <v>0</v>
          </cell>
          <cell r="CQ44">
            <v>0</v>
          </cell>
          <cell r="CR44">
            <v>0</v>
          </cell>
          <cell r="CU44">
            <v>0</v>
          </cell>
          <cell r="CV44">
            <v>0</v>
          </cell>
          <cell r="CW44">
            <v>0</v>
          </cell>
          <cell r="CY44">
            <v>0</v>
          </cell>
          <cell r="CZ44">
            <v>0</v>
          </cell>
          <cell r="DA44">
            <v>0</v>
          </cell>
          <cell r="DB44">
            <v>0</v>
          </cell>
          <cell r="DE44">
            <v>0</v>
          </cell>
          <cell r="DF44">
            <v>0</v>
          </cell>
          <cell r="DG44">
            <v>0</v>
          </cell>
          <cell r="DI44">
            <v>0</v>
          </cell>
          <cell r="DJ44">
            <v>0</v>
          </cell>
          <cell r="DK44">
            <v>0</v>
          </cell>
          <cell r="DL44">
            <v>0</v>
          </cell>
          <cell r="DO44">
            <v>0</v>
          </cell>
          <cell r="DP44">
            <v>0</v>
          </cell>
          <cell r="DQ44">
            <v>0</v>
          </cell>
          <cell r="DR44">
            <v>42869.414584415572</v>
          </cell>
          <cell r="DS44">
            <v>1099.274750134585</v>
          </cell>
          <cell r="DT44">
            <v>17682.956117310208</v>
          </cell>
          <cell r="DU44">
            <v>1266.674271081095</v>
          </cell>
          <cell r="DV44">
            <v>4917.7968389548105</v>
          </cell>
          <cell r="DW44">
            <v>0</v>
          </cell>
          <cell r="DX44">
            <v>0</v>
          </cell>
          <cell r="DY44">
            <v>1179.794750134585</v>
          </cell>
          <cell r="DZ44">
            <v>1704.8527026245447</v>
          </cell>
          <cell r="EA44">
            <v>15018.065154175743</v>
          </cell>
        </row>
        <row r="45">
          <cell r="L45">
            <v>0</v>
          </cell>
          <cell r="V45">
            <v>0</v>
          </cell>
          <cell r="Z45">
            <v>0</v>
          </cell>
          <cell r="AF45">
            <v>0</v>
          </cell>
          <cell r="AP45">
            <v>0</v>
          </cell>
          <cell r="AZ45">
            <v>0</v>
          </cell>
          <cell r="BN45">
            <v>0</v>
          </cell>
          <cell r="BX45">
            <v>0</v>
          </cell>
          <cell r="CH45">
            <v>0</v>
          </cell>
          <cell r="CR45">
            <v>0</v>
          </cell>
          <cell r="DB45">
            <v>0</v>
          </cell>
          <cell r="DL45">
            <v>0</v>
          </cell>
          <cell r="DR45">
            <v>0</v>
          </cell>
          <cell r="DS45">
            <v>0</v>
          </cell>
          <cell r="DT45">
            <v>0</v>
          </cell>
          <cell r="DU45">
            <v>0</v>
          </cell>
          <cell r="DV45">
            <v>0</v>
          </cell>
          <cell r="DW45">
            <v>0</v>
          </cell>
          <cell r="DX45">
            <v>0</v>
          </cell>
          <cell r="DY45">
            <v>0</v>
          </cell>
          <cell r="DZ45">
            <v>0</v>
          </cell>
          <cell r="EA45">
            <v>0</v>
          </cell>
        </row>
        <row r="46">
          <cell r="B46">
            <v>-111</v>
          </cell>
          <cell r="G46">
            <v>-111</v>
          </cell>
          <cell r="L46">
            <v>-164</v>
          </cell>
          <cell r="Q46">
            <v>-164</v>
          </cell>
          <cell r="V46">
            <v>-349</v>
          </cell>
          <cell r="AA46">
            <v>-349</v>
          </cell>
          <cell r="AF46">
            <v>-274</v>
          </cell>
          <cell r="AK46">
            <v>-274</v>
          </cell>
          <cell r="AP46">
            <v>-222</v>
          </cell>
          <cell r="AU46">
            <v>-222</v>
          </cell>
          <cell r="AZ46">
            <v>-133</v>
          </cell>
          <cell r="BE46">
            <v>-133</v>
          </cell>
          <cell r="DR46">
            <v>-1253</v>
          </cell>
          <cell r="DS46">
            <v>0</v>
          </cell>
          <cell r="DT46">
            <v>0</v>
          </cell>
          <cell r="DU46">
            <v>0</v>
          </cell>
          <cell r="DV46">
            <v>0</v>
          </cell>
          <cell r="DW46">
            <v>-1253</v>
          </cell>
          <cell r="DX46">
            <v>0</v>
          </cell>
          <cell r="DY46">
            <v>0</v>
          </cell>
          <cell r="DZ46">
            <v>0</v>
          </cell>
          <cell r="EA46">
            <v>0</v>
          </cell>
        </row>
        <row r="47">
          <cell r="C47">
            <v>198.66258840601</v>
          </cell>
          <cell r="D47">
            <v>2383.9510608721198</v>
          </cell>
          <cell r="E47">
            <v>595.98776521802995</v>
          </cell>
          <cell r="F47">
            <v>397.32517681202</v>
          </cell>
          <cell r="I47">
            <v>198.66258840601</v>
          </cell>
          <cell r="J47">
            <v>198.66258840601</v>
          </cell>
          <cell r="K47">
            <v>-3973.2517681201998</v>
          </cell>
          <cell r="M47">
            <v>199.37313386055544</v>
          </cell>
          <cell r="N47">
            <v>2392.477606326665</v>
          </cell>
          <cell r="O47">
            <v>598.11940158166624</v>
          </cell>
          <cell r="P47">
            <v>398.74626772111088</v>
          </cell>
          <cell r="S47">
            <v>199.37313386055544</v>
          </cell>
          <cell r="T47">
            <v>199.37313386055544</v>
          </cell>
          <cell r="U47">
            <v>-3987.4626772111087</v>
          </cell>
          <cell r="W47">
            <v>201.74813386055544</v>
          </cell>
          <cell r="X47">
            <v>2420.977606326665</v>
          </cell>
          <cell r="Y47">
            <v>605.24440158166624</v>
          </cell>
          <cell r="Z47">
            <v>403.49626772111088</v>
          </cell>
          <cell r="AC47">
            <v>201.74813386055544</v>
          </cell>
          <cell r="AD47">
            <v>201.74813386055544</v>
          </cell>
          <cell r="AE47">
            <v>-4034.9626772111087</v>
          </cell>
          <cell r="AF47">
            <v>0</v>
          </cell>
          <cell r="AG47">
            <v>205.34813386055544</v>
          </cell>
          <cell r="AH47">
            <v>2464.1776063266652</v>
          </cell>
          <cell r="AI47">
            <v>616.04440158166631</v>
          </cell>
          <cell r="AJ47">
            <v>410.69626772111087</v>
          </cell>
          <cell r="AM47">
            <v>205.34813386055544</v>
          </cell>
          <cell r="AN47">
            <v>205.34813386055544</v>
          </cell>
          <cell r="AO47">
            <v>-4106.9626772111087</v>
          </cell>
          <cell r="AP47">
            <v>0</v>
          </cell>
          <cell r="AQ47">
            <v>206.02313386055545</v>
          </cell>
          <cell r="AR47">
            <v>2472.2776063266651</v>
          </cell>
          <cell r="AS47">
            <v>618.06940158166628</v>
          </cell>
          <cell r="AT47">
            <v>412.04626772111089</v>
          </cell>
          <cell r="AW47">
            <v>206.02313386055545</v>
          </cell>
          <cell r="AX47">
            <v>206.02313386055545</v>
          </cell>
          <cell r="AY47">
            <v>-4120.4626772111087</v>
          </cell>
          <cell r="AZ47">
            <v>0</v>
          </cell>
          <cell r="BA47">
            <v>206.67313386055545</v>
          </cell>
          <cell r="BB47">
            <v>2480.0776063266653</v>
          </cell>
          <cell r="BC47">
            <v>620.01940158166633</v>
          </cell>
          <cell r="BD47">
            <v>413.34626772111091</v>
          </cell>
          <cell r="BG47">
            <v>206.67313386055545</v>
          </cell>
          <cell r="BH47">
            <v>206.67313386055545</v>
          </cell>
          <cell r="BI47">
            <v>-4133.4626772111087</v>
          </cell>
          <cell r="BK47">
            <v>0</v>
          </cell>
          <cell r="BL47">
            <v>0</v>
          </cell>
          <cell r="BM47">
            <v>0</v>
          </cell>
          <cell r="BN47">
            <v>0</v>
          </cell>
          <cell r="BQ47">
            <v>0</v>
          </cell>
          <cell r="BR47">
            <v>0</v>
          </cell>
          <cell r="BS47">
            <v>0</v>
          </cell>
          <cell r="BU47">
            <v>0</v>
          </cell>
          <cell r="BV47">
            <v>0</v>
          </cell>
          <cell r="BW47">
            <v>0</v>
          </cell>
          <cell r="BX47">
            <v>0</v>
          </cell>
          <cell r="CA47">
            <v>0</v>
          </cell>
          <cell r="CB47">
            <v>0</v>
          </cell>
          <cell r="CC47">
            <v>0</v>
          </cell>
          <cell r="CE47">
            <v>0</v>
          </cell>
          <cell r="CF47">
            <v>0</v>
          </cell>
          <cell r="CG47">
            <v>0</v>
          </cell>
          <cell r="CH47">
            <v>0</v>
          </cell>
          <cell r="CK47">
            <v>0</v>
          </cell>
          <cell r="CL47">
            <v>0</v>
          </cell>
          <cell r="CM47">
            <v>0</v>
          </cell>
          <cell r="CO47">
            <v>0</v>
          </cell>
          <cell r="CP47">
            <v>0</v>
          </cell>
          <cell r="CQ47">
            <v>0</v>
          </cell>
          <cell r="CR47">
            <v>0</v>
          </cell>
          <cell r="CU47">
            <v>0</v>
          </cell>
          <cell r="CV47">
            <v>0</v>
          </cell>
          <cell r="CW47">
            <v>0</v>
          </cell>
          <cell r="CY47">
            <v>0</v>
          </cell>
          <cell r="CZ47">
            <v>0</v>
          </cell>
          <cell r="DA47">
            <v>0</v>
          </cell>
          <cell r="DB47">
            <v>0</v>
          </cell>
          <cell r="DE47">
            <v>0</v>
          </cell>
          <cell r="DF47">
            <v>0</v>
          </cell>
          <cell r="DG47">
            <v>0</v>
          </cell>
          <cell r="DI47">
            <v>0</v>
          </cell>
          <cell r="DJ47">
            <v>0</v>
          </cell>
          <cell r="DK47">
            <v>0</v>
          </cell>
          <cell r="DL47">
            <v>0</v>
          </cell>
          <cell r="DO47">
            <v>0</v>
          </cell>
          <cell r="DP47">
            <v>0</v>
          </cell>
          <cell r="DQ47">
            <v>0</v>
          </cell>
          <cell r="DS47">
            <v>1217.8282577087873</v>
          </cell>
          <cell r="DT47">
            <v>14613.939092505445</v>
          </cell>
          <cell r="DU47">
            <v>3653.4847731263612</v>
          </cell>
          <cell r="DV47">
            <v>2435.6565154175746</v>
          </cell>
          <cell r="DY47">
            <v>1217.8282577087873</v>
          </cell>
          <cell r="DZ47">
            <v>1217.8282577087873</v>
          </cell>
          <cell r="EA47">
            <v>-24356.565154175743</v>
          </cell>
        </row>
        <row r="48">
          <cell r="C48">
            <v>709.10464702917159</v>
          </cell>
          <cell r="E48">
            <v>-1418.2092940583432</v>
          </cell>
          <cell r="I48">
            <v>709.10464702917159</v>
          </cell>
          <cell r="M48">
            <v>707.43843906719894</v>
          </cell>
          <cell r="O48">
            <v>-1414.8768781343979</v>
          </cell>
          <cell r="S48">
            <v>707.43843906719894</v>
          </cell>
          <cell r="W48">
            <v>713.54150038976718</v>
          </cell>
          <cell r="Y48">
            <v>-1427.0830007795344</v>
          </cell>
          <cell r="AC48">
            <v>713.54150038976718</v>
          </cell>
          <cell r="AF48">
            <v>0</v>
          </cell>
          <cell r="AG48">
            <v>1449.4877681766893</v>
          </cell>
          <cell r="AI48">
            <v>-1449.4877681766893</v>
          </cell>
          <cell r="AP48">
            <v>0</v>
          </cell>
          <cell r="AQ48">
            <v>1438.4439484919526</v>
          </cell>
          <cell r="AS48">
            <v>-1438.4439484919526</v>
          </cell>
          <cell r="AZ48">
            <v>0</v>
          </cell>
          <cell r="BA48">
            <v>1454.5179777114836</v>
          </cell>
          <cell r="BC48">
            <v>-1454.5179777114836</v>
          </cell>
          <cell r="BK48">
            <v>0</v>
          </cell>
          <cell r="BM48">
            <v>0</v>
          </cell>
          <cell r="BQ48">
            <v>0</v>
          </cell>
          <cell r="BU48">
            <v>0</v>
          </cell>
          <cell r="BW48">
            <v>0</v>
          </cell>
          <cell r="CA48">
            <v>0</v>
          </cell>
          <cell r="CE48">
            <v>0</v>
          </cell>
          <cell r="CG48">
            <v>0</v>
          </cell>
          <cell r="CK48">
            <v>0</v>
          </cell>
          <cell r="CO48">
            <v>0</v>
          </cell>
          <cell r="CQ48">
            <v>0</v>
          </cell>
          <cell r="CU48">
            <v>0</v>
          </cell>
          <cell r="CY48">
            <v>0</v>
          </cell>
          <cell r="DA48">
            <v>0</v>
          </cell>
          <cell r="DE48">
            <v>0</v>
          </cell>
          <cell r="DI48">
            <v>0</v>
          </cell>
          <cell r="DK48">
            <v>0</v>
          </cell>
          <cell r="DO48">
            <v>0</v>
          </cell>
          <cell r="DS48">
            <v>4301.3094336762006</v>
          </cell>
          <cell r="DU48">
            <v>-8602.6188673524011</v>
          </cell>
          <cell r="DY48">
            <v>4301.3094336762006</v>
          </cell>
        </row>
        <row r="49">
          <cell r="B49">
            <v>28155.573166666662</v>
          </cell>
          <cell r="C49">
            <v>1523.4617852942138</v>
          </cell>
          <cell r="D49">
            <v>13851.726200405146</v>
          </cell>
          <cell r="E49">
            <v>0</v>
          </cell>
          <cell r="F49">
            <v>6189.0855796460555</v>
          </cell>
          <cell r="G49">
            <v>3862</v>
          </cell>
          <cell r="H49">
            <v>0</v>
          </cell>
          <cell r="I49">
            <v>1551.5760009804881</v>
          </cell>
          <cell r="J49">
            <v>1177.7236003407602</v>
          </cell>
          <cell r="K49">
            <v>0</v>
          </cell>
          <cell r="L49">
            <v>26620.322712121211</v>
          </cell>
          <cell r="M49">
            <v>1468.9048155972441</v>
          </cell>
          <cell r="N49">
            <v>13797.358628212633</v>
          </cell>
          <cell r="O49">
            <v>0</v>
          </cell>
          <cell r="P49">
            <v>4805.8068042449859</v>
          </cell>
          <cell r="Q49">
            <v>3825</v>
          </cell>
          <cell r="R49">
            <v>0</v>
          </cell>
          <cell r="S49">
            <v>1535.0778548129301</v>
          </cell>
          <cell r="T49">
            <v>1188.1746092534163</v>
          </cell>
          <cell r="U49">
            <v>0</v>
          </cell>
          <cell r="V49">
            <v>27750.562712121209</v>
          </cell>
          <cell r="W49">
            <v>1479.5897665776361</v>
          </cell>
          <cell r="X49">
            <v>14690.976595340662</v>
          </cell>
          <cell r="Y49">
            <v>0</v>
          </cell>
          <cell r="Z49">
            <v>4966.0934391930823</v>
          </cell>
          <cell r="AA49">
            <v>3888</v>
          </cell>
          <cell r="AB49">
            <v>0</v>
          </cell>
          <cell r="AC49">
            <v>1576.9092417794816</v>
          </cell>
          <cell r="AD49">
            <v>1148.9936692303481</v>
          </cell>
          <cell r="AE49">
            <v>0</v>
          </cell>
          <cell r="AF49">
            <v>33742.312712121209</v>
          </cell>
          <cell r="AG49">
            <v>2313.9022781169615</v>
          </cell>
          <cell r="AH49">
            <v>15794.975230480992</v>
          </cell>
          <cell r="AI49">
            <v>0</v>
          </cell>
          <cell r="AJ49">
            <v>9832.9469955175718</v>
          </cell>
          <cell r="AK49">
            <v>3714</v>
          </cell>
          <cell r="AL49">
            <v>0</v>
          </cell>
          <cell r="AM49">
            <v>867.79419275457406</v>
          </cell>
          <cell r="AN49">
            <v>1218.6940152511095</v>
          </cell>
          <cell r="AO49">
            <v>0</v>
          </cell>
          <cell r="AP49">
            <v>28322.625212121209</v>
          </cell>
          <cell r="AQ49">
            <v>2211.1659074902791</v>
          </cell>
          <cell r="AR49">
            <v>15317.725533249159</v>
          </cell>
          <cell r="AS49">
            <v>0</v>
          </cell>
          <cell r="AT49">
            <v>4817.2918052061541</v>
          </cell>
          <cell r="AU49">
            <v>3867</v>
          </cell>
          <cell r="AV49">
            <v>0</v>
          </cell>
          <cell r="AW49">
            <v>904.07525772958365</v>
          </cell>
          <cell r="AX49">
            <v>1205.3667084460344</v>
          </cell>
          <cell r="AY49">
            <v>0</v>
          </cell>
          <cell r="AZ49">
            <v>30064.618069264066</v>
          </cell>
          <cell r="BA49">
            <v>2242.8730201392605</v>
          </cell>
          <cell r="BB49">
            <v>16185.355859497304</v>
          </cell>
          <cell r="BC49">
            <v>0</v>
          </cell>
          <cell r="BD49">
            <v>5526.9086613603804</v>
          </cell>
          <cell r="BE49">
            <v>3995</v>
          </cell>
          <cell r="BF49">
            <v>0</v>
          </cell>
          <cell r="BG49">
            <v>893.11664565730382</v>
          </cell>
          <cell r="BH49">
            <v>1221.3638826098177</v>
          </cell>
          <cell r="BI49">
            <v>0</v>
          </cell>
          <cell r="BJ49">
            <v>0</v>
          </cell>
          <cell r="BK49">
            <v>0</v>
          </cell>
          <cell r="BL49">
            <v>0</v>
          </cell>
          <cell r="BM49">
            <v>0</v>
          </cell>
          <cell r="BN49">
            <v>0</v>
          </cell>
          <cell r="BO49">
            <v>0</v>
          </cell>
          <cell r="BP49">
            <v>0</v>
          </cell>
          <cell r="BQ49">
            <v>0</v>
          </cell>
          <cell r="BR49">
            <v>0</v>
          </cell>
          <cell r="BS49">
            <v>0</v>
          </cell>
          <cell r="BT49">
            <v>0</v>
          </cell>
          <cell r="BU49">
            <v>0</v>
          </cell>
          <cell r="BV49">
            <v>0</v>
          </cell>
          <cell r="BW49">
            <v>0</v>
          </cell>
          <cell r="BX49">
            <v>0</v>
          </cell>
          <cell r="BY49">
            <v>0</v>
          </cell>
          <cell r="BZ49">
            <v>0</v>
          </cell>
          <cell r="CA49">
            <v>0</v>
          </cell>
          <cell r="CB49">
            <v>0</v>
          </cell>
          <cell r="CC49">
            <v>0</v>
          </cell>
          <cell r="CD49">
            <v>0</v>
          </cell>
          <cell r="CE49">
            <v>0</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0</v>
          </cell>
          <cell r="DE49">
            <v>0</v>
          </cell>
          <cell r="DF49">
            <v>0</v>
          </cell>
          <cell r="DG49">
            <v>0</v>
          </cell>
          <cell r="DH49">
            <v>0</v>
          </cell>
          <cell r="DI49">
            <v>0</v>
          </cell>
          <cell r="DJ49">
            <v>0</v>
          </cell>
          <cell r="DK49">
            <v>0</v>
          </cell>
          <cell r="DL49">
            <v>0</v>
          </cell>
          <cell r="DM49">
            <v>0</v>
          </cell>
          <cell r="DN49">
            <v>0</v>
          </cell>
          <cell r="DO49">
            <v>0</v>
          </cell>
          <cell r="DP49">
            <v>0</v>
          </cell>
          <cell r="DQ49">
            <v>0</v>
          </cell>
          <cell r="DR49">
            <v>174656.01458441559</v>
          </cell>
          <cell r="DS49">
            <v>9068.672726025532</v>
          </cell>
          <cell r="DT49">
            <v>89638.118047185897</v>
          </cell>
          <cell r="DU49">
            <v>0</v>
          </cell>
          <cell r="DV49">
            <v>36138.133285168231</v>
          </cell>
          <cell r="DW49">
            <v>23151</v>
          </cell>
          <cell r="DX49">
            <v>0</v>
          </cell>
          <cell r="DY49">
            <v>9499.7740409044254</v>
          </cell>
          <cell r="DZ49">
            <v>7160.3164851314868</v>
          </cell>
          <cell r="EA49">
            <v>0</v>
          </cell>
        </row>
      </sheetData>
      <sheetData sheetId="5"/>
      <sheetData sheetId="6"/>
      <sheetData sheetId="7"/>
      <sheetData sheetId="8"/>
      <sheetData sheetId="9"/>
      <sheetData sheetId="1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s>
    <sheetDataSet>
      <sheetData sheetId="0" refreshError="1"/>
      <sheetData sheetId="1">
        <row r="145">
          <cell r="B145" t="str">
            <v>205-252</v>
          </cell>
          <cell r="C145">
            <v>101.91250000000001</v>
          </cell>
          <cell r="D145">
            <v>98</v>
          </cell>
          <cell r="E145">
            <v>9987.4250000000011</v>
          </cell>
          <cell r="F145">
            <v>1.3</v>
          </cell>
          <cell r="G145">
            <v>127.4</v>
          </cell>
          <cell r="H145">
            <v>79.3</v>
          </cell>
          <cell r="I145">
            <v>7771.4</v>
          </cell>
          <cell r="J145">
            <v>15.49</v>
          </cell>
          <cell r="K145">
            <v>12.392000000000001</v>
          </cell>
          <cell r="L145">
            <v>1214.4160000000002</v>
          </cell>
          <cell r="M145">
            <v>9113.2159999999985</v>
          </cell>
          <cell r="N145">
            <v>8.9205000000000254</v>
          </cell>
          <cell r="O145">
            <v>874.20900000000256</v>
          </cell>
          <cell r="P145">
            <v>8.7530970195020483</v>
          </cell>
        </row>
        <row r="146">
          <cell r="B146" t="str">
            <v>205-742</v>
          </cell>
          <cell r="C146">
            <v>98.625</v>
          </cell>
          <cell r="D146">
            <v>104</v>
          </cell>
          <cell r="E146">
            <v>10257</v>
          </cell>
          <cell r="F146">
            <v>1.3000000000000003</v>
          </cell>
          <cell r="G146">
            <v>135.20000000000002</v>
          </cell>
          <cell r="H146">
            <v>73.010000000000005</v>
          </cell>
          <cell r="I146">
            <v>7593.0400000000009</v>
          </cell>
          <cell r="J146">
            <v>12.400000000000004</v>
          </cell>
          <cell r="K146">
            <v>9.9200000000000035</v>
          </cell>
          <cell r="L146">
            <v>1031.6800000000003</v>
          </cell>
          <cell r="M146">
            <v>8759.9200000000019</v>
          </cell>
          <cell r="N146">
            <v>14.394999999999982</v>
          </cell>
          <cell r="O146">
            <v>1497.0799999999981</v>
          </cell>
          <cell r="P146">
            <v>14.595690747781983</v>
          </cell>
        </row>
        <row r="147">
          <cell r="B147" t="str">
            <v>205-827</v>
          </cell>
          <cell r="C147">
            <v>101.91250000000001</v>
          </cell>
          <cell r="D147">
            <v>39</v>
          </cell>
          <cell r="E147">
            <v>3974.5875000000001</v>
          </cell>
          <cell r="F147">
            <v>1.3</v>
          </cell>
          <cell r="G147">
            <v>50.7</v>
          </cell>
          <cell r="H147">
            <v>0</v>
          </cell>
          <cell r="I147">
            <v>0</v>
          </cell>
          <cell r="J147">
            <v>0</v>
          </cell>
          <cell r="K147">
            <v>0</v>
          </cell>
          <cell r="L147">
            <v>0</v>
          </cell>
          <cell r="M147">
            <v>50.7</v>
          </cell>
          <cell r="N147">
            <v>100.61250000000001</v>
          </cell>
          <cell r="O147">
            <v>3923.8875000000003</v>
          </cell>
          <cell r="P147">
            <v>98.724395927879314</v>
          </cell>
        </row>
        <row r="148">
          <cell r="B148" t="str">
            <v>205D827</v>
          </cell>
          <cell r="C148">
            <v>101.91249999999999</v>
          </cell>
          <cell r="D148">
            <v>50</v>
          </cell>
          <cell r="E148">
            <v>5095.625</v>
          </cell>
          <cell r="F148">
            <v>1.3</v>
          </cell>
          <cell r="G148">
            <v>65</v>
          </cell>
          <cell r="H148">
            <v>0</v>
          </cell>
          <cell r="I148">
            <v>0</v>
          </cell>
          <cell r="J148">
            <v>0</v>
          </cell>
          <cell r="K148">
            <v>0</v>
          </cell>
          <cell r="L148">
            <v>0</v>
          </cell>
          <cell r="M148">
            <v>65</v>
          </cell>
          <cell r="N148">
            <v>100.6125</v>
          </cell>
          <cell r="O148">
            <v>5030.625</v>
          </cell>
          <cell r="P148">
            <v>98.724395927879314</v>
          </cell>
        </row>
        <row r="149">
          <cell r="B149" t="str">
            <v>205L252</v>
          </cell>
          <cell r="C149">
            <v>101.91249999999999</v>
          </cell>
          <cell r="D149">
            <v>255</v>
          </cell>
          <cell r="E149">
            <v>25987.6875</v>
          </cell>
          <cell r="F149">
            <v>1.3</v>
          </cell>
          <cell r="G149">
            <v>331.5</v>
          </cell>
          <cell r="H149">
            <v>83.27</v>
          </cell>
          <cell r="I149">
            <v>21233.85</v>
          </cell>
          <cell r="J149">
            <v>15.32</v>
          </cell>
          <cell r="K149">
            <v>12.256</v>
          </cell>
          <cell r="L149">
            <v>3125.28</v>
          </cell>
          <cell r="M149">
            <v>24690.629999999997</v>
          </cell>
          <cell r="N149">
            <v>5.0865000000000107</v>
          </cell>
          <cell r="O149">
            <v>1297.0575000000026</v>
          </cell>
          <cell r="P149">
            <v>4.9910462406476253</v>
          </cell>
        </row>
        <row r="150">
          <cell r="B150" t="str">
            <v>209-192</v>
          </cell>
          <cell r="C150">
            <v>98.625</v>
          </cell>
          <cell r="D150">
            <v>1046</v>
          </cell>
          <cell r="E150">
            <v>103161.75</v>
          </cell>
          <cell r="F150">
            <v>1.3</v>
          </cell>
          <cell r="G150">
            <v>1359.8</v>
          </cell>
          <cell r="H150">
            <v>141</v>
          </cell>
          <cell r="I150">
            <v>147486</v>
          </cell>
          <cell r="J150">
            <v>13.490000000000002</v>
          </cell>
          <cell r="K150">
            <v>10.792000000000002</v>
          </cell>
          <cell r="L150">
            <v>11288.432000000003</v>
          </cell>
          <cell r="M150">
            <v>160134.23199999999</v>
          </cell>
          <cell r="N150">
            <v>-54.466999999999992</v>
          </cell>
          <cell r="O150">
            <v>-56972.481999999989</v>
          </cell>
          <cell r="P150">
            <v>-55.226362484157157</v>
          </cell>
        </row>
        <row r="151">
          <cell r="B151" t="str">
            <v>209A340</v>
          </cell>
          <cell r="C151">
            <v>98.625</v>
          </cell>
          <cell r="D151">
            <v>455</v>
          </cell>
          <cell r="E151">
            <v>44874.375</v>
          </cell>
          <cell r="F151">
            <v>1.3</v>
          </cell>
          <cell r="G151">
            <v>591.5</v>
          </cell>
          <cell r="H151">
            <v>92.74</v>
          </cell>
          <cell r="I151">
            <v>42196.7</v>
          </cell>
          <cell r="J151">
            <v>13</v>
          </cell>
          <cell r="K151">
            <v>10.4</v>
          </cell>
          <cell r="L151">
            <v>4732</v>
          </cell>
          <cell r="M151">
            <v>47520.2</v>
          </cell>
          <cell r="N151">
            <v>-5.8149999999999933</v>
          </cell>
          <cell r="O151">
            <v>-2645.8249999999971</v>
          </cell>
          <cell r="P151">
            <v>-5.8960709759188781</v>
          </cell>
        </row>
        <row r="152">
          <cell r="B152" t="str">
            <v>217-723</v>
          </cell>
          <cell r="C152">
            <v>101.91249999999999</v>
          </cell>
          <cell r="D152">
            <v>194</v>
          </cell>
          <cell r="E152">
            <v>19771.024999999998</v>
          </cell>
          <cell r="F152">
            <v>1.3</v>
          </cell>
          <cell r="G152">
            <v>252.20000000000002</v>
          </cell>
          <cell r="H152">
            <v>148.13999999999999</v>
          </cell>
          <cell r="I152">
            <v>28739.159999999996</v>
          </cell>
          <cell r="J152">
            <v>16</v>
          </cell>
          <cell r="K152">
            <v>12.8</v>
          </cell>
          <cell r="L152">
            <v>2483.2000000000003</v>
          </cell>
          <cell r="M152">
            <v>31474.559999999998</v>
          </cell>
          <cell r="N152">
            <v>-60.327500000000001</v>
          </cell>
          <cell r="O152">
            <v>-11703.535</v>
          </cell>
          <cell r="P152">
            <v>-59.195388200662336</v>
          </cell>
        </row>
        <row r="153">
          <cell r="B153" t="str">
            <v>230L056</v>
          </cell>
          <cell r="C153">
            <v>134.78749999999999</v>
          </cell>
          <cell r="D153">
            <v>3399</v>
          </cell>
          <cell r="E153">
            <v>458142.71249999997</v>
          </cell>
          <cell r="F153">
            <v>1.3</v>
          </cell>
          <cell r="G153">
            <v>4418.7</v>
          </cell>
          <cell r="H153">
            <v>164.16</v>
          </cell>
          <cell r="I153">
            <v>557979.84</v>
          </cell>
          <cell r="J153">
            <v>13.970000000000002</v>
          </cell>
          <cell r="K153">
            <v>11.176000000000002</v>
          </cell>
          <cell r="L153">
            <v>37987.224000000009</v>
          </cell>
          <cell r="M153">
            <v>600385.76399999997</v>
          </cell>
          <cell r="N153">
            <v>-41.848500000000001</v>
          </cell>
          <cell r="O153">
            <v>-142243.0515</v>
          </cell>
          <cell r="P153">
            <v>-31.047760363535197</v>
          </cell>
        </row>
        <row r="154">
          <cell r="B154" t="str">
            <v>401L047</v>
          </cell>
          <cell r="C154">
            <v>46.024999999999999</v>
          </cell>
          <cell r="D154">
            <v>468</v>
          </cell>
          <cell r="E154">
            <v>21539.7</v>
          </cell>
          <cell r="F154">
            <v>1.3</v>
          </cell>
          <cell r="G154">
            <v>608.4</v>
          </cell>
          <cell r="H154">
            <v>59.31</v>
          </cell>
          <cell r="I154">
            <v>27757.08</v>
          </cell>
          <cell r="J154">
            <v>2.63</v>
          </cell>
          <cell r="K154">
            <v>2.1040000000000001</v>
          </cell>
          <cell r="L154">
            <v>984.67200000000003</v>
          </cell>
          <cell r="M154">
            <v>29350.152000000002</v>
          </cell>
          <cell r="N154">
            <v>-16.689000000000004</v>
          </cell>
          <cell r="O154">
            <v>-7810.4520000000011</v>
          </cell>
          <cell r="P154">
            <v>-36.260727865290612</v>
          </cell>
        </row>
        <row r="155">
          <cell r="B155" t="str">
            <v>401L152</v>
          </cell>
          <cell r="C155">
            <v>46.024999999999999</v>
          </cell>
          <cell r="D155">
            <v>2576</v>
          </cell>
          <cell r="E155">
            <v>118560.4</v>
          </cell>
          <cell r="F155">
            <v>1.3</v>
          </cell>
          <cell r="G155">
            <v>3348.8</v>
          </cell>
          <cell r="H155">
            <v>46.92</v>
          </cell>
          <cell r="I155">
            <v>120865.92</v>
          </cell>
          <cell r="J155">
            <v>2.79</v>
          </cell>
          <cell r="K155">
            <v>2.2320000000000002</v>
          </cell>
          <cell r="L155">
            <v>5749.6320000000005</v>
          </cell>
          <cell r="M155">
            <v>129964.352</v>
          </cell>
          <cell r="N155">
            <v>-4.4270000000000023</v>
          </cell>
          <cell r="O155">
            <v>-11403.952000000005</v>
          </cell>
          <cell r="P155">
            <v>-9.618685497012498</v>
          </cell>
        </row>
        <row r="156">
          <cell r="B156" t="str">
            <v>401L364</v>
          </cell>
          <cell r="C156">
            <v>105.2</v>
          </cell>
          <cell r="D156">
            <v>1792</v>
          </cell>
          <cell r="E156">
            <v>188518.39999999999</v>
          </cell>
          <cell r="F156">
            <v>1.3</v>
          </cell>
          <cell r="G156">
            <v>2329.6</v>
          </cell>
          <cell r="H156">
            <v>78.107500000000002</v>
          </cell>
          <cell r="I156">
            <v>139968.64000000001</v>
          </cell>
          <cell r="J156">
            <v>7</v>
          </cell>
          <cell r="K156">
            <v>5.6000000000000005</v>
          </cell>
          <cell r="L156">
            <v>10035.200000000001</v>
          </cell>
          <cell r="M156">
            <v>152333.44000000003</v>
          </cell>
          <cell r="N156">
            <v>20.192499999999978</v>
          </cell>
          <cell r="O156">
            <v>36184.959999999963</v>
          </cell>
          <cell r="P156">
            <v>19.194391634980967</v>
          </cell>
        </row>
        <row r="157">
          <cell r="B157" t="str">
            <v>49X036</v>
          </cell>
          <cell r="C157">
            <v>105.1999</v>
          </cell>
          <cell r="D157">
            <v>10000</v>
          </cell>
          <cell r="E157">
            <v>1051999</v>
          </cell>
          <cell r="F157">
            <v>1.3</v>
          </cell>
          <cell r="G157">
            <v>13000</v>
          </cell>
          <cell r="H157">
            <v>0</v>
          </cell>
          <cell r="I157">
            <v>0</v>
          </cell>
          <cell r="J157">
            <v>0</v>
          </cell>
          <cell r="K157">
            <v>0</v>
          </cell>
          <cell r="L157">
            <v>0</v>
          </cell>
          <cell r="M157">
            <v>13000</v>
          </cell>
          <cell r="N157">
            <v>103.8999</v>
          </cell>
          <cell r="O157">
            <v>1038999</v>
          </cell>
          <cell r="P157">
            <v>98.764257380472799</v>
          </cell>
        </row>
        <row r="158">
          <cell r="B158" t="str">
            <v>730S086</v>
          </cell>
          <cell r="C158">
            <v>29.587499999999999</v>
          </cell>
          <cell r="D158">
            <v>1439</v>
          </cell>
          <cell r="E158">
            <v>42576.412499999999</v>
          </cell>
          <cell r="F158">
            <v>1.3</v>
          </cell>
          <cell r="G158">
            <v>1870.7</v>
          </cell>
          <cell r="H158">
            <v>92.419900000000013</v>
          </cell>
          <cell r="I158">
            <v>132992.23610000001</v>
          </cell>
          <cell r="J158">
            <v>11.45</v>
          </cell>
          <cell r="K158">
            <v>9.16</v>
          </cell>
          <cell r="L158">
            <v>13181.24</v>
          </cell>
          <cell r="M158">
            <v>148044.17610000001</v>
          </cell>
          <cell r="N158">
            <v>-73.292400000000001</v>
          </cell>
          <cell r="O158">
            <v>-105467.76360000001</v>
          </cell>
          <cell r="P158">
            <v>-247.71406844106468</v>
          </cell>
        </row>
        <row r="159">
          <cell r="B159" t="str">
            <v>730S102</v>
          </cell>
          <cell r="C159">
            <v>29.587500000000002</v>
          </cell>
          <cell r="D159">
            <v>1581</v>
          </cell>
          <cell r="E159">
            <v>46777.837500000001</v>
          </cell>
          <cell r="F159">
            <v>1.3</v>
          </cell>
          <cell r="G159">
            <v>2055.3000000000002</v>
          </cell>
          <cell r="H159">
            <v>116.04780000000001</v>
          </cell>
          <cell r="I159">
            <v>183471.57180000001</v>
          </cell>
          <cell r="J159">
            <v>8.67</v>
          </cell>
          <cell r="K159">
            <v>6.9360000000000008</v>
          </cell>
          <cell r="L159">
            <v>10965.816000000001</v>
          </cell>
          <cell r="M159">
            <v>196492.68779999999</v>
          </cell>
          <cell r="N159">
            <v>-94.696299999999994</v>
          </cell>
          <cell r="O159">
            <v>-149714.85029999999</v>
          </cell>
          <cell r="P159">
            <v>-320.05509083227707</v>
          </cell>
        </row>
        <row r="160">
          <cell r="B160" t="str">
            <v>750L961</v>
          </cell>
          <cell r="C160">
            <v>46.024999999999999</v>
          </cell>
          <cell r="D160">
            <v>270</v>
          </cell>
          <cell r="E160">
            <v>12426.75</v>
          </cell>
          <cell r="F160">
            <v>1.3</v>
          </cell>
          <cell r="G160">
            <v>351</v>
          </cell>
          <cell r="H160">
            <v>32.880000000000003</v>
          </cell>
          <cell r="I160">
            <v>8877.6</v>
          </cell>
          <cell r="J160">
            <v>5.44</v>
          </cell>
          <cell r="K160">
            <v>4.3520000000000003</v>
          </cell>
          <cell r="L160">
            <v>1175.0400000000002</v>
          </cell>
          <cell r="M160">
            <v>10403.640000000001</v>
          </cell>
          <cell r="N160">
            <v>7.492999999999995</v>
          </cell>
          <cell r="O160">
            <v>2023.1099999999988</v>
          </cell>
          <cell r="P160">
            <v>16.280282455187386</v>
          </cell>
        </row>
        <row r="161">
          <cell r="B161" t="str">
            <v>751S101</v>
          </cell>
          <cell r="C161">
            <v>46.024999999999999</v>
          </cell>
          <cell r="D161">
            <v>235</v>
          </cell>
          <cell r="E161">
            <v>10815.875</v>
          </cell>
          <cell r="F161">
            <v>1.3</v>
          </cell>
          <cell r="G161">
            <v>305.5</v>
          </cell>
          <cell r="H161">
            <v>0</v>
          </cell>
          <cell r="I161">
            <v>0</v>
          </cell>
          <cell r="J161">
            <v>0</v>
          </cell>
          <cell r="K161">
            <v>0</v>
          </cell>
          <cell r="L161">
            <v>0</v>
          </cell>
          <cell r="M161">
            <v>305.5</v>
          </cell>
          <cell r="N161">
            <v>44.725000000000001</v>
          </cell>
          <cell r="O161">
            <v>10510.375</v>
          </cell>
          <cell r="P161">
            <v>97.175448126018466</v>
          </cell>
        </row>
      </sheetData>
      <sheetData sheetId="2">
        <row r="251">
          <cell r="D251" t="str">
            <v>201L751</v>
          </cell>
        </row>
        <row r="252">
          <cell r="D252" t="str">
            <v>202L507</v>
          </cell>
        </row>
        <row r="253">
          <cell r="D253" t="str">
            <v>205-844</v>
          </cell>
        </row>
        <row r="254">
          <cell r="D254" t="str">
            <v>205D519</v>
          </cell>
        </row>
        <row r="255">
          <cell r="D255" t="str">
            <v>205D827</v>
          </cell>
        </row>
        <row r="256">
          <cell r="D256" t="str">
            <v>St. Lots</v>
          </cell>
        </row>
        <row r="257">
          <cell r="D257" t="str">
            <v>217-540</v>
          </cell>
        </row>
        <row r="258">
          <cell r="D258" t="str">
            <v>St. Lots</v>
          </cell>
        </row>
        <row r="259">
          <cell r="D259" t="str">
            <v>St. Lots</v>
          </cell>
        </row>
        <row r="260">
          <cell r="D260" t="str">
            <v>205-252</v>
          </cell>
        </row>
        <row r="261">
          <cell r="D261" t="str">
            <v>205-742</v>
          </cell>
        </row>
        <row r="262">
          <cell r="D262" t="str">
            <v>205-827</v>
          </cell>
        </row>
        <row r="263">
          <cell r="D263" t="str">
            <v>205L252</v>
          </cell>
        </row>
        <row r="264">
          <cell r="D264" t="str">
            <v>209-192</v>
          </cell>
        </row>
        <row r="265">
          <cell r="D265" t="str">
            <v>209A340</v>
          </cell>
        </row>
        <row r="266">
          <cell r="D266" t="str">
            <v>217-723</v>
          </cell>
        </row>
        <row r="267">
          <cell r="D267" t="str">
            <v>230L056</v>
          </cell>
        </row>
        <row r="268">
          <cell r="D268" t="str">
            <v>401L047</v>
          </cell>
        </row>
        <row r="269">
          <cell r="D269" t="str">
            <v>401L152</v>
          </cell>
        </row>
        <row r="270">
          <cell r="D270" t="str">
            <v>401L364</v>
          </cell>
        </row>
        <row r="271">
          <cell r="D271" t="str">
            <v>49X036</v>
          </cell>
        </row>
        <row r="272">
          <cell r="D272" t="str">
            <v>730S102</v>
          </cell>
        </row>
        <row r="273">
          <cell r="D273" t="str">
            <v>750L961</v>
          </cell>
        </row>
        <row r="274">
          <cell r="D274" t="str">
            <v>751S101</v>
          </cell>
        </row>
        <row r="275">
          <cell r="D275" t="str">
            <v>730S086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Suart"/>
      <sheetName val="CUMAA"/>
      <sheetName val="Sucaa"/>
      <sheetName val="FG"/>
      <sheetName val="PCOST"/>
      <sheetName val="STOCKS"/>
      <sheetName val="WIP99"/>
      <sheetName val="Finance MI"/>
      <sheetName val="MI-Rec"/>
      <sheetName val="CumRec"/>
      <sheetName val="Sheet5"/>
      <sheetName val="Sheet4"/>
      <sheetName val="Sheet3"/>
      <sheetName val="Sheet2"/>
      <sheetName val="Sheet1"/>
    </sheetNames>
    <sheetDataSet>
      <sheetData sheetId="0" refreshError="1"/>
      <sheetData sheetId="1" refreshError="1"/>
      <sheetData sheetId="2" refreshError="1"/>
      <sheetData sheetId="3" refreshError="1">
        <row r="195">
          <cell r="D195" t="str">
            <v>201L751</v>
          </cell>
        </row>
        <row r="196">
          <cell r="D196" t="str">
            <v>202L474</v>
          </cell>
        </row>
        <row r="197">
          <cell r="D197" t="str">
            <v>202L490</v>
          </cell>
        </row>
        <row r="198">
          <cell r="D198" t="str">
            <v>202L507</v>
          </cell>
        </row>
        <row r="199">
          <cell r="D199" t="str">
            <v>202L604</v>
          </cell>
        </row>
        <row r="200">
          <cell r="D200" t="str">
            <v>202L654</v>
          </cell>
        </row>
        <row r="201">
          <cell r="D201" t="str">
            <v>202L655</v>
          </cell>
        </row>
        <row r="202">
          <cell r="D202" t="str">
            <v>202L737</v>
          </cell>
        </row>
        <row r="203">
          <cell r="D203" t="str">
            <v>202L804</v>
          </cell>
        </row>
        <row r="204">
          <cell r="D204" t="str">
            <v>205-252</v>
          </cell>
        </row>
        <row r="205">
          <cell r="D205" t="str">
            <v>205L216</v>
          </cell>
        </row>
        <row r="206">
          <cell r="D206" t="str">
            <v>205L252</v>
          </cell>
        </row>
        <row r="207">
          <cell r="D207" t="str">
            <v>205L816</v>
          </cell>
        </row>
        <row r="208">
          <cell r="D208" t="str">
            <v>206-172</v>
          </cell>
        </row>
        <row r="209">
          <cell r="D209" t="str">
            <v>206-173</v>
          </cell>
        </row>
        <row r="210">
          <cell r="D210" t="str">
            <v>206L158</v>
          </cell>
        </row>
        <row r="211">
          <cell r="D211" t="str">
            <v>209-333</v>
          </cell>
        </row>
        <row r="212">
          <cell r="D212" t="str">
            <v>209-460</v>
          </cell>
        </row>
        <row r="213">
          <cell r="D213" t="str">
            <v>209-549</v>
          </cell>
        </row>
        <row r="214">
          <cell r="D214" t="str">
            <v>209-591</v>
          </cell>
        </row>
        <row r="215">
          <cell r="D215" t="str">
            <v>209-624</v>
          </cell>
        </row>
        <row r="216">
          <cell r="D216" t="str">
            <v>209-638</v>
          </cell>
        </row>
        <row r="217">
          <cell r="D217" t="str">
            <v>209-734</v>
          </cell>
        </row>
        <row r="218">
          <cell r="D218" t="str">
            <v>210L260</v>
          </cell>
        </row>
        <row r="219">
          <cell r="D219" t="str">
            <v>217-214</v>
          </cell>
        </row>
        <row r="220">
          <cell r="D220" t="str">
            <v>217-428</v>
          </cell>
        </row>
        <row r="221">
          <cell r="D221" t="str">
            <v>St.lots</v>
          </cell>
        </row>
        <row r="222">
          <cell r="D222" t="str">
            <v>217-540</v>
          </cell>
        </row>
        <row r="223">
          <cell r="D223" t="str">
            <v>217-573</v>
          </cell>
        </row>
        <row r="224">
          <cell r="D224" t="str">
            <v>217-675</v>
          </cell>
        </row>
        <row r="225">
          <cell r="D225" t="str">
            <v>217-722</v>
          </cell>
        </row>
        <row r="226">
          <cell r="D226" t="str">
            <v>217-782</v>
          </cell>
        </row>
        <row r="227">
          <cell r="D227" t="str">
            <v>217-783</v>
          </cell>
        </row>
        <row r="228">
          <cell r="D228" t="str">
            <v>217-797</v>
          </cell>
        </row>
        <row r="229">
          <cell r="D229" t="str">
            <v>217-800</v>
          </cell>
        </row>
        <row r="230">
          <cell r="D230" t="str">
            <v>217-809</v>
          </cell>
        </row>
        <row r="231">
          <cell r="D231" t="str">
            <v>217-856</v>
          </cell>
        </row>
        <row r="232">
          <cell r="D232" t="str">
            <v>217-858</v>
          </cell>
        </row>
        <row r="233">
          <cell r="D233" t="str">
            <v>217A428</v>
          </cell>
        </row>
        <row r="234">
          <cell r="D234" t="str">
            <v>217A797</v>
          </cell>
        </row>
        <row r="235">
          <cell r="D235" t="str">
            <v>217B428</v>
          </cell>
        </row>
        <row r="236">
          <cell r="D236" t="str">
            <v>230L056</v>
          </cell>
        </row>
        <row r="237">
          <cell r="D237" t="str">
            <v>237-114</v>
          </cell>
        </row>
        <row r="238">
          <cell r="D238" t="str">
            <v>237L063</v>
          </cell>
        </row>
        <row r="239">
          <cell r="D239" t="str">
            <v>317-022</v>
          </cell>
        </row>
        <row r="240">
          <cell r="D240" t="str">
            <v>317-023</v>
          </cell>
        </row>
        <row r="241">
          <cell r="D241" t="str">
            <v>201L600</v>
          </cell>
        </row>
        <row r="242">
          <cell r="D242" t="str">
            <v>209-323</v>
          </cell>
        </row>
        <row r="243">
          <cell r="D243" t="str">
            <v>209-335</v>
          </cell>
        </row>
        <row r="244">
          <cell r="D244" t="str">
            <v>237-127</v>
          </cell>
        </row>
        <row r="245">
          <cell r="D245" t="str">
            <v>49X036</v>
          </cell>
        </row>
        <row r="246">
          <cell r="D246" t="str">
            <v>70-556</v>
          </cell>
        </row>
        <row r="247">
          <cell r="D247" t="str">
            <v>70-629</v>
          </cell>
        </row>
        <row r="248">
          <cell r="D248" t="str">
            <v>70-650</v>
          </cell>
        </row>
        <row r="249">
          <cell r="D249" t="str">
            <v>70-669</v>
          </cell>
        </row>
        <row r="250">
          <cell r="D250" t="str">
            <v>70-683</v>
          </cell>
        </row>
        <row r="251">
          <cell r="D251" t="str">
            <v>70-689</v>
          </cell>
        </row>
        <row r="252">
          <cell r="D252" t="str">
            <v>70-696</v>
          </cell>
        </row>
        <row r="253">
          <cell r="D253" t="str">
            <v>70-700</v>
          </cell>
        </row>
        <row r="254">
          <cell r="D254" t="str">
            <v>70-703</v>
          </cell>
        </row>
        <row r="255">
          <cell r="D255" t="str">
            <v>751L021</v>
          </cell>
        </row>
        <row r="256">
          <cell r="D256" t="str">
            <v>751L101</v>
          </cell>
        </row>
        <row r="261">
          <cell r="D261" t="str">
            <v>201-746</v>
          </cell>
        </row>
        <row r="262">
          <cell r="D262" t="str">
            <v>201L984</v>
          </cell>
        </row>
        <row r="263">
          <cell r="D263" t="str">
            <v>49X036</v>
          </cell>
        </row>
        <row r="264">
          <cell r="D264" t="str">
            <v>70-689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Mrkt"/>
      <sheetName val="Rev Var"/>
      <sheetName val="Revenue"/>
      <sheetName val="Assumptions"/>
      <sheetName val="Op-Ex Var "/>
      <sheetName val="Op-Ex Rs"/>
      <sheetName val="Op-Ex!"/>
      <sheetName val="Cap-Ex Rec"/>
      <sheetName val="Cap-Ex 1"/>
      <sheetName val="Cap-Ex!"/>
      <sheetName val="COGS Cur"/>
      <sheetName val="COGS Var"/>
      <sheetName val="COGS Pro"/>
      <sheetName val="COGStaffing"/>
      <sheetName val="AdminStaffing"/>
      <sheetName val="Admin"/>
      <sheetName val="Cap-Ex"/>
      <sheetName val="b s"/>
    </sheetNames>
    <sheetDataSet>
      <sheetData sheetId="0" refreshError="1"/>
      <sheetData sheetId="1" refreshError="1"/>
      <sheetData sheetId="2" refreshError="1"/>
      <sheetData sheetId="3" refreshError="1"/>
      <sheetData sheetId="4" refreshError="1">
        <row r="9">
          <cell r="K9">
            <v>0.3</v>
          </cell>
        </row>
        <row r="17">
          <cell r="K17">
            <v>0.1</v>
          </cell>
        </row>
        <row r="30">
          <cell r="K30">
            <v>0.18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S"/>
      <sheetName val="BB"/>
      <sheetName val="BS"/>
      <sheetName val="BRS-AUG"/>
      <sheetName val="Exch"/>
      <sheetName val="Data"/>
      <sheetName val="BB (3)"/>
      <sheetName val="BS (3)"/>
      <sheetName val="BRS (4)"/>
      <sheetName val="BB (2)"/>
      <sheetName val="BRS (3)"/>
      <sheetName val="BS (2)"/>
      <sheetName val="Exch (2)"/>
      <sheetName val="Article"/>
    </sheetNames>
    <sheetDataSet>
      <sheetData sheetId="0" refreshError="1"/>
      <sheetData sheetId="1" refreshError="1"/>
      <sheetData sheetId="2" refreshError="1">
        <row r="1">
          <cell r="A1" t="str">
            <v>Cheq. Ref.</v>
          </cell>
          <cell r="B1" t="str">
            <v>Amount</v>
          </cell>
        </row>
        <row r="2">
          <cell r="A2" t="str">
            <v xml:space="preserve">EXP BILL COMM/CHARGE                              </v>
          </cell>
          <cell r="B2">
            <v>3006.46</v>
          </cell>
        </row>
        <row r="3">
          <cell r="A3" t="str">
            <v>017309</v>
          </cell>
          <cell r="B3">
            <v>3909</v>
          </cell>
        </row>
        <row r="4">
          <cell r="A4" t="str">
            <v xml:space="preserve">INTEREST                                          </v>
          </cell>
          <cell r="B4">
            <v>20282.490000000002</v>
          </cell>
        </row>
        <row r="5">
          <cell r="A5" t="str">
            <v xml:space="preserve">SAL FOR SEP 02                                    </v>
          </cell>
          <cell r="B5">
            <v>18668</v>
          </cell>
        </row>
        <row r="6">
          <cell r="A6" t="str">
            <v>Opening Balance</v>
          </cell>
          <cell r="B6">
            <v>4362114.04</v>
          </cell>
        </row>
        <row r="8">
          <cell r="B8">
            <v>4407979.99</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sheetName val="Form"/>
      <sheetName val="Challan"/>
      <sheetName val="Annexure-I"/>
      <sheetName val="Annexure-II"/>
      <sheetName val="Annexure-III"/>
      <sheetName val="outPut"/>
      <sheetName val="ImportSheet"/>
      <sheetName val="Param"/>
      <sheetName val="Article"/>
    </sheetNames>
    <sheetDataSet>
      <sheetData sheetId="0"/>
      <sheetData sheetId="1"/>
      <sheetData sheetId="2">
        <row r="7">
          <cell r="A7">
            <v>1</v>
          </cell>
          <cell r="B7" t="str">
            <v>192A</v>
          </cell>
          <cell r="C7">
            <v>11750</v>
          </cell>
          <cell r="D7">
            <v>0</v>
          </cell>
          <cell r="E7">
            <v>0</v>
          </cell>
          <cell r="F7">
            <v>0</v>
          </cell>
          <cell r="G7">
            <v>0</v>
          </cell>
          <cell r="I7">
            <v>11750</v>
          </cell>
          <cell r="J7" t="str">
            <v>721366</v>
          </cell>
          <cell r="L7">
            <v>6390011</v>
          </cell>
          <cell r="N7">
            <v>38481</v>
          </cell>
          <cell r="P7">
            <v>74</v>
          </cell>
          <cell r="Q7" t="str">
            <v>No</v>
          </cell>
          <cell r="R7">
            <v>0</v>
          </cell>
          <cell r="S7">
            <v>0</v>
          </cell>
        </row>
        <row r="8">
          <cell r="A8">
            <v>2</v>
          </cell>
          <cell r="B8" t="str">
            <v>192A</v>
          </cell>
          <cell r="C8">
            <v>11750</v>
          </cell>
          <cell r="D8">
            <v>0</v>
          </cell>
          <cell r="E8">
            <v>0</v>
          </cell>
          <cell r="F8">
            <v>0</v>
          </cell>
          <cell r="G8">
            <v>0</v>
          </cell>
          <cell r="I8">
            <v>11750</v>
          </cell>
          <cell r="J8" t="str">
            <v>722014</v>
          </cell>
          <cell r="L8">
            <v>6390011</v>
          </cell>
          <cell r="N8">
            <v>38510</v>
          </cell>
          <cell r="P8">
            <v>899</v>
          </cell>
          <cell r="Q8" t="str">
            <v>No</v>
          </cell>
          <cell r="R8">
            <v>0</v>
          </cell>
          <cell r="S8">
            <v>0</v>
          </cell>
        </row>
        <row r="9">
          <cell r="A9">
            <v>3</v>
          </cell>
          <cell r="B9" t="str">
            <v>192A</v>
          </cell>
          <cell r="C9">
            <v>11750</v>
          </cell>
          <cell r="D9">
            <v>0</v>
          </cell>
          <cell r="E9">
            <v>0</v>
          </cell>
          <cell r="F9">
            <v>0</v>
          </cell>
          <cell r="G9">
            <v>0</v>
          </cell>
          <cell r="I9">
            <v>11750</v>
          </cell>
          <cell r="J9" t="str">
            <v>722658</v>
          </cell>
          <cell r="L9">
            <v>6390011</v>
          </cell>
          <cell r="N9">
            <v>38540</v>
          </cell>
          <cell r="P9">
            <v>82</v>
          </cell>
          <cell r="Q9" t="str">
            <v>No</v>
          </cell>
          <cell r="R9">
            <v>0</v>
          </cell>
          <cell r="S9">
            <v>0</v>
          </cell>
        </row>
        <row r="10">
          <cell r="I10">
            <v>0</v>
          </cell>
        </row>
        <row r="11">
          <cell r="I11">
            <v>0</v>
          </cell>
        </row>
        <row r="12">
          <cell r="I12">
            <v>0</v>
          </cell>
        </row>
        <row r="13">
          <cell r="I13">
            <v>0</v>
          </cell>
        </row>
        <row r="14">
          <cell r="I14">
            <v>0</v>
          </cell>
        </row>
        <row r="15">
          <cell r="I15">
            <v>0</v>
          </cell>
        </row>
        <row r="16">
          <cell r="I16">
            <v>0</v>
          </cell>
        </row>
        <row r="17">
          <cell r="I17">
            <v>0</v>
          </cell>
        </row>
        <row r="18">
          <cell r="I18">
            <v>0</v>
          </cell>
        </row>
        <row r="19">
          <cell r="I19">
            <v>0</v>
          </cell>
        </row>
        <row r="20">
          <cell r="I20">
            <v>0</v>
          </cell>
        </row>
        <row r="21">
          <cell r="I21">
            <v>0</v>
          </cell>
        </row>
        <row r="22">
          <cell r="I22">
            <v>0</v>
          </cell>
        </row>
        <row r="23">
          <cell r="I23">
            <v>0</v>
          </cell>
        </row>
        <row r="24">
          <cell r="I24">
            <v>0</v>
          </cell>
        </row>
        <row r="25">
          <cell r="I25">
            <v>0</v>
          </cell>
        </row>
        <row r="26">
          <cell r="I26">
            <v>0</v>
          </cell>
        </row>
        <row r="27">
          <cell r="I27">
            <v>0</v>
          </cell>
        </row>
        <row r="28">
          <cell r="I28">
            <v>0</v>
          </cell>
        </row>
        <row r="29">
          <cell r="I29">
            <v>0</v>
          </cell>
        </row>
        <row r="30">
          <cell r="I30">
            <v>0</v>
          </cell>
        </row>
        <row r="31">
          <cell r="I31">
            <v>0</v>
          </cell>
        </row>
        <row r="32">
          <cell r="I32">
            <v>0</v>
          </cell>
        </row>
        <row r="33">
          <cell r="I33">
            <v>0</v>
          </cell>
        </row>
        <row r="34">
          <cell r="I34">
            <v>0</v>
          </cell>
        </row>
        <row r="35">
          <cell r="I35">
            <v>0</v>
          </cell>
        </row>
        <row r="36">
          <cell r="I36">
            <v>0</v>
          </cell>
        </row>
        <row r="37">
          <cell r="I37">
            <v>0</v>
          </cell>
        </row>
        <row r="38">
          <cell r="I38">
            <v>0</v>
          </cell>
        </row>
        <row r="39">
          <cell r="I39">
            <v>0</v>
          </cell>
        </row>
        <row r="40">
          <cell r="I40">
            <v>0</v>
          </cell>
        </row>
        <row r="41">
          <cell r="I41">
            <v>0</v>
          </cell>
        </row>
        <row r="42">
          <cell r="I42">
            <v>0</v>
          </cell>
        </row>
        <row r="43">
          <cell r="I43">
            <v>0</v>
          </cell>
        </row>
        <row r="44">
          <cell r="I44">
            <v>0</v>
          </cell>
        </row>
        <row r="45">
          <cell r="I45">
            <v>0</v>
          </cell>
        </row>
        <row r="46">
          <cell r="I46">
            <v>0</v>
          </cell>
        </row>
        <row r="47">
          <cell r="I47">
            <v>0</v>
          </cell>
        </row>
        <row r="48">
          <cell r="I48">
            <v>0</v>
          </cell>
        </row>
        <row r="49">
          <cell r="I49">
            <v>0</v>
          </cell>
        </row>
        <row r="50">
          <cell r="I50">
            <v>0</v>
          </cell>
        </row>
        <row r="51">
          <cell r="A51" t="str">
            <v>Total</v>
          </cell>
          <cell r="C51">
            <v>35250</v>
          </cell>
          <cell r="D51">
            <v>0</v>
          </cell>
          <cell r="E51">
            <v>0</v>
          </cell>
          <cell r="F51">
            <v>0</v>
          </cell>
          <cell r="G51">
            <v>0</v>
          </cell>
          <cell r="I51">
            <v>35250</v>
          </cell>
          <cell r="R51">
            <v>0</v>
          </cell>
          <cell r="S51">
            <v>0</v>
          </cell>
        </row>
      </sheetData>
      <sheetData sheetId="3"/>
      <sheetData sheetId="4"/>
      <sheetData sheetId="5"/>
      <sheetData sheetId="6"/>
      <sheetData sheetId="7"/>
      <sheetData sheetId="8"/>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Jan"/>
      <sheetName val="Raw-JAN"/>
      <sheetName val="Rate_Jan"/>
      <sheetName val="Sheet1"/>
    </sheetNames>
    <sheetDataSet>
      <sheetData sheetId="0" refreshError="1">
        <row r="5">
          <cell r="B5" t="str">
            <v>08815 03 010</v>
          </cell>
        </row>
        <row r="6">
          <cell r="B6" t="str">
            <v>08815 03 013</v>
          </cell>
        </row>
        <row r="7">
          <cell r="B7" t="str">
            <v>08815 03 016</v>
          </cell>
        </row>
        <row r="8">
          <cell r="B8" t="str">
            <v>08815 04 010</v>
          </cell>
        </row>
        <row r="9">
          <cell r="B9" t="str">
            <v>08815 04 013</v>
          </cell>
        </row>
        <row r="10">
          <cell r="B10" t="str">
            <v>08815 04 016</v>
          </cell>
        </row>
        <row r="11">
          <cell r="B11" t="str">
            <v>08815 1A 010</v>
          </cell>
        </row>
        <row r="12">
          <cell r="B12" t="str">
            <v>08815 1B 013</v>
          </cell>
        </row>
        <row r="13">
          <cell r="B13" t="str">
            <v>08815 1C 013</v>
          </cell>
        </row>
        <row r="14">
          <cell r="B14" t="str">
            <v>08815 2A 013</v>
          </cell>
        </row>
        <row r="15">
          <cell r="B15" t="str">
            <v>08815 2E 013</v>
          </cell>
        </row>
        <row r="16">
          <cell r="B16" t="str">
            <v>08815 DN 010</v>
          </cell>
        </row>
        <row r="17">
          <cell r="B17" t="str">
            <v>08815 DN 013</v>
          </cell>
        </row>
        <row r="18">
          <cell r="B18" t="str">
            <v>08815 ED 010</v>
          </cell>
        </row>
        <row r="19">
          <cell r="B19" t="str">
            <v>08815 FJ 010</v>
          </cell>
        </row>
        <row r="20">
          <cell r="B20" t="str">
            <v>08815 FO 008</v>
          </cell>
        </row>
        <row r="21">
          <cell r="B21" t="str">
            <v>08815 FO 010</v>
          </cell>
        </row>
        <row r="22">
          <cell r="B22" t="str">
            <v>08815 FO 013</v>
          </cell>
        </row>
        <row r="23">
          <cell r="B23" t="str">
            <v>08815 FO 016</v>
          </cell>
        </row>
        <row r="24">
          <cell r="B24" t="str">
            <v>08815 GK 010</v>
          </cell>
        </row>
        <row r="25">
          <cell r="B25" t="str">
            <v>08815 GK 013</v>
          </cell>
        </row>
        <row r="26">
          <cell r="B26" t="str">
            <v>08815 GT 010</v>
          </cell>
        </row>
        <row r="27">
          <cell r="B27" t="str">
            <v>08815 IJ 008</v>
          </cell>
        </row>
        <row r="28">
          <cell r="B28" t="str">
            <v>08815 IJ 010</v>
          </cell>
        </row>
        <row r="29">
          <cell r="B29" t="str">
            <v>08815 IJ 013</v>
          </cell>
        </row>
        <row r="30">
          <cell r="B30" t="str">
            <v>08815 IJ 016</v>
          </cell>
        </row>
        <row r="31">
          <cell r="B31" t="str">
            <v>08815 IL 010</v>
          </cell>
        </row>
        <row r="32">
          <cell r="B32" t="str">
            <v>08815 IL 013</v>
          </cell>
        </row>
        <row r="33">
          <cell r="B33" t="str">
            <v>08815 LN 010</v>
          </cell>
        </row>
        <row r="34">
          <cell r="B34" t="str">
            <v>08815 LN 013</v>
          </cell>
        </row>
        <row r="35">
          <cell r="B35" t="str">
            <v>08815 LN 016</v>
          </cell>
        </row>
        <row r="36">
          <cell r="B36" t="str">
            <v>08815 MR 010</v>
          </cell>
        </row>
        <row r="37">
          <cell r="B37" t="str">
            <v>08815 MR 013</v>
          </cell>
        </row>
        <row r="38">
          <cell r="B38" t="str">
            <v>08815 PT 010</v>
          </cell>
        </row>
        <row r="39">
          <cell r="B39" t="str">
            <v>08815 RD 010</v>
          </cell>
        </row>
        <row r="40">
          <cell r="B40" t="str">
            <v>08815 TT 008</v>
          </cell>
        </row>
        <row r="41">
          <cell r="B41" t="str">
            <v>08815 TT 010</v>
          </cell>
        </row>
        <row r="42">
          <cell r="B42" t="str">
            <v>08815 TT 013</v>
          </cell>
        </row>
        <row r="43">
          <cell r="B43" t="str">
            <v>08815 TT 015</v>
          </cell>
        </row>
        <row r="44">
          <cell r="B44" t="str">
            <v>08815 UT 008</v>
          </cell>
        </row>
        <row r="45">
          <cell r="B45" t="str">
            <v>08815 UT 010</v>
          </cell>
        </row>
        <row r="46">
          <cell r="B46" t="str">
            <v>08815 UT 013</v>
          </cell>
        </row>
        <row r="47">
          <cell r="B47" t="str">
            <v>08815 UT 016</v>
          </cell>
        </row>
        <row r="48">
          <cell r="B48" t="str">
            <v>08815 WA 010</v>
          </cell>
        </row>
        <row r="49">
          <cell r="B49" t="str">
            <v>08815 WA 013</v>
          </cell>
        </row>
        <row r="50">
          <cell r="B50" t="str">
            <v>08815 WA 016</v>
          </cell>
        </row>
        <row r="51">
          <cell r="B51" t="str">
            <v>08815 YA 010</v>
          </cell>
        </row>
        <row r="52">
          <cell r="B52" t="str">
            <v>08815 YT 010</v>
          </cell>
        </row>
        <row r="53">
          <cell r="B53" t="str">
            <v>08815 YT 013</v>
          </cell>
        </row>
        <row r="54">
          <cell r="B54" t="str">
            <v>08815 YT 016</v>
          </cell>
        </row>
        <row r="55">
          <cell r="B55" t="str">
            <v>08815 ZJ 010</v>
          </cell>
        </row>
        <row r="56">
          <cell r="B56" t="str">
            <v>08967 03 009</v>
          </cell>
        </row>
        <row r="57">
          <cell r="B57" t="str">
            <v>08967 04 009</v>
          </cell>
        </row>
        <row r="58">
          <cell r="B58" t="str">
            <v>08967 DA 009</v>
          </cell>
        </row>
        <row r="59">
          <cell r="B59" t="str">
            <v>08967 DR 009</v>
          </cell>
        </row>
        <row r="60">
          <cell r="B60" t="str">
            <v>08967 ED 009</v>
          </cell>
        </row>
        <row r="61">
          <cell r="B61" t="str">
            <v>08967 ES 009</v>
          </cell>
        </row>
        <row r="62">
          <cell r="B62" t="str">
            <v>08967 FJ 009</v>
          </cell>
        </row>
        <row r="63">
          <cell r="B63" t="str">
            <v>08967 IL 009</v>
          </cell>
        </row>
        <row r="64">
          <cell r="B64" t="str">
            <v>08967 LP 009</v>
          </cell>
        </row>
        <row r="65">
          <cell r="B65" t="str">
            <v>08967 OF 009</v>
          </cell>
        </row>
        <row r="66">
          <cell r="B66" t="str">
            <v>08967 PJ 009</v>
          </cell>
        </row>
        <row r="67">
          <cell r="B67" t="str">
            <v>08967 TI 009</v>
          </cell>
        </row>
        <row r="68">
          <cell r="B68" t="str">
            <v>08967 UT 009</v>
          </cell>
        </row>
        <row r="69">
          <cell r="B69" t="str">
            <v>08967 WG 009</v>
          </cell>
        </row>
        <row r="70">
          <cell r="B70" t="str">
            <v>08967 YB 009</v>
          </cell>
        </row>
        <row r="71">
          <cell r="B71" t="str">
            <v>08967 YE 009</v>
          </cell>
        </row>
        <row r="72">
          <cell r="B72" t="str">
            <v>08967 ZJ 009</v>
          </cell>
        </row>
        <row r="73">
          <cell r="B73" t="str">
            <v>13112 FO 140</v>
          </cell>
        </row>
        <row r="74">
          <cell r="B74" t="str">
            <v>13199 03 152</v>
          </cell>
        </row>
        <row r="75">
          <cell r="B75" t="str">
            <v>13199 04 152</v>
          </cell>
        </row>
        <row r="76">
          <cell r="B76" t="str">
            <v>13199 2G 152</v>
          </cell>
        </row>
        <row r="77">
          <cell r="B77" t="str">
            <v>13199 ES 152</v>
          </cell>
        </row>
        <row r="78">
          <cell r="B78" t="str">
            <v>13199 FO 152</v>
          </cell>
        </row>
        <row r="79">
          <cell r="B79" t="str">
            <v>13199 IJ 152</v>
          </cell>
        </row>
        <row r="80">
          <cell r="B80" t="str">
            <v>13199 LP 152</v>
          </cell>
        </row>
        <row r="81">
          <cell r="B81" t="str">
            <v>13199 UT 152</v>
          </cell>
        </row>
        <row r="82">
          <cell r="B82" t="str">
            <v>15103 03 150</v>
          </cell>
        </row>
        <row r="83">
          <cell r="B83" t="str">
            <v>15103 04 150</v>
          </cell>
        </row>
        <row r="84">
          <cell r="B84" t="str">
            <v>15103 2R 150</v>
          </cell>
        </row>
        <row r="85">
          <cell r="B85" t="str">
            <v>15103 3F 150</v>
          </cell>
        </row>
        <row r="86">
          <cell r="B86" t="str">
            <v>15103 DA 150</v>
          </cell>
        </row>
        <row r="87">
          <cell r="B87" t="str">
            <v>15103 DN 150</v>
          </cell>
        </row>
        <row r="88">
          <cell r="B88" t="str">
            <v>15103 DR 150</v>
          </cell>
        </row>
        <row r="89">
          <cell r="B89" t="str">
            <v>15103 ED 150</v>
          </cell>
        </row>
        <row r="90">
          <cell r="B90" t="str">
            <v>15103 FJ 150</v>
          </cell>
        </row>
        <row r="91">
          <cell r="B91" t="str">
            <v>15103 FO 150</v>
          </cell>
        </row>
        <row r="92">
          <cell r="B92" t="str">
            <v>15103 GK 150</v>
          </cell>
        </row>
        <row r="93">
          <cell r="B93" t="str">
            <v>15103 IJ 150</v>
          </cell>
        </row>
        <row r="94">
          <cell r="B94" t="str">
            <v>15103 IL 150</v>
          </cell>
        </row>
        <row r="95">
          <cell r="B95" t="str">
            <v>15103 LP 150</v>
          </cell>
        </row>
        <row r="96">
          <cell r="B96" t="str">
            <v>15103 MR 150</v>
          </cell>
        </row>
        <row r="97">
          <cell r="B97" t="str">
            <v>15103 OF 150</v>
          </cell>
        </row>
        <row r="98">
          <cell r="B98" t="str">
            <v>15103 PJ 150</v>
          </cell>
        </row>
        <row r="99">
          <cell r="B99" t="str">
            <v>15103 QT 150</v>
          </cell>
        </row>
        <row r="100">
          <cell r="B100" t="str">
            <v>15103 RZ 150</v>
          </cell>
        </row>
        <row r="101">
          <cell r="B101" t="str">
            <v>15103 SZ 150</v>
          </cell>
        </row>
        <row r="102">
          <cell r="B102" t="str">
            <v>15103 TI 150</v>
          </cell>
        </row>
        <row r="103">
          <cell r="B103" t="str">
            <v>15103 TR 150</v>
          </cell>
        </row>
        <row r="104">
          <cell r="B104" t="str">
            <v>15103 UT 150</v>
          </cell>
        </row>
        <row r="105">
          <cell r="B105" t="str">
            <v>15103 WC 150</v>
          </cell>
        </row>
        <row r="106">
          <cell r="B106" t="str">
            <v>15103 WG 150</v>
          </cell>
        </row>
        <row r="107">
          <cell r="B107" t="str">
            <v>15103 YB 150</v>
          </cell>
        </row>
        <row r="108">
          <cell r="B108" t="str">
            <v>15103 YE 150</v>
          </cell>
        </row>
        <row r="109">
          <cell r="B109" t="str">
            <v>15103 ZJ 150</v>
          </cell>
        </row>
        <row r="110">
          <cell r="B110" t="str">
            <v>15104 2E 155</v>
          </cell>
        </row>
        <row r="111">
          <cell r="B111" t="str">
            <v>15104 2J 155</v>
          </cell>
        </row>
        <row r="112">
          <cell r="B112" t="str">
            <v>15104 3B 155</v>
          </cell>
        </row>
        <row r="113">
          <cell r="B113" t="str">
            <v>15104 3C 155</v>
          </cell>
        </row>
        <row r="114">
          <cell r="B114" t="str">
            <v>15104 3D 155</v>
          </cell>
        </row>
        <row r="115">
          <cell r="B115" t="str">
            <v>15104 3E 155</v>
          </cell>
        </row>
        <row r="116">
          <cell r="B116" t="str">
            <v>15159 EI 135</v>
          </cell>
        </row>
        <row r="117">
          <cell r="B117" t="str">
            <v>15232 OE 210</v>
          </cell>
        </row>
        <row r="118">
          <cell r="B118" t="str">
            <v>15236 04 140</v>
          </cell>
        </row>
        <row r="119">
          <cell r="B119" t="str">
            <v>15272 03 140</v>
          </cell>
        </row>
        <row r="120">
          <cell r="B120" t="str">
            <v>15272 04 140</v>
          </cell>
        </row>
        <row r="121">
          <cell r="B121" t="str">
            <v>15272 1B 140</v>
          </cell>
        </row>
        <row r="122">
          <cell r="B122" t="str">
            <v>15272 1C 140</v>
          </cell>
        </row>
        <row r="123">
          <cell r="B123" t="str">
            <v>15272 2A 140</v>
          </cell>
        </row>
        <row r="124">
          <cell r="B124" t="str">
            <v>15272 2E 140</v>
          </cell>
        </row>
        <row r="125">
          <cell r="B125" t="str">
            <v>15272 DL 140</v>
          </cell>
        </row>
        <row r="126">
          <cell r="B126" t="str">
            <v>15272 EI 140</v>
          </cell>
        </row>
        <row r="127">
          <cell r="B127" t="str">
            <v>15272 FE 140</v>
          </cell>
        </row>
        <row r="128">
          <cell r="B128" t="str">
            <v>15272 FO 140</v>
          </cell>
        </row>
        <row r="129">
          <cell r="B129" t="str">
            <v>15272 GK 140</v>
          </cell>
        </row>
        <row r="130">
          <cell r="B130" t="str">
            <v>15272 IJ 140</v>
          </cell>
        </row>
        <row r="131">
          <cell r="B131" t="str">
            <v>15272 IL 140</v>
          </cell>
        </row>
        <row r="132">
          <cell r="B132" t="str">
            <v>15272 NQ 140</v>
          </cell>
        </row>
        <row r="133">
          <cell r="B133" t="str">
            <v>15272 SP 140</v>
          </cell>
        </row>
        <row r="134">
          <cell r="B134" t="str">
            <v>15272 TR 140</v>
          </cell>
        </row>
        <row r="135">
          <cell r="B135" t="str">
            <v>15272 ZJ 140</v>
          </cell>
        </row>
        <row r="136">
          <cell r="B136" t="str">
            <v>15279 03 152</v>
          </cell>
        </row>
        <row r="137">
          <cell r="B137" t="str">
            <v>15286 03 140</v>
          </cell>
        </row>
        <row r="138">
          <cell r="B138" t="str">
            <v>15286 04 140</v>
          </cell>
        </row>
        <row r="139">
          <cell r="B139" t="str">
            <v>15286 FO 140</v>
          </cell>
        </row>
        <row r="140">
          <cell r="B140" t="str">
            <v>15286 IJ 140</v>
          </cell>
        </row>
        <row r="141">
          <cell r="B141" t="str">
            <v>15301 03 140</v>
          </cell>
        </row>
        <row r="142">
          <cell r="B142" t="str">
            <v>15301 03 145</v>
          </cell>
        </row>
        <row r="143">
          <cell r="B143" t="str">
            <v>15301 04 140</v>
          </cell>
        </row>
        <row r="144">
          <cell r="B144" t="str">
            <v>15301 04 145</v>
          </cell>
        </row>
        <row r="145">
          <cell r="B145" t="str">
            <v>15301 1A 140</v>
          </cell>
        </row>
        <row r="146">
          <cell r="B146" t="str">
            <v>15301 1B 140</v>
          </cell>
        </row>
        <row r="147">
          <cell r="B147" t="str">
            <v>15301 1C 140</v>
          </cell>
        </row>
        <row r="148">
          <cell r="B148" t="str">
            <v>15301 2A 140</v>
          </cell>
        </row>
        <row r="149">
          <cell r="B149" t="str">
            <v>15301 2E 140</v>
          </cell>
        </row>
        <row r="150">
          <cell r="B150" t="str">
            <v>15301 ED 140</v>
          </cell>
        </row>
        <row r="151">
          <cell r="B151" t="str">
            <v>15301 FJ 140</v>
          </cell>
        </row>
        <row r="152">
          <cell r="B152" t="str">
            <v>15301 FO 140</v>
          </cell>
        </row>
        <row r="153">
          <cell r="B153" t="str">
            <v>15301 GK 140</v>
          </cell>
        </row>
        <row r="154">
          <cell r="B154" t="str">
            <v>15301 IL 140</v>
          </cell>
        </row>
        <row r="155">
          <cell r="B155" t="str">
            <v>15301 ZJ 140</v>
          </cell>
        </row>
        <row r="156">
          <cell r="B156" t="str">
            <v>15302 03 145</v>
          </cell>
        </row>
        <row r="157">
          <cell r="B157" t="str">
            <v>15302 04 145</v>
          </cell>
        </row>
        <row r="158">
          <cell r="B158" t="str">
            <v>15302 2E 140</v>
          </cell>
        </row>
        <row r="159">
          <cell r="B159" t="str">
            <v>15303 03 140</v>
          </cell>
        </row>
        <row r="160">
          <cell r="B160" t="str">
            <v>15303 04 140</v>
          </cell>
        </row>
        <row r="161">
          <cell r="B161" t="str">
            <v>15303 1A 140</v>
          </cell>
        </row>
        <row r="162">
          <cell r="B162" t="str">
            <v>15303 1B 140</v>
          </cell>
        </row>
        <row r="163">
          <cell r="B163" t="str">
            <v>15303 1C 140</v>
          </cell>
        </row>
        <row r="164">
          <cell r="B164" t="str">
            <v>15303 2A 140</v>
          </cell>
        </row>
        <row r="165">
          <cell r="B165" t="str">
            <v>15303 2E 140</v>
          </cell>
        </row>
        <row r="166">
          <cell r="B166" t="str">
            <v>15303 2G 140</v>
          </cell>
        </row>
        <row r="167">
          <cell r="B167" t="str">
            <v>15303 DN 140</v>
          </cell>
        </row>
        <row r="168">
          <cell r="B168" t="str">
            <v>15303 DR 140</v>
          </cell>
        </row>
        <row r="169">
          <cell r="B169" t="str">
            <v>15303 EA 140</v>
          </cell>
        </row>
        <row r="170">
          <cell r="B170" t="str">
            <v>15303 ED 140</v>
          </cell>
        </row>
        <row r="171">
          <cell r="B171" t="str">
            <v>15303 ES 140</v>
          </cell>
        </row>
        <row r="172">
          <cell r="B172" t="str">
            <v>15303 FJ 140</v>
          </cell>
        </row>
        <row r="173">
          <cell r="B173" t="str">
            <v>15303 FO 140</v>
          </cell>
        </row>
        <row r="174">
          <cell r="B174" t="str">
            <v>15303 GK 140</v>
          </cell>
        </row>
        <row r="175">
          <cell r="B175" t="str">
            <v>15303 IJ 140</v>
          </cell>
        </row>
        <row r="176">
          <cell r="B176" t="str">
            <v>15303 IL 140</v>
          </cell>
        </row>
        <row r="177">
          <cell r="B177" t="str">
            <v>15303 LN 140</v>
          </cell>
        </row>
        <row r="178">
          <cell r="B178" t="str">
            <v>15303 LP 140</v>
          </cell>
        </row>
        <row r="179">
          <cell r="B179" t="str">
            <v>15303 MR 140</v>
          </cell>
        </row>
        <row r="180">
          <cell r="B180" t="str">
            <v>15303 NO 140</v>
          </cell>
        </row>
        <row r="181">
          <cell r="B181" t="str">
            <v>15303 NQ 140</v>
          </cell>
        </row>
        <row r="182">
          <cell r="B182" t="str">
            <v>15303 PJ 140</v>
          </cell>
        </row>
        <row r="183">
          <cell r="B183" t="str">
            <v>15303 PT 140</v>
          </cell>
        </row>
        <row r="184">
          <cell r="B184" t="str">
            <v>15303 RD 140</v>
          </cell>
        </row>
        <row r="185">
          <cell r="B185" t="str">
            <v>15303 SZ 140</v>
          </cell>
        </row>
        <row r="186">
          <cell r="B186" t="str">
            <v>15303 TI 140</v>
          </cell>
        </row>
        <row r="187">
          <cell r="B187" t="str">
            <v>15303 TT 140</v>
          </cell>
        </row>
        <row r="188">
          <cell r="B188" t="str">
            <v>15303 UT 140</v>
          </cell>
        </row>
        <row r="189">
          <cell r="B189" t="str">
            <v>15303 VJ 140</v>
          </cell>
        </row>
        <row r="190">
          <cell r="B190" t="str">
            <v>15303 WA 140</v>
          </cell>
        </row>
        <row r="191">
          <cell r="B191" t="str">
            <v>15303 WG 140</v>
          </cell>
        </row>
        <row r="192">
          <cell r="B192" t="str">
            <v>15303 WH 140</v>
          </cell>
        </row>
        <row r="193">
          <cell r="B193" t="str">
            <v>15303 YA 140</v>
          </cell>
        </row>
        <row r="194">
          <cell r="B194" t="str">
            <v>15303 YT 140</v>
          </cell>
        </row>
        <row r="195">
          <cell r="B195" t="str">
            <v>15303 ZJ 140</v>
          </cell>
        </row>
        <row r="196">
          <cell r="B196" t="str">
            <v>15339 03 122</v>
          </cell>
        </row>
        <row r="197">
          <cell r="B197" t="str">
            <v>15339 03 137</v>
          </cell>
        </row>
        <row r="198">
          <cell r="B198" t="str">
            <v>15339 04 137</v>
          </cell>
        </row>
        <row r="199">
          <cell r="B199" t="str">
            <v>15339 1B 137</v>
          </cell>
        </row>
        <row r="200">
          <cell r="B200" t="str">
            <v>15339 1C 137</v>
          </cell>
        </row>
        <row r="201">
          <cell r="B201" t="str">
            <v>15339 2A 137</v>
          </cell>
        </row>
        <row r="202">
          <cell r="B202" t="str">
            <v>15339 2E 137</v>
          </cell>
        </row>
        <row r="203">
          <cell r="B203" t="str">
            <v>15339 DN 137</v>
          </cell>
        </row>
        <row r="204">
          <cell r="B204" t="str">
            <v>15339 EA 137</v>
          </cell>
        </row>
        <row r="205">
          <cell r="B205" t="str">
            <v>15339 GK 137</v>
          </cell>
        </row>
        <row r="206">
          <cell r="B206" t="str">
            <v>15339 MR 137</v>
          </cell>
        </row>
        <row r="207">
          <cell r="B207" t="str">
            <v>15339 NO 137</v>
          </cell>
        </row>
        <row r="208">
          <cell r="B208" t="str">
            <v>15339 NQ 137</v>
          </cell>
        </row>
        <row r="209">
          <cell r="B209" t="str">
            <v>15339 SP 137</v>
          </cell>
        </row>
        <row r="210">
          <cell r="B210" t="str">
            <v>15339 SZ 137</v>
          </cell>
        </row>
        <row r="211">
          <cell r="B211" t="str">
            <v>15339 TR 137</v>
          </cell>
        </row>
        <row r="212">
          <cell r="B212" t="str">
            <v>15339 VJ 137</v>
          </cell>
        </row>
        <row r="213">
          <cell r="B213" t="str">
            <v>15381 03 137</v>
          </cell>
        </row>
        <row r="214">
          <cell r="B214" t="str">
            <v>15381 03 225</v>
          </cell>
        </row>
        <row r="215">
          <cell r="B215" t="str">
            <v>15385 1B 145</v>
          </cell>
        </row>
        <row r="216">
          <cell r="B216" t="str">
            <v>15385 1C 145</v>
          </cell>
        </row>
        <row r="217">
          <cell r="B217" t="str">
            <v>15385 2A 145</v>
          </cell>
        </row>
        <row r="218">
          <cell r="B218" t="str">
            <v>15385 2E 145</v>
          </cell>
        </row>
        <row r="219">
          <cell r="B219" t="str">
            <v>15391 03 183</v>
          </cell>
        </row>
        <row r="220">
          <cell r="B220" t="str">
            <v>15391 03 193</v>
          </cell>
        </row>
        <row r="221">
          <cell r="B221" t="str">
            <v>15391 04 183</v>
          </cell>
        </row>
        <row r="222">
          <cell r="B222" t="str">
            <v>15391 1A 183</v>
          </cell>
        </row>
        <row r="223">
          <cell r="B223" t="str">
            <v>15391 1B 183</v>
          </cell>
        </row>
        <row r="224">
          <cell r="B224" t="str">
            <v>15391 2A 183</v>
          </cell>
        </row>
        <row r="225">
          <cell r="B225" t="str">
            <v>15391 2E 183</v>
          </cell>
        </row>
        <row r="226">
          <cell r="B226" t="str">
            <v>15391 2G 183</v>
          </cell>
        </row>
        <row r="227">
          <cell r="B227" t="str">
            <v>15391 ED 183</v>
          </cell>
        </row>
        <row r="228">
          <cell r="B228" t="str">
            <v>15391 ES 183</v>
          </cell>
        </row>
        <row r="229">
          <cell r="B229" t="str">
            <v>15391 FJ 183</v>
          </cell>
        </row>
        <row r="230">
          <cell r="B230" t="str">
            <v>15391 IL 183</v>
          </cell>
        </row>
        <row r="231">
          <cell r="B231" t="str">
            <v>15391 LP 183</v>
          </cell>
        </row>
        <row r="232">
          <cell r="B232" t="str">
            <v>15391 UT 183</v>
          </cell>
        </row>
        <row r="233">
          <cell r="B233" t="str">
            <v>15391 ZJ 183</v>
          </cell>
        </row>
        <row r="234">
          <cell r="B234" t="str">
            <v>15412 03 140</v>
          </cell>
        </row>
        <row r="235">
          <cell r="B235" t="str">
            <v>15412 03 142</v>
          </cell>
        </row>
        <row r="236">
          <cell r="B236" t="str">
            <v>15412 03 C83</v>
          </cell>
        </row>
        <row r="237">
          <cell r="B237" t="str">
            <v>15412 04 142</v>
          </cell>
        </row>
        <row r="238">
          <cell r="B238" t="str">
            <v>15412 1B 142</v>
          </cell>
        </row>
        <row r="239">
          <cell r="B239" t="str">
            <v>15412 2A 142</v>
          </cell>
        </row>
        <row r="240">
          <cell r="B240" t="str">
            <v>15412 2E 142</v>
          </cell>
        </row>
        <row r="241">
          <cell r="B241" t="str">
            <v>15412 EA 140</v>
          </cell>
        </row>
        <row r="242">
          <cell r="B242" t="str">
            <v>15412 FO 142</v>
          </cell>
        </row>
        <row r="243">
          <cell r="B243" t="str">
            <v>15412 IJ 142</v>
          </cell>
        </row>
        <row r="244">
          <cell r="B244" t="str">
            <v>15412 YT 142</v>
          </cell>
        </row>
        <row r="245">
          <cell r="B245" t="str">
            <v>15418 03 140</v>
          </cell>
        </row>
        <row r="246">
          <cell r="B246" t="str">
            <v>15418 04 140</v>
          </cell>
        </row>
        <row r="247">
          <cell r="B247" t="str">
            <v>15418 DN 140</v>
          </cell>
        </row>
        <row r="248">
          <cell r="B248" t="str">
            <v>15418 GK 140</v>
          </cell>
        </row>
        <row r="249">
          <cell r="B249" t="str">
            <v>15418 MR 140</v>
          </cell>
        </row>
        <row r="250">
          <cell r="B250" t="str">
            <v>15428 03 140</v>
          </cell>
        </row>
        <row r="251">
          <cell r="B251" t="str">
            <v>15428 03 180</v>
          </cell>
        </row>
        <row r="252">
          <cell r="B252" t="str">
            <v>15428 04 180</v>
          </cell>
        </row>
        <row r="253">
          <cell r="B253" t="str">
            <v>15428 1A 180</v>
          </cell>
        </row>
        <row r="254">
          <cell r="B254" t="str">
            <v>15428 ED 180</v>
          </cell>
        </row>
        <row r="255">
          <cell r="B255" t="str">
            <v>15428 FJ 180</v>
          </cell>
        </row>
        <row r="256">
          <cell r="B256" t="str">
            <v>15428 IL 180</v>
          </cell>
        </row>
        <row r="257">
          <cell r="B257" t="str">
            <v>15428 ZJ 180</v>
          </cell>
        </row>
        <row r="258">
          <cell r="B258" t="str">
            <v>17918 03 135</v>
          </cell>
        </row>
        <row r="259">
          <cell r="B259" t="str">
            <v>17918 04 135</v>
          </cell>
        </row>
        <row r="260">
          <cell r="B260" t="str">
            <v>17918 1A 135</v>
          </cell>
        </row>
        <row r="261">
          <cell r="B261" t="str">
            <v>17918 ED 135</v>
          </cell>
        </row>
        <row r="262">
          <cell r="B262" t="str">
            <v>17918 IL 135</v>
          </cell>
        </row>
        <row r="263">
          <cell r="B263" t="str">
            <v>17918 ZJ 135</v>
          </cell>
        </row>
        <row r="264">
          <cell r="B264" t="str">
            <v>17936 03 132</v>
          </cell>
        </row>
        <row r="265">
          <cell r="B265" t="str">
            <v>17936 FO 132</v>
          </cell>
        </row>
        <row r="266">
          <cell r="B266" t="str">
            <v>17936 IJ 132</v>
          </cell>
        </row>
        <row r="267">
          <cell r="B267" t="str">
            <v>17936 LN 132</v>
          </cell>
        </row>
        <row r="268">
          <cell r="B268" t="str">
            <v>17936 TT 132</v>
          </cell>
        </row>
        <row r="269">
          <cell r="B269" t="str">
            <v>17936 UT 132</v>
          </cell>
        </row>
        <row r="270">
          <cell r="B270" t="str">
            <v>17936 WA 132</v>
          </cell>
        </row>
        <row r="271">
          <cell r="B271" t="str">
            <v>17941 03 110</v>
          </cell>
        </row>
        <row r="272">
          <cell r="B272" t="str">
            <v>17943 03 105</v>
          </cell>
        </row>
        <row r="273">
          <cell r="B273" t="str">
            <v>17943 04 105</v>
          </cell>
        </row>
        <row r="274">
          <cell r="B274" t="str">
            <v>17944 03 105</v>
          </cell>
        </row>
        <row r="275">
          <cell r="B275" t="str">
            <v>17944 04 105</v>
          </cell>
        </row>
        <row r="276">
          <cell r="B276" t="str">
            <v>17945 FO 134</v>
          </cell>
        </row>
        <row r="277">
          <cell r="B277" t="str">
            <v>17945 YT 134</v>
          </cell>
        </row>
        <row r="278">
          <cell r="B278" t="str">
            <v>18094 03 139</v>
          </cell>
        </row>
        <row r="279">
          <cell r="B279" t="str">
            <v>18094 YT 139</v>
          </cell>
        </row>
        <row r="280">
          <cell r="B280" t="str">
            <v>18099 03 140</v>
          </cell>
        </row>
        <row r="281">
          <cell r="B281" t="str">
            <v>18202 03 100</v>
          </cell>
        </row>
        <row r="282">
          <cell r="B282" t="str">
            <v>18202 04 100</v>
          </cell>
        </row>
        <row r="283">
          <cell r="B283" t="str">
            <v>18202 1A 100</v>
          </cell>
        </row>
        <row r="284">
          <cell r="B284" t="str">
            <v>18202 1B 100</v>
          </cell>
        </row>
        <row r="285">
          <cell r="B285" t="str">
            <v>18202 1C 100</v>
          </cell>
        </row>
        <row r="286">
          <cell r="B286" t="str">
            <v>18202 2A 100</v>
          </cell>
        </row>
        <row r="287">
          <cell r="B287" t="str">
            <v>18202 2E 100</v>
          </cell>
        </row>
        <row r="288">
          <cell r="B288" t="str">
            <v>18202 2M 100</v>
          </cell>
        </row>
        <row r="289">
          <cell r="B289" t="str">
            <v>18202 DN 100</v>
          </cell>
        </row>
        <row r="290">
          <cell r="B290" t="str">
            <v>18202 EA 100</v>
          </cell>
        </row>
        <row r="291">
          <cell r="B291" t="str">
            <v>18202 ED 100</v>
          </cell>
        </row>
        <row r="292">
          <cell r="B292" t="str">
            <v>18202 EI 100</v>
          </cell>
        </row>
        <row r="293">
          <cell r="B293" t="str">
            <v>18202 FE 100</v>
          </cell>
        </row>
        <row r="294">
          <cell r="B294" t="str">
            <v>18202 FJ 100</v>
          </cell>
        </row>
        <row r="295">
          <cell r="B295" t="str">
            <v>18202 FO 100</v>
          </cell>
        </row>
        <row r="296">
          <cell r="B296" t="str">
            <v>18202 GK 100</v>
          </cell>
        </row>
        <row r="297">
          <cell r="B297" t="str">
            <v>18202 IJ 100</v>
          </cell>
        </row>
        <row r="298">
          <cell r="B298" t="str">
            <v>18202 IL 100</v>
          </cell>
        </row>
        <row r="299">
          <cell r="B299" t="str">
            <v>18202 MR 100</v>
          </cell>
        </row>
        <row r="300">
          <cell r="B300" t="str">
            <v>18202 NO 100</v>
          </cell>
        </row>
        <row r="301">
          <cell r="B301" t="str">
            <v>18202 NQ 100</v>
          </cell>
        </row>
        <row r="302">
          <cell r="B302" t="str">
            <v>18202 SP 100</v>
          </cell>
        </row>
        <row r="303">
          <cell r="B303" t="str">
            <v>18202 SZ 100</v>
          </cell>
        </row>
        <row r="304">
          <cell r="B304" t="str">
            <v>18202 TR 100</v>
          </cell>
        </row>
        <row r="305">
          <cell r="B305" t="str">
            <v>18202 UT 100</v>
          </cell>
        </row>
        <row r="306">
          <cell r="B306" t="str">
            <v>18202 VJ 100</v>
          </cell>
        </row>
        <row r="307">
          <cell r="B307" t="str">
            <v>18202 YT 100</v>
          </cell>
        </row>
        <row r="308">
          <cell r="B308" t="str">
            <v>18202 ZJ 100</v>
          </cell>
        </row>
        <row r="309">
          <cell r="B309" t="str">
            <v>18349 00 130</v>
          </cell>
        </row>
        <row r="310">
          <cell r="B310" t="str">
            <v>18402 03 140</v>
          </cell>
        </row>
        <row r="311">
          <cell r="B311" t="str">
            <v>18942 03 110</v>
          </cell>
        </row>
        <row r="312">
          <cell r="B312" t="str">
            <v>23710 26 135</v>
          </cell>
        </row>
        <row r="313">
          <cell r="B313" t="str">
            <v>23735 03 147</v>
          </cell>
        </row>
        <row r="314">
          <cell r="B314" t="str">
            <v>23742 03 140</v>
          </cell>
        </row>
        <row r="315">
          <cell r="B315" t="str">
            <v>23744 03 140</v>
          </cell>
        </row>
        <row r="316">
          <cell r="B316" t="str">
            <v>23749 03 145</v>
          </cell>
        </row>
        <row r="317">
          <cell r="B317" t="str">
            <v>23753 03 147</v>
          </cell>
        </row>
        <row r="318">
          <cell r="B318" t="str">
            <v>23781 1B 137</v>
          </cell>
        </row>
        <row r="319">
          <cell r="B319" t="str">
            <v>23787 03 137</v>
          </cell>
        </row>
        <row r="320">
          <cell r="B320" t="str">
            <v>23787 04 137</v>
          </cell>
        </row>
        <row r="321">
          <cell r="B321" t="str">
            <v>23787 1B 137</v>
          </cell>
        </row>
        <row r="322">
          <cell r="B322" t="str">
            <v>23787 1C 137</v>
          </cell>
        </row>
        <row r="323">
          <cell r="B323" t="str">
            <v>23787 2A 137</v>
          </cell>
        </row>
        <row r="324">
          <cell r="B324" t="str">
            <v>23787 2E 137</v>
          </cell>
        </row>
        <row r="325">
          <cell r="B325" t="str">
            <v>23787 2J 137</v>
          </cell>
        </row>
        <row r="326">
          <cell r="B326" t="str">
            <v>23810 26 135</v>
          </cell>
        </row>
        <row r="327">
          <cell r="B327" t="str">
            <v>23842 03 135</v>
          </cell>
        </row>
        <row r="328">
          <cell r="B328" t="str">
            <v>23842 03 215</v>
          </cell>
        </row>
        <row r="329">
          <cell r="B329" t="str">
            <v>23844 03 135</v>
          </cell>
        </row>
        <row r="330">
          <cell r="B330" t="str">
            <v>23942 03 135</v>
          </cell>
        </row>
        <row r="331">
          <cell r="B331" t="str">
            <v>24121 ZJ 127</v>
          </cell>
        </row>
        <row r="332">
          <cell r="B332" t="str">
            <v>24821 03 135</v>
          </cell>
        </row>
        <row r="333">
          <cell r="B333" t="str">
            <v>24821 04 135</v>
          </cell>
        </row>
        <row r="334">
          <cell r="B334" t="str">
            <v>24821 DN 135</v>
          </cell>
        </row>
        <row r="335">
          <cell r="B335" t="str">
            <v>24821 GK 135</v>
          </cell>
        </row>
        <row r="336">
          <cell r="B336" t="str">
            <v>24821 MR 135</v>
          </cell>
        </row>
        <row r="337">
          <cell r="B337" t="str">
            <v>26319 03 000</v>
          </cell>
        </row>
        <row r="338">
          <cell r="B338" t="str">
            <v>26319 26 000</v>
          </cell>
        </row>
        <row r="339">
          <cell r="B339" t="str">
            <v>26381 26 000</v>
          </cell>
        </row>
        <row r="340">
          <cell r="B340" t="str">
            <v>26970 1B 000</v>
          </cell>
        </row>
        <row r="341">
          <cell r="B341" t="str">
            <v>26970 1C 000</v>
          </cell>
        </row>
        <row r="342">
          <cell r="B342" t="str">
            <v>26970 2E 000</v>
          </cell>
        </row>
        <row r="343">
          <cell r="B343" t="str">
            <v>27223 03 092</v>
          </cell>
        </row>
        <row r="344">
          <cell r="B344" t="str">
            <v>28121 03 127</v>
          </cell>
        </row>
        <row r="345">
          <cell r="B345" t="str">
            <v>28121 04 127</v>
          </cell>
        </row>
        <row r="346">
          <cell r="B346" t="str">
            <v>28121 ZJ 127</v>
          </cell>
        </row>
        <row r="347">
          <cell r="B347" t="str">
            <v>28328 03 000</v>
          </cell>
        </row>
        <row r="348">
          <cell r="B348" t="str">
            <v>28328 04 000</v>
          </cell>
        </row>
        <row r="349">
          <cell r="B349" t="str">
            <v>28328 1B 000</v>
          </cell>
        </row>
        <row r="350">
          <cell r="B350" t="str">
            <v>28328 1C 000</v>
          </cell>
        </row>
        <row r="351">
          <cell r="B351" t="str">
            <v>28328 2J 000</v>
          </cell>
        </row>
        <row r="352">
          <cell r="B352" t="str">
            <v>28329 2E 000</v>
          </cell>
        </row>
        <row r="353">
          <cell r="B353" t="str">
            <v>28329 2J 000</v>
          </cell>
        </row>
        <row r="354">
          <cell r="B354" t="str">
            <v>28329 3A 000</v>
          </cell>
        </row>
        <row r="355">
          <cell r="B355" t="str">
            <v>28329 3B 000</v>
          </cell>
        </row>
        <row r="356">
          <cell r="B356" t="str">
            <v>28906 03 011</v>
          </cell>
        </row>
        <row r="357">
          <cell r="B357" t="str">
            <v>28906 04 011</v>
          </cell>
        </row>
        <row r="358">
          <cell r="B358" t="str">
            <v>28906 C9 011</v>
          </cell>
        </row>
        <row r="359">
          <cell r="B359" t="str">
            <v>28906 FO 011</v>
          </cell>
        </row>
        <row r="360">
          <cell r="B360" t="str">
            <v>28906 IJ 011</v>
          </cell>
        </row>
        <row r="361">
          <cell r="B361" t="str">
            <v>28906 K9 011</v>
          </cell>
        </row>
        <row r="362">
          <cell r="B362" t="str">
            <v>28906 LN 011</v>
          </cell>
        </row>
        <row r="363">
          <cell r="B363" t="str">
            <v>28906 TT 011</v>
          </cell>
        </row>
        <row r="364">
          <cell r="B364" t="str">
            <v>28906 UT 011</v>
          </cell>
        </row>
        <row r="365">
          <cell r="B365" t="str">
            <v>28906 WA 011</v>
          </cell>
        </row>
        <row r="366">
          <cell r="B366" t="str">
            <v>28906 YT 011</v>
          </cell>
        </row>
        <row r="367">
          <cell r="B367" t="str">
            <v>28907 03 011</v>
          </cell>
        </row>
        <row r="368">
          <cell r="B368" t="str">
            <v>28907 04 011</v>
          </cell>
        </row>
        <row r="369">
          <cell r="B369" t="str">
            <v>28907 C9 011</v>
          </cell>
        </row>
        <row r="370">
          <cell r="B370" t="str">
            <v>28907 FO 011</v>
          </cell>
        </row>
        <row r="371">
          <cell r="B371" t="str">
            <v>28907 IJ 011</v>
          </cell>
        </row>
        <row r="372">
          <cell r="B372" t="str">
            <v>28907 K9 011</v>
          </cell>
        </row>
        <row r="373">
          <cell r="B373" t="str">
            <v>28907 LN 011</v>
          </cell>
        </row>
        <row r="374">
          <cell r="B374" t="str">
            <v>28907 TT 011</v>
          </cell>
        </row>
        <row r="375">
          <cell r="B375" t="str">
            <v>28907 UT 011</v>
          </cell>
        </row>
        <row r="376">
          <cell r="B376" t="str">
            <v>28907 WA 011</v>
          </cell>
        </row>
        <row r="377">
          <cell r="B377" t="str">
            <v>28907 YT 011</v>
          </cell>
        </row>
        <row r="378">
          <cell r="B378" t="str">
            <v>28908 K9 000</v>
          </cell>
        </row>
        <row r="379">
          <cell r="B379" t="str">
            <v>28908 TT 000</v>
          </cell>
        </row>
        <row r="380">
          <cell r="B380" t="str">
            <v>28909 K9 000</v>
          </cell>
        </row>
        <row r="381">
          <cell r="B381" t="str">
            <v>28909 TT 000</v>
          </cell>
        </row>
        <row r="382">
          <cell r="B382" t="str">
            <v>28910 03 022</v>
          </cell>
        </row>
        <row r="383">
          <cell r="B383" t="str">
            <v>28910 04 022</v>
          </cell>
        </row>
        <row r="384">
          <cell r="B384" t="str">
            <v>28910 C9 022</v>
          </cell>
        </row>
        <row r="385">
          <cell r="B385" t="str">
            <v>28910 FO 022</v>
          </cell>
        </row>
        <row r="386">
          <cell r="B386" t="str">
            <v>28910 IJ 022</v>
          </cell>
        </row>
        <row r="387">
          <cell r="B387" t="str">
            <v>28910 K9 022</v>
          </cell>
        </row>
        <row r="388">
          <cell r="B388" t="str">
            <v>28910 LN 022</v>
          </cell>
        </row>
        <row r="389">
          <cell r="B389" t="str">
            <v>28910 TT 022</v>
          </cell>
        </row>
        <row r="390">
          <cell r="B390" t="str">
            <v>28910 UT 022</v>
          </cell>
        </row>
        <row r="391">
          <cell r="B391" t="str">
            <v>28910 WA 022</v>
          </cell>
        </row>
        <row r="392">
          <cell r="B392" t="str">
            <v>28910 YT 022</v>
          </cell>
        </row>
        <row r="393">
          <cell r="B393" t="str">
            <v>28977 04 000</v>
          </cell>
        </row>
        <row r="394">
          <cell r="B394" t="str">
            <v>32094 03 220</v>
          </cell>
        </row>
        <row r="395">
          <cell r="B395" t="str">
            <v>32094 04 220</v>
          </cell>
        </row>
        <row r="396">
          <cell r="B396" t="str">
            <v>32094 ZJ 220</v>
          </cell>
        </row>
        <row r="397">
          <cell r="B397" t="str">
            <v>32132 03 195</v>
          </cell>
        </row>
        <row r="398">
          <cell r="B398" t="str">
            <v>32132 03 215</v>
          </cell>
        </row>
        <row r="399">
          <cell r="B399" t="str">
            <v>32132 26 195</v>
          </cell>
        </row>
        <row r="400">
          <cell r="B400" t="str">
            <v>32521 03 175</v>
          </cell>
        </row>
        <row r="401">
          <cell r="B401" t="str">
            <v>32527 03 150</v>
          </cell>
        </row>
        <row r="402">
          <cell r="B402" t="str">
            <v>32527 04 150</v>
          </cell>
        </row>
        <row r="403">
          <cell r="B403" t="str">
            <v>32527 DN 150</v>
          </cell>
        </row>
        <row r="404">
          <cell r="B404" t="str">
            <v>32527 GK 150</v>
          </cell>
        </row>
        <row r="405">
          <cell r="B405" t="str">
            <v>32527 MR 150</v>
          </cell>
        </row>
        <row r="406">
          <cell r="B406" t="str">
            <v>32692 03 215</v>
          </cell>
        </row>
        <row r="407">
          <cell r="B407" t="str">
            <v>32692 26 215</v>
          </cell>
        </row>
        <row r="408">
          <cell r="B408" t="str">
            <v>32692 TX 205</v>
          </cell>
        </row>
        <row r="409">
          <cell r="B409" t="str">
            <v>32903 FO 220</v>
          </cell>
        </row>
        <row r="410">
          <cell r="B410" t="str">
            <v>32903 IJ 220</v>
          </cell>
        </row>
        <row r="411">
          <cell r="B411" t="str">
            <v>32903 UT 220</v>
          </cell>
        </row>
        <row r="412">
          <cell r="B412" t="str">
            <v>32904 03 152</v>
          </cell>
        </row>
        <row r="413">
          <cell r="B413" t="str">
            <v>32904 04 150</v>
          </cell>
        </row>
        <row r="414">
          <cell r="B414" t="str">
            <v>32904 04 152</v>
          </cell>
        </row>
        <row r="415">
          <cell r="B415" t="str">
            <v>32904 1A 152</v>
          </cell>
        </row>
        <row r="416">
          <cell r="B416" t="str">
            <v>32904 2E 152</v>
          </cell>
        </row>
        <row r="417">
          <cell r="B417" t="str">
            <v>32904 2G 152</v>
          </cell>
        </row>
        <row r="418">
          <cell r="B418" t="str">
            <v>32904 2J 152</v>
          </cell>
        </row>
        <row r="419">
          <cell r="B419" t="str">
            <v>32904 3A 152</v>
          </cell>
        </row>
        <row r="420">
          <cell r="B420" t="str">
            <v>32904 3C 152</v>
          </cell>
        </row>
        <row r="421">
          <cell r="B421" t="str">
            <v>32904 3D 152</v>
          </cell>
        </row>
        <row r="422">
          <cell r="B422" t="str">
            <v>32904 3E 152</v>
          </cell>
        </row>
        <row r="423">
          <cell r="B423" t="str">
            <v>32904 DR 152</v>
          </cell>
        </row>
        <row r="424">
          <cell r="B424" t="str">
            <v>32904 ED 152</v>
          </cell>
        </row>
        <row r="425">
          <cell r="B425" t="str">
            <v>32904 ES 152</v>
          </cell>
        </row>
        <row r="426">
          <cell r="B426" t="str">
            <v>32904 FJ 152</v>
          </cell>
        </row>
        <row r="427">
          <cell r="B427" t="str">
            <v>32904 FO 152</v>
          </cell>
        </row>
        <row r="428">
          <cell r="B428" t="str">
            <v>32904 IJ 152</v>
          </cell>
        </row>
        <row r="429">
          <cell r="B429" t="str">
            <v>32904 IL 152</v>
          </cell>
        </row>
        <row r="430">
          <cell r="B430" t="str">
            <v>32904 LN 152</v>
          </cell>
        </row>
        <row r="431">
          <cell r="B431" t="str">
            <v>32904 LP 152</v>
          </cell>
        </row>
        <row r="432">
          <cell r="B432" t="str">
            <v>32904 OF 152</v>
          </cell>
        </row>
        <row r="433">
          <cell r="B433" t="str">
            <v>32904 PJ 152</v>
          </cell>
        </row>
        <row r="434">
          <cell r="B434" t="str">
            <v>32904 PT 152</v>
          </cell>
        </row>
        <row r="435">
          <cell r="B435" t="str">
            <v>32904 RD 152</v>
          </cell>
        </row>
        <row r="436">
          <cell r="B436" t="str">
            <v>32904 TI 152</v>
          </cell>
        </row>
        <row r="437">
          <cell r="B437" t="str">
            <v>32904 UT 152</v>
          </cell>
        </row>
        <row r="438">
          <cell r="B438" t="str">
            <v>32904 WA 152</v>
          </cell>
        </row>
        <row r="439">
          <cell r="B439" t="str">
            <v>32904 WG 152</v>
          </cell>
        </row>
        <row r="440">
          <cell r="B440" t="str">
            <v>32904 WH 152</v>
          </cell>
        </row>
        <row r="441">
          <cell r="B441" t="str">
            <v>32904 YA 152</v>
          </cell>
        </row>
        <row r="442">
          <cell r="B442" t="str">
            <v>32904 YB 152</v>
          </cell>
        </row>
        <row r="443">
          <cell r="B443" t="str">
            <v>32904 YE 152</v>
          </cell>
        </row>
        <row r="444">
          <cell r="B444" t="str">
            <v>32904 YT 152</v>
          </cell>
        </row>
        <row r="445">
          <cell r="B445" t="str">
            <v>32904 ZJ 152</v>
          </cell>
        </row>
        <row r="446">
          <cell r="B446" t="str">
            <v>32928 03 147</v>
          </cell>
        </row>
        <row r="447">
          <cell r="B447" t="str">
            <v>32928 03 152</v>
          </cell>
        </row>
        <row r="448">
          <cell r="B448" t="str">
            <v>32928 04 147</v>
          </cell>
        </row>
        <row r="449">
          <cell r="B449" t="str">
            <v>32928 04 152</v>
          </cell>
        </row>
        <row r="450">
          <cell r="B450" t="str">
            <v>32928 FO 147</v>
          </cell>
        </row>
        <row r="451">
          <cell r="B451" t="str">
            <v>32928 FO 152</v>
          </cell>
        </row>
        <row r="452">
          <cell r="B452" t="str">
            <v>32928 IJ 147</v>
          </cell>
        </row>
        <row r="453">
          <cell r="B453" t="str">
            <v>32928 LN 152</v>
          </cell>
        </row>
        <row r="454">
          <cell r="B454" t="str">
            <v>32928 TT 152</v>
          </cell>
        </row>
        <row r="455">
          <cell r="B455" t="str">
            <v>32928 UT 152</v>
          </cell>
        </row>
        <row r="456">
          <cell r="B456" t="str">
            <v>32928 WA 147</v>
          </cell>
        </row>
        <row r="457">
          <cell r="B457" t="str">
            <v>32928 WA 152</v>
          </cell>
        </row>
        <row r="458">
          <cell r="B458" t="str">
            <v>32928 YT 147</v>
          </cell>
        </row>
        <row r="459">
          <cell r="B459" t="str">
            <v>32928 YT 152</v>
          </cell>
        </row>
        <row r="460">
          <cell r="B460" t="str">
            <v>32937 03 147</v>
          </cell>
        </row>
        <row r="461">
          <cell r="B461" t="str">
            <v>32951 03 085</v>
          </cell>
        </row>
        <row r="462">
          <cell r="B462" t="str">
            <v>32954 03 144</v>
          </cell>
        </row>
        <row r="463">
          <cell r="B463" t="str">
            <v>32954 04 144</v>
          </cell>
        </row>
        <row r="464">
          <cell r="B464" t="str">
            <v>32954 1B 144</v>
          </cell>
        </row>
        <row r="465">
          <cell r="B465" t="str">
            <v>32954 1C 144</v>
          </cell>
        </row>
        <row r="466">
          <cell r="B466" t="str">
            <v>32954 2A 144</v>
          </cell>
        </row>
        <row r="467">
          <cell r="B467" t="str">
            <v>32954 2E 144</v>
          </cell>
        </row>
        <row r="468">
          <cell r="B468" t="str">
            <v>35201 03 010</v>
          </cell>
        </row>
        <row r="469">
          <cell r="B469" t="str">
            <v>35201 03 012</v>
          </cell>
        </row>
        <row r="470">
          <cell r="B470" t="str">
            <v>35201 04 010</v>
          </cell>
        </row>
        <row r="471">
          <cell r="B471" t="str">
            <v>35201 04 012</v>
          </cell>
        </row>
        <row r="472">
          <cell r="B472" t="str">
            <v>35201 1A 010</v>
          </cell>
        </row>
        <row r="473">
          <cell r="B473" t="str">
            <v>35201 1A 012</v>
          </cell>
        </row>
        <row r="474">
          <cell r="B474" t="str">
            <v>35201 26 012</v>
          </cell>
        </row>
        <row r="475">
          <cell r="B475" t="str">
            <v>35201 2G 010</v>
          </cell>
        </row>
        <row r="476">
          <cell r="B476" t="str">
            <v>35201 2G 012</v>
          </cell>
        </row>
        <row r="477">
          <cell r="B477" t="str">
            <v>35201 DA 010</v>
          </cell>
        </row>
        <row r="478">
          <cell r="B478" t="str">
            <v>35201 DA 012</v>
          </cell>
        </row>
        <row r="479">
          <cell r="B479" t="str">
            <v>35201 DR 010</v>
          </cell>
        </row>
        <row r="480">
          <cell r="B480" t="str">
            <v>35201 DR 012</v>
          </cell>
        </row>
        <row r="481">
          <cell r="B481" t="str">
            <v>35201 DT 010</v>
          </cell>
        </row>
        <row r="482">
          <cell r="B482" t="str">
            <v>35201 ED 010</v>
          </cell>
        </row>
        <row r="483">
          <cell r="B483" t="str">
            <v>35201 ED 012</v>
          </cell>
        </row>
        <row r="484">
          <cell r="B484" t="str">
            <v>35201 ES 010</v>
          </cell>
        </row>
        <row r="485">
          <cell r="B485" t="str">
            <v>35201 ES 012</v>
          </cell>
        </row>
        <row r="486">
          <cell r="B486" t="str">
            <v>35201 FJ 010</v>
          </cell>
        </row>
        <row r="487">
          <cell r="B487" t="str">
            <v>35201 FJ 012</v>
          </cell>
        </row>
        <row r="488">
          <cell r="B488" t="str">
            <v>35201 IL 010</v>
          </cell>
        </row>
        <row r="489">
          <cell r="B489" t="str">
            <v>35201 IL 012</v>
          </cell>
        </row>
        <row r="490">
          <cell r="B490" t="str">
            <v>35201 LP 010</v>
          </cell>
        </row>
        <row r="491">
          <cell r="B491" t="str">
            <v>35201 LP 012</v>
          </cell>
        </row>
        <row r="492">
          <cell r="B492" t="str">
            <v>35201 PJ 010</v>
          </cell>
        </row>
        <row r="493">
          <cell r="B493" t="str">
            <v>35201 PJ 012</v>
          </cell>
        </row>
        <row r="494">
          <cell r="B494" t="str">
            <v>35201 RD 010</v>
          </cell>
        </row>
        <row r="495">
          <cell r="B495" t="str">
            <v>35201 TI 010</v>
          </cell>
        </row>
        <row r="496">
          <cell r="B496" t="str">
            <v>35201 TI 012</v>
          </cell>
        </row>
        <row r="497">
          <cell r="B497" t="str">
            <v>35201 UT 010</v>
          </cell>
        </row>
        <row r="498">
          <cell r="B498" t="str">
            <v>35201 UT 012</v>
          </cell>
        </row>
        <row r="499">
          <cell r="B499" t="str">
            <v>35201 WA 010</v>
          </cell>
        </row>
        <row r="500">
          <cell r="B500" t="str">
            <v>35201 WA 012</v>
          </cell>
        </row>
        <row r="501">
          <cell r="B501" t="str">
            <v>35201 WG 010</v>
          </cell>
        </row>
        <row r="502">
          <cell r="B502" t="str">
            <v>35201 WG 012</v>
          </cell>
        </row>
        <row r="503">
          <cell r="B503" t="str">
            <v>35201 WH 010</v>
          </cell>
        </row>
        <row r="504">
          <cell r="B504" t="str">
            <v>35201 ZJ 010</v>
          </cell>
        </row>
        <row r="505">
          <cell r="B505" t="str">
            <v>35201 ZJ 012</v>
          </cell>
        </row>
        <row r="506">
          <cell r="B506" t="str">
            <v>35203 PN 012</v>
          </cell>
        </row>
        <row r="507">
          <cell r="B507" t="str">
            <v>35258 03 012</v>
          </cell>
        </row>
        <row r="508">
          <cell r="B508" t="str">
            <v>35258 26 012</v>
          </cell>
        </row>
        <row r="509">
          <cell r="B509" t="str">
            <v>35284 03 010</v>
          </cell>
        </row>
        <row r="510">
          <cell r="B510" t="str">
            <v>35284 04 010</v>
          </cell>
        </row>
        <row r="511">
          <cell r="B511" t="str">
            <v>35284 DN 010</v>
          </cell>
        </row>
        <row r="512">
          <cell r="B512" t="str">
            <v>35284 GK 010</v>
          </cell>
        </row>
        <row r="513">
          <cell r="B513" t="str">
            <v>35284 MR 010</v>
          </cell>
        </row>
        <row r="514">
          <cell r="B514" t="str">
            <v>35294 03 012</v>
          </cell>
        </row>
        <row r="515">
          <cell r="B515" t="str">
            <v>35294 04 012</v>
          </cell>
        </row>
        <row r="516">
          <cell r="B516" t="str">
            <v>35693 03 012</v>
          </cell>
        </row>
        <row r="517">
          <cell r="B517" t="str">
            <v>35693 03 015</v>
          </cell>
        </row>
        <row r="518">
          <cell r="B518" t="str">
            <v>35693 03 019</v>
          </cell>
        </row>
        <row r="519">
          <cell r="B519" t="str">
            <v>35693 26 012</v>
          </cell>
        </row>
        <row r="520">
          <cell r="B520" t="str">
            <v>35693 26 019</v>
          </cell>
        </row>
        <row r="521">
          <cell r="B521" t="str">
            <v>36203 03 010</v>
          </cell>
        </row>
        <row r="522">
          <cell r="B522" t="str">
            <v>36203 04 010</v>
          </cell>
        </row>
        <row r="523">
          <cell r="B523" t="str">
            <v>36203 PN 010</v>
          </cell>
        </row>
        <row r="524">
          <cell r="B524" t="str">
            <v>36203 TX 010</v>
          </cell>
        </row>
        <row r="525">
          <cell r="B525" t="str">
            <v>36203 TX 012</v>
          </cell>
        </row>
        <row r="526">
          <cell r="B526" t="str">
            <v>36253 TX 010</v>
          </cell>
        </row>
        <row r="527">
          <cell r="B527" t="str">
            <v>36611 26 022</v>
          </cell>
        </row>
        <row r="528">
          <cell r="B528" t="str">
            <v>36623 03 012</v>
          </cell>
        </row>
        <row r="529">
          <cell r="B529" t="str">
            <v>36623 03 015</v>
          </cell>
        </row>
        <row r="530">
          <cell r="B530" t="str">
            <v>36623 03 019</v>
          </cell>
        </row>
        <row r="531">
          <cell r="B531" t="str">
            <v>36623 26 019</v>
          </cell>
        </row>
        <row r="532">
          <cell r="B532" t="str">
            <v>36623 EA 012</v>
          </cell>
        </row>
        <row r="533">
          <cell r="B533" t="str">
            <v>36623 NO 012</v>
          </cell>
        </row>
        <row r="534">
          <cell r="B534" t="str">
            <v>36623 NQ 012</v>
          </cell>
        </row>
        <row r="535">
          <cell r="B535" t="str">
            <v>36623 SP 012</v>
          </cell>
        </row>
        <row r="536">
          <cell r="B536" t="str">
            <v>36623 SZ 012</v>
          </cell>
        </row>
        <row r="537">
          <cell r="B537" t="str">
            <v>36623 TR 012</v>
          </cell>
        </row>
        <row r="538">
          <cell r="B538" t="str">
            <v>36623 VJ 012</v>
          </cell>
        </row>
        <row r="539">
          <cell r="B539" t="str">
            <v>36624 03 010</v>
          </cell>
        </row>
        <row r="540">
          <cell r="B540" t="str">
            <v>36624 04 010</v>
          </cell>
        </row>
        <row r="541">
          <cell r="B541" t="str">
            <v>36624 ZJ 010</v>
          </cell>
        </row>
        <row r="542">
          <cell r="B542" t="str">
            <v>36693 03 012</v>
          </cell>
        </row>
        <row r="543">
          <cell r="B543" t="str">
            <v>36693 26 015</v>
          </cell>
        </row>
        <row r="544">
          <cell r="B544" t="str">
            <v>36702 03 012</v>
          </cell>
        </row>
        <row r="545">
          <cell r="B545" t="str">
            <v>36702 03 015</v>
          </cell>
        </row>
        <row r="546">
          <cell r="B546" t="str">
            <v>36702 04 012</v>
          </cell>
        </row>
        <row r="547">
          <cell r="B547" t="str">
            <v>36702 26 012</v>
          </cell>
        </row>
        <row r="548">
          <cell r="B548" t="str">
            <v>36702 26 015</v>
          </cell>
        </row>
        <row r="549">
          <cell r="B549" t="str">
            <v>36770 03 010</v>
          </cell>
        </row>
        <row r="550">
          <cell r="B550" t="str">
            <v>36770 03 012</v>
          </cell>
        </row>
        <row r="551">
          <cell r="B551" t="str">
            <v>36770 04 010</v>
          </cell>
        </row>
        <row r="552">
          <cell r="B552" t="str">
            <v>36770 04 012</v>
          </cell>
        </row>
        <row r="553">
          <cell r="B553" t="str">
            <v>36770 1B 012</v>
          </cell>
        </row>
        <row r="554">
          <cell r="B554" t="str">
            <v>36770 1C 012</v>
          </cell>
        </row>
        <row r="555">
          <cell r="B555" t="str">
            <v>36770 2A 012</v>
          </cell>
        </row>
        <row r="556">
          <cell r="B556" t="str">
            <v>36770 2E 012</v>
          </cell>
        </row>
        <row r="557">
          <cell r="B557" t="str">
            <v>36770 DN 010</v>
          </cell>
        </row>
        <row r="558">
          <cell r="B558" t="str">
            <v>36770 GK 010</v>
          </cell>
        </row>
        <row r="559">
          <cell r="B559" t="str">
            <v>36770 GK 012</v>
          </cell>
        </row>
        <row r="560">
          <cell r="B560" t="str">
            <v>36770 MR 010</v>
          </cell>
        </row>
        <row r="561">
          <cell r="B561" t="str">
            <v>36772 03 012</v>
          </cell>
        </row>
        <row r="562">
          <cell r="B562" t="str">
            <v>36777 03 010</v>
          </cell>
        </row>
        <row r="563">
          <cell r="B563" t="str">
            <v>36777 04 010</v>
          </cell>
        </row>
        <row r="564">
          <cell r="B564" t="str">
            <v>36777 PN 010</v>
          </cell>
        </row>
        <row r="565">
          <cell r="B565" t="str">
            <v>36777 TX 010</v>
          </cell>
        </row>
        <row r="566">
          <cell r="B566" t="str">
            <v>36780 03 010</v>
          </cell>
        </row>
        <row r="567">
          <cell r="B567" t="str">
            <v>36780 03 012</v>
          </cell>
        </row>
        <row r="568">
          <cell r="B568" t="str">
            <v>36780 03 015</v>
          </cell>
        </row>
        <row r="569">
          <cell r="B569" t="str">
            <v>36780 04 010</v>
          </cell>
        </row>
        <row r="570">
          <cell r="B570" t="str">
            <v>36780 04 012</v>
          </cell>
        </row>
        <row r="571">
          <cell r="B571" t="str">
            <v>36780 04 015</v>
          </cell>
        </row>
        <row r="572">
          <cell r="B572" t="str">
            <v>36780 1A 010</v>
          </cell>
        </row>
        <row r="573">
          <cell r="B573" t="str">
            <v>36780 2G 010</v>
          </cell>
        </row>
        <row r="574">
          <cell r="B574" t="str">
            <v>36780 2G 012</v>
          </cell>
        </row>
        <row r="575">
          <cell r="B575" t="str">
            <v>36780 2G 015</v>
          </cell>
        </row>
        <row r="576">
          <cell r="B576" t="str">
            <v>36780 DR 010</v>
          </cell>
        </row>
        <row r="577">
          <cell r="B577" t="str">
            <v>36780 DR 012</v>
          </cell>
        </row>
        <row r="578">
          <cell r="B578" t="str">
            <v>36780 ED 010</v>
          </cell>
        </row>
        <row r="579">
          <cell r="B579" t="str">
            <v>36780 ED 015</v>
          </cell>
        </row>
        <row r="580">
          <cell r="B580" t="str">
            <v>36780 ES 010</v>
          </cell>
        </row>
        <row r="581">
          <cell r="B581" t="str">
            <v>36780 ES 012</v>
          </cell>
        </row>
        <row r="582">
          <cell r="B582" t="str">
            <v>36780 ES 015</v>
          </cell>
        </row>
        <row r="583">
          <cell r="B583" t="str">
            <v>36780 FJ 010</v>
          </cell>
        </row>
        <row r="584">
          <cell r="B584" t="str">
            <v>36780 FJ 012</v>
          </cell>
        </row>
        <row r="585">
          <cell r="B585" t="str">
            <v>36780 FJ 015</v>
          </cell>
        </row>
        <row r="586">
          <cell r="B586" t="str">
            <v>36780 IL 010</v>
          </cell>
        </row>
        <row r="587">
          <cell r="B587" t="str">
            <v>36780 IL 012</v>
          </cell>
        </row>
        <row r="588">
          <cell r="B588" t="str">
            <v>36780 IL 015</v>
          </cell>
        </row>
        <row r="589">
          <cell r="B589" t="str">
            <v>36780 LP 010</v>
          </cell>
        </row>
        <row r="590">
          <cell r="B590" t="str">
            <v>36780 LP 012</v>
          </cell>
        </row>
        <row r="591">
          <cell r="B591" t="str">
            <v>36780 PJ 010</v>
          </cell>
        </row>
        <row r="592">
          <cell r="B592" t="str">
            <v>36780 PJ 012</v>
          </cell>
        </row>
        <row r="593">
          <cell r="B593" t="str">
            <v>36780 PJ 015</v>
          </cell>
        </row>
        <row r="594">
          <cell r="B594" t="str">
            <v>36780 PT 012</v>
          </cell>
        </row>
        <row r="595">
          <cell r="B595" t="str">
            <v>36780 RD 012</v>
          </cell>
        </row>
        <row r="596">
          <cell r="B596" t="str">
            <v>36780 RD 015</v>
          </cell>
        </row>
        <row r="597">
          <cell r="B597" t="str">
            <v>36780 TI 010</v>
          </cell>
        </row>
        <row r="598">
          <cell r="B598" t="str">
            <v>36780 TI 012</v>
          </cell>
        </row>
        <row r="599">
          <cell r="B599" t="str">
            <v>36780 TI 015</v>
          </cell>
        </row>
        <row r="600">
          <cell r="B600" t="str">
            <v>36780 UT 010</v>
          </cell>
        </row>
        <row r="601">
          <cell r="B601" t="str">
            <v>36780 UT 012</v>
          </cell>
        </row>
        <row r="602">
          <cell r="B602" t="str">
            <v>36780 UT 015</v>
          </cell>
        </row>
        <row r="603">
          <cell r="B603" t="str">
            <v>36780 WA 010</v>
          </cell>
        </row>
        <row r="604">
          <cell r="B604" t="str">
            <v>36780 WA 012</v>
          </cell>
        </row>
        <row r="605">
          <cell r="B605" t="str">
            <v>36780 WA 015</v>
          </cell>
        </row>
        <row r="606">
          <cell r="B606" t="str">
            <v>36780 WG 010</v>
          </cell>
        </row>
        <row r="607">
          <cell r="B607" t="str">
            <v>36780 WG 012</v>
          </cell>
        </row>
        <row r="608">
          <cell r="B608" t="str">
            <v>36780 WG 015</v>
          </cell>
        </row>
        <row r="609">
          <cell r="B609" t="str">
            <v>36780 WH 010</v>
          </cell>
        </row>
        <row r="610">
          <cell r="B610" t="str">
            <v>36780 WH 012</v>
          </cell>
        </row>
        <row r="611">
          <cell r="B611" t="str">
            <v>36780 WH 015</v>
          </cell>
        </row>
        <row r="612">
          <cell r="B612" t="str">
            <v>36780 ZJ 010</v>
          </cell>
        </row>
        <row r="613">
          <cell r="B613" t="str">
            <v>36780 ZJ 012</v>
          </cell>
        </row>
        <row r="614">
          <cell r="B614" t="str">
            <v>36780 ZJ 015</v>
          </cell>
        </row>
        <row r="615">
          <cell r="B615" t="str">
            <v>36785 03 010</v>
          </cell>
        </row>
        <row r="616">
          <cell r="B616" t="str">
            <v>36785 03 012</v>
          </cell>
        </row>
        <row r="617">
          <cell r="B617" t="str">
            <v>36785 03 015</v>
          </cell>
        </row>
        <row r="618">
          <cell r="B618" t="str">
            <v>36785 04 010</v>
          </cell>
        </row>
        <row r="619">
          <cell r="B619" t="str">
            <v>36785 04 012</v>
          </cell>
        </row>
        <row r="620">
          <cell r="B620" t="str">
            <v>36785 04 015</v>
          </cell>
        </row>
        <row r="621">
          <cell r="B621" t="str">
            <v>36785 1A 012</v>
          </cell>
        </row>
        <row r="622">
          <cell r="B622" t="str">
            <v>36785 ED 010</v>
          </cell>
        </row>
        <row r="623">
          <cell r="B623" t="str">
            <v>36785 ED 012</v>
          </cell>
        </row>
        <row r="624">
          <cell r="B624" t="str">
            <v>36785 FJ 010</v>
          </cell>
        </row>
        <row r="625">
          <cell r="B625" t="str">
            <v>36785 FJ 012</v>
          </cell>
        </row>
        <row r="626">
          <cell r="B626" t="str">
            <v>36785 FO 010</v>
          </cell>
        </row>
        <row r="627">
          <cell r="B627" t="str">
            <v>36785 FO 012</v>
          </cell>
        </row>
        <row r="628">
          <cell r="B628" t="str">
            <v>36785 FO 015</v>
          </cell>
        </row>
        <row r="629">
          <cell r="B629" t="str">
            <v>36785 IJ 010</v>
          </cell>
        </row>
        <row r="630">
          <cell r="B630" t="str">
            <v>36785 IJ 012</v>
          </cell>
        </row>
        <row r="631">
          <cell r="B631" t="str">
            <v>36785 IJ 015</v>
          </cell>
        </row>
        <row r="632">
          <cell r="B632" t="str">
            <v>36785 IL 010</v>
          </cell>
        </row>
        <row r="633">
          <cell r="B633" t="str">
            <v>36785 IL 012</v>
          </cell>
        </row>
        <row r="634">
          <cell r="B634" t="str">
            <v>36785 LN 010</v>
          </cell>
        </row>
        <row r="635">
          <cell r="B635" t="str">
            <v>36785 LN 012</v>
          </cell>
        </row>
        <row r="636">
          <cell r="B636" t="str">
            <v>36785 LN 015</v>
          </cell>
        </row>
        <row r="637">
          <cell r="B637" t="str">
            <v>36785 PT 010</v>
          </cell>
        </row>
        <row r="638">
          <cell r="B638" t="str">
            <v>36785 PT 012</v>
          </cell>
        </row>
        <row r="639">
          <cell r="B639" t="str">
            <v>36785 RD 010</v>
          </cell>
        </row>
        <row r="640">
          <cell r="B640" t="str">
            <v>36785 RD 012</v>
          </cell>
        </row>
        <row r="641">
          <cell r="B641" t="str">
            <v>36785 TT 010</v>
          </cell>
        </row>
        <row r="642">
          <cell r="B642" t="str">
            <v>36785 TT 012</v>
          </cell>
        </row>
        <row r="643">
          <cell r="B643" t="str">
            <v>36785 TT 015</v>
          </cell>
        </row>
        <row r="644">
          <cell r="B644" t="str">
            <v>36785 UT 010</v>
          </cell>
        </row>
        <row r="645">
          <cell r="B645" t="str">
            <v>36785 UT 012</v>
          </cell>
        </row>
        <row r="646">
          <cell r="B646" t="str">
            <v>36785 UT 015</v>
          </cell>
        </row>
        <row r="647">
          <cell r="B647" t="str">
            <v>36785 WA 010</v>
          </cell>
        </row>
        <row r="648">
          <cell r="B648" t="str">
            <v>36785 WA 012</v>
          </cell>
        </row>
        <row r="649">
          <cell r="B649" t="str">
            <v>36785 WA 015</v>
          </cell>
        </row>
        <row r="650">
          <cell r="B650" t="str">
            <v>36785 YA 010</v>
          </cell>
        </row>
        <row r="651">
          <cell r="B651" t="str">
            <v>36785 YA 012</v>
          </cell>
        </row>
        <row r="652">
          <cell r="B652" t="str">
            <v>36785 YT 010</v>
          </cell>
        </row>
        <row r="653">
          <cell r="B653" t="str">
            <v>36785 YT 012</v>
          </cell>
        </row>
        <row r="654">
          <cell r="B654" t="str">
            <v>36785 YT 015</v>
          </cell>
        </row>
        <row r="655">
          <cell r="B655" t="str">
            <v>36785 ZJ 010</v>
          </cell>
        </row>
        <row r="656">
          <cell r="B656" t="str">
            <v>36785 ZJ 012</v>
          </cell>
        </row>
        <row r="657">
          <cell r="B657" t="str">
            <v>36786 03 013</v>
          </cell>
        </row>
        <row r="658">
          <cell r="B658" t="str">
            <v>36786 04 013</v>
          </cell>
        </row>
        <row r="659">
          <cell r="B659" t="str">
            <v>36788 03 010</v>
          </cell>
        </row>
        <row r="660">
          <cell r="B660" t="str">
            <v>36788 03 012</v>
          </cell>
        </row>
        <row r="661">
          <cell r="B661" t="str">
            <v>36788 03 015</v>
          </cell>
        </row>
        <row r="662">
          <cell r="B662" t="str">
            <v>36789 1B 010</v>
          </cell>
        </row>
        <row r="663">
          <cell r="B663" t="str">
            <v>36789 1C 010</v>
          </cell>
        </row>
        <row r="664">
          <cell r="B664" t="str">
            <v>37253 03 007</v>
          </cell>
        </row>
        <row r="665">
          <cell r="B665" t="str">
            <v>37253 FE 007</v>
          </cell>
        </row>
        <row r="666">
          <cell r="B666" t="str">
            <v>37292 04 016</v>
          </cell>
        </row>
        <row r="667">
          <cell r="B667" t="str">
            <v>37292 1B 008</v>
          </cell>
        </row>
        <row r="668">
          <cell r="B668" t="str">
            <v>37292 1C 008</v>
          </cell>
        </row>
        <row r="669">
          <cell r="B669" t="str">
            <v>37310 00 008</v>
          </cell>
        </row>
        <row r="670">
          <cell r="B670" t="str">
            <v>37324 1B 010</v>
          </cell>
        </row>
        <row r="671">
          <cell r="B671" t="str">
            <v>37324 1C 010</v>
          </cell>
        </row>
        <row r="672">
          <cell r="B672" t="str">
            <v>37327 2E 009</v>
          </cell>
        </row>
        <row r="673">
          <cell r="B673" t="str">
            <v>37327 3A 009</v>
          </cell>
        </row>
        <row r="674">
          <cell r="B674" t="str">
            <v>37327 3B 009</v>
          </cell>
        </row>
        <row r="675">
          <cell r="B675" t="str">
            <v>37327 3C 009</v>
          </cell>
        </row>
        <row r="676">
          <cell r="B676" t="str">
            <v>37327 3D 009</v>
          </cell>
        </row>
        <row r="677">
          <cell r="B677" t="str">
            <v>37327 3E 009</v>
          </cell>
        </row>
        <row r="678">
          <cell r="B678" t="str">
            <v>64194 03 013</v>
          </cell>
        </row>
        <row r="679">
          <cell r="B679" t="str">
            <v>64194 04 013</v>
          </cell>
        </row>
        <row r="680">
          <cell r="B680" t="str">
            <v>64194 1B 013</v>
          </cell>
        </row>
        <row r="681">
          <cell r="B681" t="str">
            <v>64194 1C 013</v>
          </cell>
        </row>
        <row r="682">
          <cell r="B682" t="str">
            <v>64301 03 004</v>
          </cell>
        </row>
        <row r="683">
          <cell r="B683" t="str">
            <v>64301 03 006</v>
          </cell>
        </row>
        <row r="684">
          <cell r="B684" t="str">
            <v>64304 03 010</v>
          </cell>
        </row>
        <row r="685">
          <cell r="B685" t="str">
            <v>65018 03 000</v>
          </cell>
        </row>
        <row r="686">
          <cell r="B686" t="str">
            <v>65019 03 000</v>
          </cell>
        </row>
        <row r="687">
          <cell r="B687" t="str">
            <v>65022 03 055</v>
          </cell>
        </row>
        <row r="688">
          <cell r="B688" t="str">
            <v>65022 04 000</v>
          </cell>
        </row>
        <row r="689">
          <cell r="B689" t="str">
            <v>65022 04 055</v>
          </cell>
        </row>
        <row r="690">
          <cell r="B690" t="str">
            <v>65024 03 000</v>
          </cell>
        </row>
        <row r="691">
          <cell r="B691" t="str">
            <v>65024 DN 000</v>
          </cell>
        </row>
        <row r="692">
          <cell r="B692" t="str">
            <v>65024 EA 000</v>
          </cell>
        </row>
        <row r="693">
          <cell r="B693" t="str">
            <v>65024 GK 000</v>
          </cell>
        </row>
        <row r="694">
          <cell r="B694" t="str">
            <v>65024 NO 000</v>
          </cell>
        </row>
        <row r="695">
          <cell r="B695" t="str">
            <v>65024 NQ 000</v>
          </cell>
        </row>
        <row r="696">
          <cell r="B696" t="str">
            <v>65024 SR 000</v>
          </cell>
        </row>
        <row r="697">
          <cell r="B697" t="str">
            <v>65024 SZ 000</v>
          </cell>
        </row>
        <row r="698">
          <cell r="B698" t="str">
            <v>65024 TR 000</v>
          </cell>
        </row>
        <row r="699">
          <cell r="B699" t="str">
            <v>65024 VJ 000</v>
          </cell>
        </row>
        <row r="700">
          <cell r="B700" t="str">
            <v>65069 04 057</v>
          </cell>
        </row>
        <row r="701">
          <cell r="B701" t="str">
            <v>65069 FJ 038</v>
          </cell>
        </row>
        <row r="702">
          <cell r="B702" t="str">
            <v>65069 FJ 070</v>
          </cell>
        </row>
        <row r="703">
          <cell r="B703" t="str">
            <v>65069 PT 038</v>
          </cell>
        </row>
        <row r="704">
          <cell r="B704" t="str">
            <v>65069 YA 025</v>
          </cell>
        </row>
        <row r="705">
          <cell r="B705" t="str">
            <v>65069 YA 038</v>
          </cell>
        </row>
        <row r="706">
          <cell r="B706" t="str">
            <v>65256 03 000</v>
          </cell>
        </row>
        <row r="707">
          <cell r="B707" t="str">
            <v>65256 04 000</v>
          </cell>
        </row>
        <row r="708">
          <cell r="B708" t="str">
            <v>65281 03 043</v>
          </cell>
        </row>
        <row r="709">
          <cell r="B709" t="str">
            <v>65281 04 043</v>
          </cell>
        </row>
        <row r="710">
          <cell r="B710" t="str">
            <v>65281 26 043</v>
          </cell>
        </row>
        <row r="711">
          <cell r="B711" t="str">
            <v>65633 03 025</v>
          </cell>
        </row>
        <row r="712">
          <cell r="B712" t="str">
            <v>65633 04 025</v>
          </cell>
        </row>
        <row r="713">
          <cell r="B713" t="str">
            <v>65633 1A 025</v>
          </cell>
        </row>
        <row r="714">
          <cell r="B714" t="str">
            <v>65633 DR 025</v>
          </cell>
        </row>
        <row r="715">
          <cell r="B715" t="str">
            <v>65633 ED 025</v>
          </cell>
        </row>
        <row r="716">
          <cell r="B716" t="str">
            <v>65633 ES 025</v>
          </cell>
        </row>
        <row r="717">
          <cell r="B717" t="str">
            <v>65633 FJ 025</v>
          </cell>
        </row>
        <row r="718">
          <cell r="B718" t="str">
            <v>65633 FO 025</v>
          </cell>
        </row>
        <row r="719">
          <cell r="B719" t="str">
            <v>65633 IJ 025</v>
          </cell>
        </row>
        <row r="720">
          <cell r="B720" t="str">
            <v>65633 IL 025</v>
          </cell>
        </row>
        <row r="721">
          <cell r="B721" t="str">
            <v>65633 IL D25</v>
          </cell>
        </row>
        <row r="722">
          <cell r="B722" t="str">
            <v>65633 LN 025</v>
          </cell>
        </row>
        <row r="723">
          <cell r="B723" t="str">
            <v>65633 LP 025</v>
          </cell>
        </row>
        <row r="724">
          <cell r="B724" t="str">
            <v>65633 PT 025</v>
          </cell>
        </row>
        <row r="725">
          <cell r="B725" t="str">
            <v>65633 TI 025</v>
          </cell>
        </row>
        <row r="726">
          <cell r="B726" t="str">
            <v>65633 TT 025</v>
          </cell>
        </row>
        <row r="727">
          <cell r="B727" t="str">
            <v>65633 UT 025</v>
          </cell>
        </row>
        <row r="728">
          <cell r="B728" t="str">
            <v>65633 WA 025</v>
          </cell>
        </row>
        <row r="729">
          <cell r="B729" t="str">
            <v>65633 WG 025</v>
          </cell>
        </row>
        <row r="730">
          <cell r="B730" t="str">
            <v>65633 WH 025</v>
          </cell>
        </row>
        <row r="731">
          <cell r="B731" t="str">
            <v>65633 YT 025</v>
          </cell>
        </row>
        <row r="732">
          <cell r="B732" t="str">
            <v>65633 ZJ 025</v>
          </cell>
        </row>
        <row r="733">
          <cell r="B733" t="str">
            <v>65634 03 032</v>
          </cell>
        </row>
        <row r="734">
          <cell r="B734" t="str">
            <v>65634 04 032</v>
          </cell>
        </row>
        <row r="735">
          <cell r="B735" t="str">
            <v>65634 WA 032</v>
          </cell>
        </row>
        <row r="736">
          <cell r="B736" t="str">
            <v>65635 03 038</v>
          </cell>
        </row>
        <row r="737">
          <cell r="B737" t="str">
            <v>65635 04 038</v>
          </cell>
        </row>
        <row r="738">
          <cell r="B738" t="str">
            <v>65635 1A 038</v>
          </cell>
        </row>
        <row r="739">
          <cell r="B739" t="str">
            <v>65635 DR 038</v>
          </cell>
        </row>
        <row r="740">
          <cell r="B740" t="str">
            <v>65635 ED 038</v>
          </cell>
        </row>
        <row r="741">
          <cell r="B741" t="str">
            <v>65635 ES 038</v>
          </cell>
        </row>
        <row r="742">
          <cell r="B742" t="str">
            <v>65635 FO 038</v>
          </cell>
        </row>
        <row r="743">
          <cell r="B743" t="str">
            <v>65635 IJ 038</v>
          </cell>
        </row>
        <row r="744">
          <cell r="B744" t="str">
            <v>65635 IL 038</v>
          </cell>
        </row>
        <row r="745">
          <cell r="B745" t="str">
            <v>65635 LN 038</v>
          </cell>
        </row>
        <row r="746">
          <cell r="B746" t="str">
            <v>65635 LP 038</v>
          </cell>
        </row>
        <row r="747">
          <cell r="B747" t="str">
            <v>65635 PJ 038</v>
          </cell>
        </row>
        <row r="748">
          <cell r="B748" t="str">
            <v>65635 RD 025</v>
          </cell>
        </row>
        <row r="749">
          <cell r="B749" t="str">
            <v>65635 RD 038</v>
          </cell>
        </row>
        <row r="750">
          <cell r="B750" t="str">
            <v>65635 TI 038</v>
          </cell>
        </row>
        <row r="751">
          <cell r="B751" t="str">
            <v>65635 TT 038</v>
          </cell>
        </row>
        <row r="752">
          <cell r="B752" t="str">
            <v>65635 UT 038</v>
          </cell>
        </row>
        <row r="753">
          <cell r="B753" t="str">
            <v>65635 WA 038</v>
          </cell>
        </row>
        <row r="754">
          <cell r="B754" t="str">
            <v>65635 WG 038</v>
          </cell>
        </row>
        <row r="755">
          <cell r="B755" t="str">
            <v>65635 WH 038</v>
          </cell>
        </row>
        <row r="756">
          <cell r="B756" t="str">
            <v>65635 YT 038</v>
          </cell>
        </row>
        <row r="757">
          <cell r="B757" t="str">
            <v>65635 ZJ 038</v>
          </cell>
        </row>
        <row r="758">
          <cell r="B758" t="str">
            <v>65636 03 057</v>
          </cell>
        </row>
        <row r="759">
          <cell r="B759" t="str">
            <v>65636 1A 057</v>
          </cell>
        </row>
        <row r="760">
          <cell r="B760" t="str">
            <v>65636 DR 057</v>
          </cell>
        </row>
        <row r="761">
          <cell r="B761" t="str">
            <v>65636 ED 057</v>
          </cell>
        </row>
        <row r="762">
          <cell r="B762" t="str">
            <v>65636 FO 057</v>
          </cell>
        </row>
        <row r="763">
          <cell r="B763" t="str">
            <v>65636 IJ 057</v>
          </cell>
        </row>
        <row r="764">
          <cell r="B764" t="str">
            <v>65636 IL 057</v>
          </cell>
        </row>
        <row r="765">
          <cell r="B765" t="str">
            <v>65636 LN 057</v>
          </cell>
        </row>
        <row r="766">
          <cell r="B766" t="str">
            <v>65636 LP 057</v>
          </cell>
        </row>
        <row r="767">
          <cell r="B767" t="str">
            <v>65636 PJ 057</v>
          </cell>
        </row>
        <row r="768">
          <cell r="B768" t="str">
            <v>65636 TI 057</v>
          </cell>
        </row>
        <row r="769">
          <cell r="B769" t="str">
            <v>65636 UT 057</v>
          </cell>
        </row>
        <row r="770">
          <cell r="B770" t="str">
            <v>65636 WH 057</v>
          </cell>
        </row>
        <row r="771">
          <cell r="B771" t="str">
            <v>65636 YT 057</v>
          </cell>
        </row>
        <row r="772">
          <cell r="B772" t="str">
            <v>65636 ZJ 057</v>
          </cell>
        </row>
        <row r="773">
          <cell r="B773" t="str">
            <v>65637 03 070</v>
          </cell>
        </row>
        <row r="774">
          <cell r="B774" t="str">
            <v>65637 04 070</v>
          </cell>
        </row>
        <row r="775">
          <cell r="B775" t="str">
            <v>65637 1A 070</v>
          </cell>
        </row>
        <row r="776">
          <cell r="B776" t="str">
            <v>65637 DR 070</v>
          </cell>
        </row>
        <row r="777">
          <cell r="B777" t="str">
            <v>65637 ED 070</v>
          </cell>
        </row>
        <row r="778">
          <cell r="B778" t="str">
            <v>65637 ES 070</v>
          </cell>
        </row>
        <row r="779">
          <cell r="B779" t="str">
            <v>65637 IL 070</v>
          </cell>
        </row>
        <row r="780">
          <cell r="B780" t="str">
            <v>65637 LP 070</v>
          </cell>
        </row>
        <row r="781">
          <cell r="B781" t="str">
            <v>65637 PJ 070</v>
          </cell>
        </row>
        <row r="782">
          <cell r="B782" t="str">
            <v>65637 TI 070</v>
          </cell>
        </row>
        <row r="783">
          <cell r="B783" t="str">
            <v>65637 UT 070</v>
          </cell>
        </row>
        <row r="784">
          <cell r="B784" t="str">
            <v>65637 ZJ 070</v>
          </cell>
        </row>
        <row r="785">
          <cell r="B785" t="str">
            <v>65639 03 023</v>
          </cell>
        </row>
        <row r="786">
          <cell r="B786" t="str">
            <v>65639 04 023</v>
          </cell>
        </row>
        <row r="787">
          <cell r="B787" t="str">
            <v>65954 03 000</v>
          </cell>
        </row>
        <row r="788">
          <cell r="B788" t="str">
            <v>65954 04 000</v>
          </cell>
        </row>
        <row r="789">
          <cell r="B789" t="str">
            <v>65969 04 057</v>
          </cell>
        </row>
        <row r="790">
          <cell r="B790" t="str">
            <v>65969 FJ 038</v>
          </cell>
        </row>
        <row r="791">
          <cell r="B791" t="str">
            <v>65969 FJ 070</v>
          </cell>
        </row>
        <row r="792">
          <cell r="B792" t="str">
            <v>65969 PT 038</v>
          </cell>
        </row>
        <row r="793">
          <cell r="B793" t="str">
            <v>65969 YA 025</v>
          </cell>
        </row>
        <row r="794">
          <cell r="B794" t="str">
            <v>65969 YA 038</v>
          </cell>
        </row>
        <row r="795">
          <cell r="B795" t="str">
            <v>65981 03 000</v>
          </cell>
        </row>
        <row r="796">
          <cell r="B796" t="str">
            <v>65981 03 028</v>
          </cell>
        </row>
        <row r="797">
          <cell r="B797" t="str">
            <v>65981 04 028</v>
          </cell>
        </row>
        <row r="798">
          <cell r="B798" t="str">
            <v>65981 26 028</v>
          </cell>
        </row>
        <row r="799">
          <cell r="B799" t="str">
            <v>65982 03 000</v>
          </cell>
        </row>
        <row r="800">
          <cell r="B800" t="str">
            <v>65982 03 028</v>
          </cell>
        </row>
        <row r="801">
          <cell r="B801" t="str">
            <v>65982 03 043</v>
          </cell>
        </row>
        <row r="802">
          <cell r="B802" t="str">
            <v>65982 04 000</v>
          </cell>
        </row>
        <row r="803">
          <cell r="B803" t="str">
            <v>65982 26 028</v>
          </cell>
        </row>
        <row r="804">
          <cell r="B804" t="str">
            <v>65982 DN 000</v>
          </cell>
        </row>
        <row r="805">
          <cell r="B805" t="str">
            <v>65982 EA 000</v>
          </cell>
        </row>
        <row r="806">
          <cell r="B806" t="str">
            <v>65982 GK 000</v>
          </cell>
        </row>
        <row r="807">
          <cell r="B807" t="str">
            <v>65982 NO 000</v>
          </cell>
        </row>
        <row r="808">
          <cell r="B808" t="str">
            <v>65982 NQ 000</v>
          </cell>
        </row>
        <row r="809">
          <cell r="B809" t="str">
            <v>65982 SR 000</v>
          </cell>
        </row>
        <row r="810">
          <cell r="B810" t="str">
            <v>65982 SZ 000</v>
          </cell>
        </row>
        <row r="811">
          <cell r="B811" t="str">
            <v>65982 TR 000</v>
          </cell>
        </row>
        <row r="812">
          <cell r="B812" t="str">
            <v>65982 VJ 000</v>
          </cell>
        </row>
        <row r="813">
          <cell r="B813" t="str">
            <v>66101 03 017</v>
          </cell>
        </row>
        <row r="814">
          <cell r="B814" t="str">
            <v>66101 04 017</v>
          </cell>
        </row>
        <row r="815">
          <cell r="B815" t="str">
            <v>66101 1A 017</v>
          </cell>
        </row>
        <row r="816">
          <cell r="B816" t="str">
            <v>66101 1B 017</v>
          </cell>
        </row>
        <row r="817">
          <cell r="B817" t="str">
            <v>66101 1C 017</v>
          </cell>
        </row>
        <row r="818">
          <cell r="B818" t="str">
            <v>66101 2G 017</v>
          </cell>
        </row>
        <row r="819">
          <cell r="B819" t="str">
            <v>66101 2J 017</v>
          </cell>
        </row>
        <row r="820">
          <cell r="B820" t="str">
            <v>66101 2Y 017</v>
          </cell>
        </row>
        <row r="821">
          <cell r="B821" t="str">
            <v>66101 DA 017</v>
          </cell>
        </row>
        <row r="822">
          <cell r="B822" t="str">
            <v>66101 DR 017</v>
          </cell>
        </row>
        <row r="823">
          <cell r="B823" t="str">
            <v>66101 ED 017</v>
          </cell>
        </row>
        <row r="824">
          <cell r="B824" t="str">
            <v>66101 ES 017</v>
          </cell>
        </row>
        <row r="825">
          <cell r="B825" t="str">
            <v>66101 FJ 017</v>
          </cell>
        </row>
        <row r="826">
          <cell r="B826" t="str">
            <v>66101 FO 017</v>
          </cell>
        </row>
        <row r="827">
          <cell r="B827" t="str">
            <v>66101 IJ 017</v>
          </cell>
        </row>
        <row r="828">
          <cell r="B828" t="str">
            <v>66101 IL 017</v>
          </cell>
        </row>
        <row r="829">
          <cell r="B829" t="str">
            <v>66101 LN 017</v>
          </cell>
        </row>
        <row r="830">
          <cell r="B830" t="str">
            <v>66101 LP 017</v>
          </cell>
        </row>
        <row r="831">
          <cell r="B831" t="str">
            <v>66101 PJ 017</v>
          </cell>
        </row>
        <row r="832">
          <cell r="B832" t="str">
            <v>66101 RD 017</v>
          </cell>
        </row>
        <row r="833">
          <cell r="B833" t="str">
            <v>66101 TI 017</v>
          </cell>
        </row>
        <row r="834">
          <cell r="B834" t="str">
            <v>66101 TT 017</v>
          </cell>
        </row>
        <row r="835">
          <cell r="B835" t="str">
            <v>66101 UT 017</v>
          </cell>
        </row>
        <row r="836">
          <cell r="B836" t="str">
            <v>66101 WA 017</v>
          </cell>
        </row>
        <row r="837">
          <cell r="B837" t="str">
            <v>66101 WG 017</v>
          </cell>
        </row>
        <row r="838">
          <cell r="B838" t="str">
            <v>66101 WH 017</v>
          </cell>
        </row>
        <row r="839">
          <cell r="B839" t="str">
            <v>66101 YT 017</v>
          </cell>
        </row>
        <row r="840">
          <cell r="B840" t="str">
            <v>66101 ZJ 017</v>
          </cell>
        </row>
        <row r="841">
          <cell r="B841" t="str">
            <v>66103 IJ 025</v>
          </cell>
        </row>
        <row r="842">
          <cell r="B842" t="str">
            <v>66104 03 034</v>
          </cell>
        </row>
        <row r="843">
          <cell r="B843" t="str">
            <v>66104 04 034</v>
          </cell>
        </row>
        <row r="844">
          <cell r="B844" t="str">
            <v>66104 FO 034</v>
          </cell>
        </row>
        <row r="845">
          <cell r="B845" t="str">
            <v>66104 IJ 034</v>
          </cell>
        </row>
        <row r="846">
          <cell r="B846" t="str">
            <v>66104 LN 034</v>
          </cell>
        </row>
        <row r="847">
          <cell r="B847" t="str">
            <v>66104 TT 034</v>
          </cell>
        </row>
        <row r="848">
          <cell r="B848" t="str">
            <v>66104 UT 034</v>
          </cell>
        </row>
        <row r="849">
          <cell r="B849" t="str">
            <v>66104 WA 034</v>
          </cell>
        </row>
        <row r="850">
          <cell r="B850" t="str">
            <v>66104 YT 034</v>
          </cell>
        </row>
        <row r="851">
          <cell r="B851" t="str">
            <v>66104 ZJ 034</v>
          </cell>
        </row>
        <row r="852">
          <cell r="B852" t="str">
            <v>66151 03 030</v>
          </cell>
        </row>
        <row r="853">
          <cell r="B853" t="str">
            <v>66151 EA 030</v>
          </cell>
        </row>
        <row r="854">
          <cell r="B854" t="str">
            <v>66151 NO 025</v>
          </cell>
        </row>
        <row r="855">
          <cell r="B855" t="str">
            <v>66151 NO 030</v>
          </cell>
        </row>
        <row r="856">
          <cell r="B856" t="str">
            <v>66151 NQ 030</v>
          </cell>
        </row>
        <row r="857">
          <cell r="B857" t="str">
            <v>66151 SP 025</v>
          </cell>
        </row>
        <row r="858">
          <cell r="B858" t="str">
            <v>66151 SP 030</v>
          </cell>
        </row>
        <row r="859">
          <cell r="B859" t="str">
            <v>66151 SZ 030</v>
          </cell>
        </row>
        <row r="860">
          <cell r="B860" t="str">
            <v>66151 TR 025</v>
          </cell>
        </row>
        <row r="861">
          <cell r="B861" t="str">
            <v>66151 TR 030</v>
          </cell>
        </row>
        <row r="862">
          <cell r="B862" t="str">
            <v>66151 VJ 025</v>
          </cell>
        </row>
        <row r="863">
          <cell r="B863" t="str">
            <v>66151 VJ 030</v>
          </cell>
        </row>
        <row r="864">
          <cell r="B864" t="str">
            <v>66181 03 020</v>
          </cell>
        </row>
        <row r="865">
          <cell r="B865" t="str">
            <v>66181 26 020</v>
          </cell>
        </row>
        <row r="866">
          <cell r="B866" t="str">
            <v>66191 03 020</v>
          </cell>
        </row>
        <row r="867">
          <cell r="B867" t="str">
            <v>66191 03 040</v>
          </cell>
        </row>
        <row r="868">
          <cell r="B868" t="str">
            <v>66191 04 020</v>
          </cell>
        </row>
        <row r="869">
          <cell r="B869" t="str">
            <v>66191 04 040</v>
          </cell>
        </row>
        <row r="870">
          <cell r="B870" t="str">
            <v>66191 1A 040</v>
          </cell>
        </row>
        <row r="871">
          <cell r="B871" t="str">
            <v>66191 DN 020</v>
          </cell>
        </row>
        <row r="872">
          <cell r="B872" t="str">
            <v>66191 DR 040</v>
          </cell>
        </row>
        <row r="873">
          <cell r="B873" t="str">
            <v>66191 ED 040</v>
          </cell>
        </row>
        <row r="874">
          <cell r="B874" t="str">
            <v>66191 ES 040</v>
          </cell>
        </row>
        <row r="875">
          <cell r="B875" t="str">
            <v>66191 FJ 040</v>
          </cell>
        </row>
        <row r="876">
          <cell r="B876" t="str">
            <v>66191 FO 040</v>
          </cell>
        </row>
        <row r="877">
          <cell r="B877" t="str">
            <v>66191 GK 020</v>
          </cell>
        </row>
        <row r="878">
          <cell r="B878" t="str">
            <v>66191 IJ 040</v>
          </cell>
        </row>
        <row r="879">
          <cell r="B879" t="str">
            <v>66191 IL 040</v>
          </cell>
        </row>
        <row r="880">
          <cell r="B880" t="str">
            <v>66191 LN 040</v>
          </cell>
        </row>
        <row r="881">
          <cell r="B881" t="str">
            <v>66191 LP 040</v>
          </cell>
        </row>
        <row r="882">
          <cell r="B882" t="str">
            <v>66191 MR 020</v>
          </cell>
        </row>
        <row r="883">
          <cell r="B883" t="str">
            <v>66191 PJ 040</v>
          </cell>
        </row>
        <row r="884">
          <cell r="B884" t="str">
            <v>66191 TI 040</v>
          </cell>
        </row>
        <row r="885">
          <cell r="B885" t="str">
            <v>66191 TT 040</v>
          </cell>
        </row>
        <row r="886">
          <cell r="B886" t="str">
            <v>66191 UT 040</v>
          </cell>
        </row>
        <row r="887">
          <cell r="B887" t="str">
            <v>66191 WA 040</v>
          </cell>
        </row>
        <row r="888">
          <cell r="B888" t="str">
            <v>66191 WG 040</v>
          </cell>
        </row>
        <row r="889">
          <cell r="B889" t="str">
            <v>66191 WH 040</v>
          </cell>
        </row>
        <row r="890">
          <cell r="B890" t="str">
            <v>66191 YT 040</v>
          </cell>
        </row>
        <row r="891">
          <cell r="B891" t="str">
            <v>66191 ZJ 040</v>
          </cell>
        </row>
        <row r="892">
          <cell r="B892" t="str">
            <v>66197 03 019</v>
          </cell>
        </row>
        <row r="893">
          <cell r="B893" t="str">
            <v>66197 04 019</v>
          </cell>
        </row>
        <row r="894">
          <cell r="B894" t="str">
            <v>66197 PN 019</v>
          </cell>
        </row>
        <row r="895">
          <cell r="B895" t="str">
            <v>66198 03 019</v>
          </cell>
        </row>
        <row r="896">
          <cell r="B896" t="str">
            <v>66198 04 017</v>
          </cell>
        </row>
        <row r="897">
          <cell r="B897" t="str">
            <v>66198 PN 019</v>
          </cell>
        </row>
        <row r="898">
          <cell r="B898" t="str">
            <v>66199 03 035</v>
          </cell>
        </row>
        <row r="899">
          <cell r="B899" t="str">
            <v>66199 04 035</v>
          </cell>
        </row>
        <row r="900">
          <cell r="B900" t="str">
            <v>66199 1A 035</v>
          </cell>
        </row>
        <row r="901">
          <cell r="B901" t="str">
            <v>66199 DA 035</v>
          </cell>
        </row>
        <row r="902">
          <cell r="B902" t="str">
            <v>66199 DR 035</v>
          </cell>
        </row>
        <row r="903">
          <cell r="B903" t="str">
            <v>66199 ED 035</v>
          </cell>
        </row>
        <row r="904">
          <cell r="B904" t="str">
            <v>66199 ES 035</v>
          </cell>
        </row>
        <row r="905">
          <cell r="B905" t="str">
            <v>66199 FJ 035</v>
          </cell>
        </row>
        <row r="906">
          <cell r="B906" t="str">
            <v>66199 FO 035</v>
          </cell>
        </row>
        <row r="907">
          <cell r="B907" t="str">
            <v>66199 IJ 035</v>
          </cell>
        </row>
        <row r="908">
          <cell r="B908" t="str">
            <v>66199 IL 035</v>
          </cell>
        </row>
        <row r="909">
          <cell r="B909" t="str">
            <v>66199 LN 035</v>
          </cell>
        </row>
        <row r="910">
          <cell r="B910" t="str">
            <v>66199 LP 035</v>
          </cell>
        </row>
        <row r="911">
          <cell r="B911" t="str">
            <v>66199 PJ 035</v>
          </cell>
        </row>
        <row r="912">
          <cell r="B912" t="str">
            <v>66199 PN 019</v>
          </cell>
        </row>
        <row r="913">
          <cell r="B913" t="str">
            <v>66199 PN 035</v>
          </cell>
        </row>
        <row r="914">
          <cell r="B914" t="str">
            <v>66199 RD 035</v>
          </cell>
        </row>
        <row r="915">
          <cell r="B915" t="str">
            <v>66199 TI 035</v>
          </cell>
        </row>
        <row r="916">
          <cell r="B916" t="str">
            <v>66199 TT 035</v>
          </cell>
        </row>
        <row r="917">
          <cell r="B917" t="str">
            <v>66199 TX 035</v>
          </cell>
        </row>
        <row r="918">
          <cell r="B918" t="str">
            <v>66199 UT 035</v>
          </cell>
        </row>
        <row r="919">
          <cell r="B919" t="str">
            <v>66199 WA 035</v>
          </cell>
        </row>
        <row r="920">
          <cell r="B920" t="str">
            <v>66199 WG 035</v>
          </cell>
        </row>
        <row r="921">
          <cell r="B921" t="str">
            <v>66199 WH 035</v>
          </cell>
        </row>
        <row r="922">
          <cell r="B922" t="str">
            <v>66199 YT 035</v>
          </cell>
        </row>
        <row r="923">
          <cell r="B923" t="str">
            <v>66199 ZJ 035</v>
          </cell>
        </row>
        <row r="924">
          <cell r="B924" t="str">
            <v>67108 03 010</v>
          </cell>
        </row>
        <row r="925">
          <cell r="B925" t="str">
            <v>67108 03 012</v>
          </cell>
        </row>
        <row r="926">
          <cell r="B926" t="str">
            <v>67108 04 010</v>
          </cell>
        </row>
        <row r="927">
          <cell r="B927" t="str">
            <v>67108 DN 010</v>
          </cell>
        </row>
        <row r="928">
          <cell r="B928" t="str">
            <v>67108 GK 010</v>
          </cell>
        </row>
        <row r="929">
          <cell r="B929" t="str">
            <v>67108 MR 010</v>
          </cell>
        </row>
        <row r="930">
          <cell r="B930" t="str">
            <v>67125 03 032</v>
          </cell>
        </row>
        <row r="931">
          <cell r="B931" t="str">
            <v>67125 03 035</v>
          </cell>
        </row>
        <row r="932">
          <cell r="B932" t="str">
            <v>67125 04 035</v>
          </cell>
        </row>
        <row r="933">
          <cell r="B933" t="str">
            <v>67125 ED 035</v>
          </cell>
        </row>
        <row r="934">
          <cell r="B934" t="str">
            <v>67125 EI 032</v>
          </cell>
        </row>
        <row r="935">
          <cell r="B935" t="str">
            <v>67125 FE 032</v>
          </cell>
        </row>
        <row r="936">
          <cell r="B936" t="str">
            <v>67125 FJ 035</v>
          </cell>
        </row>
        <row r="937">
          <cell r="B937" t="str">
            <v>67125 IA 035</v>
          </cell>
        </row>
        <row r="938">
          <cell r="B938" t="str">
            <v>67125 IL 035</v>
          </cell>
        </row>
        <row r="939">
          <cell r="B939" t="str">
            <v>67125 ZJ 035</v>
          </cell>
        </row>
        <row r="940">
          <cell r="B940" t="str">
            <v>67126 03 008</v>
          </cell>
        </row>
        <row r="941">
          <cell r="B941" t="str">
            <v>67126 03 017</v>
          </cell>
        </row>
        <row r="942">
          <cell r="B942" t="str">
            <v>67126 03 023</v>
          </cell>
        </row>
        <row r="943">
          <cell r="B943" t="str">
            <v>67126 04 008</v>
          </cell>
        </row>
        <row r="944">
          <cell r="B944" t="str">
            <v>67126 04 017</v>
          </cell>
        </row>
        <row r="945">
          <cell r="B945" t="str">
            <v>67126 04 023</v>
          </cell>
        </row>
        <row r="946">
          <cell r="B946" t="str">
            <v>67126 1A 008</v>
          </cell>
        </row>
        <row r="947">
          <cell r="B947" t="str">
            <v>67126 26 017</v>
          </cell>
        </row>
        <row r="948">
          <cell r="B948" t="str">
            <v>67126 26 023</v>
          </cell>
        </row>
        <row r="949">
          <cell r="B949" t="str">
            <v>67126 2A 017</v>
          </cell>
        </row>
        <row r="950">
          <cell r="B950" t="str">
            <v>67126 2E 008</v>
          </cell>
        </row>
        <row r="951">
          <cell r="B951" t="str">
            <v>67126 2E 017</v>
          </cell>
        </row>
        <row r="952">
          <cell r="B952" t="str">
            <v>67126 DN 023</v>
          </cell>
        </row>
        <row r="953">
          <cell r="B953" t="str">
            <v>67126 DT 008</v>
          </cell>
        </row>
        <row r="954">
          <cell r="B954" t="str">
            <v>67126 DT 023</v>
          </cell>
        </row>
        <row r="955">
          <cell r="B955" t="str">
            <v>67126 ED 008</v>
          </cell>
        </row>
        <row r="956">
          <cell r="B956" t="str">
            <v>67126 FJ 008</v>
          </cell>
        </row>
        <row r="957">
          <cell r="B957" t="str">
            <v>67126 GK 023</v>
          </cell>
        </row>
        <row r="958">
          <cell r="B958" t="str">
            <v>67126 IL 008</v>
          </cell>
        </row>
        <row r="959">
          <cell r="B959" t="str">
            <v>67126 MR 023</v>
          </cell>
        </row>
        <row r="960">
          <cell r="B960" t="str">
            <v>67126 ZJ 008</v>
          </cell>
        </row>
        <row r="961">
          <cell r="B961" t="str">
            <v>67127 03 015</v>
          </cell>
        </row>
        <row r="962">
          <cell r="B962" t="str">
            <v>67127 03 017</v>
          </cell>
        </row>
        <row r="963">
          <cell r="B963" t="str">
            <v>67130 03 016</v>
          </cell>
        </row>
        <row r="964">
          <cell r="B964" t="str">
            <v>67130 03 020</v>
          </cell>
        </row>
        <row r="965">
          <cell r="B965" t="str">
            <v>67130 03 032</v>
          </cell>
        </row>
        <row r="966">
          <cell r="B966" t="str">
            <v>67130 04 020</v>
          </cell>
        </row>
        <row r="967">
          <cell r="B967" t="str">
            <v>67130 04 032</v>
          </cell>
        </row>
        <row r="968">
          <cell r="B968" t="str">
            <v>67130 1A 020</v>
          </cell>
        </row>
        <row r="969">
          <cell r="B969" t="str">
            <v>67130 1B 027</v>
          </cell>
        </row>
        <row r="970">
          <cell r="B970" t="str">
            <v>67130 1C 027</v>
          </cell>
        </row>
        <row r="971">
          <cell r="B971" t="str">
            <v>67130 2A 027</v>
          </cell>
        </row>
        <row r="972">
          <cell r="B972" t="str">
            <v>67130 2E 027</v>
          </cell>
        </row>
        <row r="973">
          <cell r="B973" t="str">
            <v>67130 DN 032</v>
          </cell>
        </row>
        <row r="974">
          <cell r="B974" t="str">
            <v>67130 EA 020</v>
          </cell>
        </row>
        <row r="975">
          <cell r="B975" t="str">
            <v>67130 ED 020</v>
          </cell>
        </row>
        <row r="976">
          <cell r="B976" t="str">
            <v>67130 EI 016</v>
          </cell>
        </row>
        <row r="977">
          <cell r="B977" t="str">
            <v>67130 FE 016</v>
          </cell>
        </row>
        <row r="978">
          <cell r="B978" t="str">
            <v>67130 FJ 020</v>
          </cell>
        </row>
        <row r="979">
          <cell r="B979" t="str">
            <v>67130 FO 020</v>
          </cell>
        </row>
        <row r="980">
          <cell r="B980" t="str">
            <v>67130 GK 032</v>
          </cell>
        </row>
        <row r="981">
          <cell r="B981" t="str">
            <v>67130 IJ 020</v>
          </cell>
        </row>
        <row r="982">
          <cell r="B982" t="str">
            <v>67130 IL 020</v>
          </cell>
        </row>
        <row r="983">
          <cell r="B983" t="str">
            <v>67130 LN 020</v>
          </cell>
        </row>
        <row r="984">
          <cell r="B984" t="str">
            <v>67130 MR 032</v>
          </cell>
        </row>
        <row r="985">
          <cell r="B985" t="str">
            <v>67130 TR 020</v>
          </cell>
        </row>
        <row r="986">
          <cell r="B986" t="str">
            <v>67130 TT 020</v>
          </cell>
        </row>
        <row r="987">
          <cell r="B987" t="str">
            <v>67130 UT 020</v>
          </cell>
        </row>
        <row r="988">
          <cell r="B988" t="str">
            <v>67130 VJ 020</v>
          </cell>
        </row>
        <row r="989">
          <cell r="B989" t="str">
            <v>67130 WA 020</v>
          </cell>
        </row>
        <row r="990">
          <cell r="B990" t="str">
            <v>67130 ZJ 020</v>
          </cell>
        </row>
        <row r="991">
          <cell r="B991" t="str">
            <v>67473 03 012</v>
          </cell>
        </row>
        <row r="992">
          <cell r="B992" t="str">
            <v>67473 26 030</v>
          </cell>
        </row>
        <row r="993">
          <cell r="B993" t="str">
            <v>67492 03 018</v>
          </cell>
        </row>
        <row r="994">
          <cell r="B994" t="str">
            <v>67492 03 020</v>
          </cell>
        </row>
        <row r="995">
          <cell r="B995" t="str">
            <v>67492 03 030</v>
          </cell>
        </row>
        <row r="996">
          <cell r="B996" t="str">
            <v>67492 26 012</v>
          </cell>
        </row>
        <row r="997">
          <cell r="B997" t="str">
            <v>67535 EA 009</v>
          </cell>
        </row>
        <row r="998">
          <cell r="B998" t="str">
            <v>67535 NO 009</v>
          </cell>
        </row>
        <row r="999">
          <cell r="B999" t="str">
            <v>67535 SP 009</v>
          </cell>
        </row>
        <row r="1000">
          <cell r="B1000" t="str">
            <v>67535 SZ 009</v>
          </cell>
        </row>
        <row r="1001">
          <cell r="B1001" t="str">
            <v>67539 03 009</v>
          </cell>
        </row>
        <row r="1002">
          <cell r="B1002" t="str">
            <v>67539 03 012</v>
          </cell>
        </row>
        <row r="1003">
          <cell r="B1003" t="str">
            <v>67539 03 016</v>
          </cell>
        </row>
        <row r="1004">
          <cell r="B1004" t="str">
            <v>67539 04 016</v>
          </cell>
        </row>
        <row r="1005">
          <cell r="B1005" t="str">
            <v>67539 GK 016</v>
          </cell>
        </row>
        <row r="1006">
          <cell r="B1006" t="str">
            <v>67539 MR 016</v>
          </cell>
        </row>
        <row r="1007">
          <cell r="B1007" t="str">
            <v>67539 NO 009</v>
          </cell>
        </row>
        <row r="1008">
          <cell r="B1008" t="str">
            <v>67539 SP 009</v>
          </cell>
        </row>
        <row r="1009">
          <cell r="B1009" t="str">
            <v>67539 VJ 009</v>
          </cell>
        </row>
        <row r="1010">
          <cell r="B1010" t="str">
            <v>67549 00 058</v>
          </cell>
        </row>
        <row r="1011">
          <cell r="B1011" t="str">
            <v>67549 00 070</v>
          </cell>
        </row>
        <row r="1012">
          <cell r="B1012" t="str">
            <v>67549 00 071</v>
          </cell>
        </row>
        <row r="1013">
          <cell r="B1013" t="str">
            <v>67572 03 006</v>
          </cell>
        </row>
        <row r="1014">
          <cell r="B1014" t="str">
            <v>67572 EI 006</v>
          </cell>
        </row>
        <row r="1015">
          <cell r="B1015" t="str">
            <v>67572 FE 006</v>
          </cell>
        </row>
        <row r="1016">
          <cell r="B1016" t="str">
            <v>67597 03 006</v>
          </cell>
        </row>
        <row r="1017">
          <cell r="B1017" t="str">
            <v>67597 03 007</v>
          </cell>
        </row>
        <row r="1018">
          <cell r="B1018" t="str">
            <v>67597 03 008</v>
          </cell>
        </row>
        <row r="1019">
          <cell r="B1019" t="str">
            <v>67597 03 010</v>
          </cell>
        </row>
        <row r="1020">
          <cell r="B1020" t="str">
            <v>67597 03 012</v>
          </cell>
        </row>
        <row r="1021">
          <cell r="B1021" t="str">
            <v>67597 03 015</v>
          </cell>
        </row>
        <row r="1022">
          <cell r="B1022" t="str">
            <v>67597 03 017</v>
          </cell>
        </row>
        <row r="1023">
          <cell r="B1023" t="str">
            <v>67597 03 024</v>
          </cell>
        </row>
        <row r="1024">
          <cell r="B1024" t="str">
            <v>67597 04 006</v>
          </cell>
        </row>
        <row r="1025">
          <cell r="B1025" t="str">
            <v>67597 04 007</v>
          </cell>
        </row>
        <row r="1026">
          <cell r="B1026" t="str">
            <v>67597 04 008</v>
          </cell>
        </row>
        <row r="1027">
          <cell r="B1027" t="str">
            <v>67597 04 010</v>
          </cell>
        </row>
        <row r="1028">
          <cell r="B1028" t="str">
            <v>67597 04 012</v>
          </cell>
        </row>
        <row r="1029">
          <cell r="B1029" t="str">
            <v>67597 04 015</v>
          </cell>
        </row>
        <row r="1030">
          <cell r="B1030" t="str">
            <v>67597 04 017</v>
          </cell>
        </row>
        <row r="1031">
          <cell r="B1031" t="str">
            <v>67597 1A 008</v>
          </cell>
        </row>
        <row r="1032">
          <cell r="B1032" t="str">
            <v>67597 1A 015</v>
          </cell>
        </row>
        <row r="1033">
          <cell r="B1033" t="str">
            <v>67597 26 015</v>
          </cell>
        </row>
        <row r="1034">
          <cell r="B1034" t="str">
            <v>67597 CS 017</v>
          </cell>
        </row>
        <row r="1035">
          <cell r="B1035" t="str">
            <v>67597 DA 008</v>
          </cell>
        </row>
        <row r="1036">
          <cell r="B1036" t="str">
            <v>67597 DN 008</v>
          </cell>
        </row>
        <row r="1037">
          <cell r="B1037" t="str">
            <v>67597 DR 008</v>
          </cell>
        </row>
        <row r="1038">
          <cell r="B1038" t="str">
            <v>67597 EA 017</v>
          </cell>
        </row>
        <row r="1039">
          <cell r="B1039" t="str">
            <v>67597 ED 006</v>
          </cell>
        </row>
        <row r="1040">
          <cell r="B1040" t="str">
            <v>67597 ED 008</v>
          </cell>
        </row>
        <row r="1041">
          <cell r="B1041" t="str">
            <v>67597 ED 015</v>
          </cell>
        </row>
        <row r="1042">
          <cell r="B1042" t="str">
            <v>67597 ED 017</v>
          </cell>
        </row>
        <row r="1043">
          <cell r="B1043" t="str">
            <v>67597 ES 008</v>
          </cell>
        </row>
        <row r="1044">
          <cell r="B1044" t="str">
            <v>67597 FJ 008</v>
          </cell>
        </row>
        <row r="1045">
          <cell r="B1045" t="str">
            <v>67597 FJ 015</v>
          </cell>
        </row>
        <row r="1046">
          <cell r="B1046" t="str">
            <v>67597 FO 006</v>
          </cell>
        </row>
        <row r="1047">
          <cell r="B1047" t="str">
            <v>67597 FO 015</v>
          </cell>
        </row>
        <row r="1048">
          <cell r="B1048" t="str">
            <v>67597 FO 017</v>
          </cell>
        </row>
        <row r="1049">
          <cell r="B1049" t="str">
            <v>67597 FO 024</v>
          </cell>
        </row>
        <row r="1050">
          <cell r="B1050" t="str">
            <v>67597 GK 008</v>
          </cell>
        </row>
        <row r="1051">
          <cell r="B1051" t="str">
            <v>67597 GT 008</v>
          </cell>
        </row>
        <row r="1052">
          <cell r="B1052" t="str">
            <v>67597 GZ 010</v>
          </cell>
        </row>
        <row r="1053">
          <cell r="B1053" t="str">
            <v>67597 IJ 006</v>
          </cell>
        </row>
        <row r="1054">
          <cell r="B1054" t="str">
            <v>67597 IJ 007</v>
          </cell>
        </row>
        <row r="1055">
          <cell r="B1055" t="str">
            <v>67597 IJ 015</v>
          </cell>
        </row>
        <row r="1056">
          <cell r="B1056" t="str">
            <v>67597 IJ 017</v>
          </cell>
        </row>
        <row r="1057">
          <cell r="B1057" t="str">
            <v>67597 IJ 024</v>
          </cell>
        </row>
        <row r="1058">
          <cell r="B1058" t="str">
            <v>67597 IL 008</v>
          </cell>
        </row>
        <row r="1059">
          <cell r="B1059" t="str">
            <v>67597 IL 015</v>
          </cell>
        </row>
        <row r="1060">
          <cell r="B1060" t="str">
            <v>67597 IL 017</v>
          </cell>
        </row>
        <row r="1061">
          <cell r="B1061" t="str">
            <v>67597 LN 007</v>
          </cell>
        </row>
        <row r="1062">
          <cell r="B1062" t="str">
            <v>67597 LN 015</v>
          </cell>
        </row>
        <row r="1063">
          <cell r="B1063" t="str">
            <v>67597 LN 017</v>
          </cell>
        </row>
        <row r="1064">
          <cell r="B1064" t="str">
            <v>67597 LN 024</v>
          </cell>
        </row>
        <row r="1065">
          <cell r="B1065" t="str">
            <v>67597 LP 008</v>
          </cell>
        </row>
        <row r="1066">
          <cell r="B1066" t="str">
            <v>67597 MR 008</v>
          </cell>
        </row>
        <row r="1067">
          <cell r="B1067" t="str">
            <v>67597 NQ 017</v>
          </cell>
        </row>
        <row r="1068">
          <cell r="B1068" t="str">
            <v>67597 PJ 008</v>
          </cell>
        </row>
        <row r="1069">
          <cell r="B1069" t="str">
            <v>67597 PN 012</v>
          </cell>
        </row>
        <row r="1070">
          <cell r="B1070" t="str">
            <v>67597 PT 006</v>
          </cell>
        </row>
        <row r="1071">
          <cell r="B1071" t="str">
            <v>67597 PT 008</v>
          </cell>
        </row>
        <row r="1072">
          <cell r="B1072" t="str">
            <v>67597 PT 012</v>
          </cell>
        </row>
        <row r="1073">
          <cell r="B1073" t="str">
            <v>67597 RD 006</v>
          </cell>
        </row>
        <row r="1074">
          <cell r="B1074" t="str">
            <v>67597 RD 008</v>
          </cell>
        </row>
        <row r="1075">
          <cell r="B1075" t="str">
            <v>67597 RD 017</v>
          </cell>
        </row>
        <row r="1076">
          <cell r="B1076" t="str">
            <v>67597 SP 017</v>
          </cell>
        </row>
        <row r="1077">
          <cell r="B1077" t="str">
            <v>67597 SZ 017</v>
          </cell>
        </row>
        <row r="1078">
          <cell r="B1078" t="str">
            <v>67597 TE 012</v>
          </cell>
        </row>
        <row r="1079">
          <cell r="B1079" t="str">
            <v>67597 TI 008</v>
          </cell>
        </row>
        <row r="1080">
          <cell r="B1080" t="str">
            <v>67597 TT 006</v>
          </cell>
        </row>
        <row r="1081">
          <cell r="B1081" t="str">
            <v>67597 TT 007</v>
          </cell>
        </row>
        <row r="1082">
          <cell r="B1082" t="str">
            <v>67597 TT 015</v>
          </cell>
        </row>
        <row r="1083">
          <cell r="B1083" t="str">
            <v>67597 TT 017</v>
          </cell>
        </row>
        <row r="1084">
          <cell r="B1084" t="str">
            <v>67597 TT 024</v>
          </cell>
        </row>
        <row r="1085">
          <cell r="B1085" t="str">
            <v>67597 TX 012</v>
          </cell>
        </row>
        <row r="1086">
          <cell r="B1086" t="str">
            <v>67597 TX 017</v>
          </cell>
        </row>
        <row r="1087">
          <cell r="B1087" t="str">
            <v>67597 UT 006</v>
          </cell>
        </row>
        <row r="1088">
          <cell r="B1088" t="str">
            <v>67597 UT 007</v>
          </cell>
        </row>
        <row r="1089">
          <cell r="B1089" t="str">
            <v>67597 UT 008</v>
          </cell>
        </row>
        <row r="1090">
          <cell r="B1090" t="str">
            <v>67597 UT 015</v>
          </cell>
        </row>
        <row r="1091">
          <cell r="B1091" t="str">
            <v>67597 UT 017</v>
          </cell>
        </row>
        <row r="1092">
          <cell r="B1092" t="str">
            <v>67597 UT 024</v>
          </cell>
        </row>
        <row r="1093">
          <cell r="B1093" t="str">
            <v>67597 VJ 017</v>
          </cell>
        </row>
        <row r="1094">
          <cell r="B1094" t="str">
            <v>67597 WA 006</v>
          </cell>
        </row>
        <row r="1095">
          <cell r="B1095" t="str">
            <v>67597 WA 007</v>
          </cell>
        </row>
        <row r="1096">
          <cell r="B1096" t="str">
            <v>67597 WA 015</v>
          </cell>
        </row>
        <row r="1097">
          <cell r="B1097" t="str">
            <v>67597 WA 017</v>
          </cell>
        </row>
        <row r="1098">
          <cell r="B1098" t="str">
            <v>67597 WA 024</v>
          </cell>
        </row>
        <row r="1099">
          <cell r="B1099" t="str">
            <v>67597 WG 008</v>
          </cell>
        </row>
        <row r="1100">
          <cell r="B1100" t="str">
            <v>67597 WG 010</v>
          </cell>
        </row>
        <row r="1101">
          <cell r="B1101" t="str">
            <v>67597 WH 008</v>
          </cell>
        </row>
        <row r="1102">
          <cell r="B1102" t="str">
            <v>67597 YA 006</v>
          </cell>
        </row>
        <row r="1103">
          <cell r="B1103" t="str">
            <v>67597 YA 008</v>
          </cell>
        </row>
        <row r="1104">
          <cell r="B1104" t="str">
            <v>67597 YT 006</v>
          </cell>
        </row>
        <row r="1105">
          <cell r="B1105" t="str">
            <v>67597 YT 007</v>
          </cell>
        </row>
        <row r="1106">
          <cell r="B1106" t="str">
            <v>67597 YT 015</v>
          </cell>
        </row>
        <row r="1107">
          <cell r="B1107" t="str">
            <v>67597 YT 017</v>
          </cell>
        </row>
        <row r="1108">
          <cell r="B1108" t="str">
            <v>67597 YT 024</v>
          </cell>
        </row>
        <row r="1109">
          <cell r="B1109" t="str">
            <v>67597 ZJ 008</v>
          </cell>
        </row>
        <row r="1110">
          <cell r="B1110" t="str">
            <v>67597 ZJ 010</v>
          </cell>
        </row>
        <row r="1111">
          <cell r="B1111" t="str">
            <v>67597 ZJ 015</v>
          </cell>
        </row>
        <row r="1112">
          <cell r="B1112" t="str">
            <v>67597 ZJ 017</v>
          </cell>
        </row>
        <row r="1113">
          <cell r="B1113" t="str">
            <v>68208 03 000</v>
          </cell>
        </row>
        <row r="1114">
          <cell r="B1114" t="str">
            <v>68208 FO 000</v>
          </cell>
        </row>
        <row r="1115">
          <cell r="B1115" t="str">
            <v>68208 IJ 000</v>
          </cell>
        </row>
        <row r="1116">
          <cell r="B1116" t="str">
            <v>68208 TT 000</v>
          </cell>
        </row>
        <row r="1117">
          <cell r="B1117" t="str">
            <v>68208 UT 000</v>
          </cell>
        </row>
        <row r="1118">
          <cell r="B1118" t="str">
            <v>68208 WA 000</v>
          </cell>
        </row>
        <row r="1119">
          <cell r="B1119" t="str">
            <v>68208 YT 000</v>
          </cell>
        </row>
        <row r="1120">
          <cell r="B1120" t="str">
            <v>71202 00 010</v>
          </cell>
        </row>
        <row r="1121">
          <cell r="B1121" t="str">
            <v>71402 03 010</v>
          </cell>
        </row>
        <row r="1122">
          <cell r="B1122" t="str">
            <v>71402 26 010</v>
          </cell>
        </row>
        <row r="1123">
          <cell r="B1123" t="str">
            <v>71403 03 010</v>
          </cell>
        </row>
        <row r="1124">
          <cell r="B1124" t="str">
            <v>71403 04 010</v>
          </cell>
        </row>
        <row r="1125">
          <cell r="B1125" t="str">
            <v>71403 26 010</v>
          </cell>
        </row>
        <row r="1126">
          <cell r="B1126" t="str">
            <v>71403 2A 010</v>
          </cell>
        </row>
        <row r="1127">
          <cell r="B1127" t="str">
            <v>71403 2E 010</v>
          </cell>
        </row>
        <row r="1128">
          <cell r="B1128" t="str">
            <v>71403 2J 010</v>
          </cell>
        </row>
        <row r="1129">
          <cell r="B1129" t="str">
            <v>71403 3C 010</v>
          </cell>
        </row>
        <row r="1130">
          <cell r="B1130" t="str">
            <v>71403 3D 010</v>
          </cell>
        </row>
        <row r="1131">
          <cell r="B1131" t="str">
            <v>71403 3E 010</v>
          </cell>
        </row>
        <row r="1132">
          <cell r="B1132" t="str">
            <v>71403 DA 010</v>
          </cell>
        </row>
        <row r="1133">
          <cell r="B1133" t="str">
            <v>71403 DN 010</v>
          </cell>
        </row>
        <row r="1134">
          <cell r="B1134" t="str">
            <v>71403 DR 010</v>
          </cell>
        </row>
        <row r="1135">
          <cell r="B1135" t="str">
            <v>71403 EC 010</v>
          </cell>
        </row>
        <row r="1136">
          <cell r="B1136" t="str">
            <v>71403 ED 010</v>
          </cell>
        </row>
        <row r="1137">
          <cell r="B1137" t="str">
            <v>71403 EI 010</v>
          </cell>
        </row>
        <row r="1138">
          <cell r="B1138" t="str">
            <v>71403 EO 010</v>
          </cell>
        </row>
        <row r="1139">
          <cell r="B1139" t="str">
            <v>71403 FJ 010</v>
          </cell>
        </row>
        <row r="1140">
          <cell r="B1140" t="str">
            <v>71403 FO 010</v>
          </cell>
        </row>
        <row r="1141">
          <cell r="B1141" t="str">
            <v>71403 IJ 010</v>
          </cell>
        </row>
        <row r="1142">
          <cell r="B1142" t="str">
            <v>71403 IL 010</v>
          </cell>
        </row>
        <row r="1143">
          <cell r="B1143" t="str">
            <v>71403 LN 010</v>
          </cell>
        </row>
        <row r="1144">
          <cell r="B1144" t="str">
            <v>71403 LP 010</v>
          </cell>
        </row>
        <row r="1145">
          <cell r="B1145" t="str">
            <v>71403 NO 010</v>
          </cell>
        </row>
        <row r="1146">
          <cell r="B1146" t="str">
            <v>71403 NQ 010</v>
          </cell>
        </row>
        <row r="1147">
          <cell r="B1147" t="str">
            <v>71403 OF 010</v>
          </cell>
        </row>
        <row r="1148">
          <cell r="B1148" t="str">
            <v>71403 OR 010</v>
          </cell>
        </row>
        <row r="1149">
          <cell r="B1149" t="str">
            <v>71403 PJ 010</v>
          </cell>
        </row>
        <row r="1150">
          <cell r="B1150" t="str">
            <v>71403 PN 010</v>
          </cell>
        </row>
        <row r="1151">
          <cell r="B1151" t="str">
            <v>71403 RD 005</v>
          </cell>
        </row>
        <row r="1152">
          <cell r="B1152" t="str">
            <v>71403 SP 010</v>
          </cell>
        </row>
        <row r="1153">
          <cell r="B1153" t="str">
            <v>71403 SZ 010</v>
          </cell>
        </row>
        <row r="1154">
          <cell r="B1154" t="str">
            <v>71403 TI 010</v>
          </cell>
        </row>
        <row r="1155">
          <cell r="B1155" t="str">
            <v>71403 TT 010</v>
          </cell>
        </row>
        <row r="1156">
          <cell r="B1156" t="str">
            <v>71403 TX 010</v>
          </cell>
        </row>
        <row r="1157">
          <cell r="B1157" t="str">
            <v>71403 UT 010</v>
          </cell>
        </row>
        <row r="1158">
          <cell r="B1158" t="str">
            <v>71403 VJ 010</v>
          </cell>
        </row>
        <row r="1159">
          <cell r="B1159" t="str">
            <v>71403 WA 010</v>
          </cell>
        </row>
        <row r="1160">
          <cell r="B1160" t="str">
            <v>71403 WC 010</v>
          </cell>
        </row>
        <row r="1161">
          <cell r="B1161" t="str">
            <v>71403 WG 010</v>
          </cell>
        </row>
        <row r="1162">
          <cell r="B1162" t="str">
            <v>71403 WH 010</v>
          </cell>
        </row>
        <row r="1163">
          <cell r="B1163" t="str">
            <v>71403 YB 010</v>
          </cell>
        </row>
        <row r="1164">
          <cell r="B1164" t="str">
            <v>71403 YE 010</v>
          </cell>
        </row>
        <row r="1165">
          <cell r="B1165" t="str">
            <v>71403 ZJ 010</v>
          </cell>
        </row>
        <row r="1166">
          <cell r="B1166" t="str">
            <v>71408 04 008</v>
          </cell>
        </row>
        <row r="1167">
          <cell r="B1167" t="str">
            <v>71501 03 001</v>
          </cell>
        </row>
        <row r="1168">
          <cell r="B1168" t="str">
            <v>71501 03 005</v>
          </cell>
        </row>
        <row r="1169">
          <cell r="B1169" t="str">
            <v>71501 04 005</v>
          </cell>
        </row>
        <row r="1170">
          <cell r="B1170" t="str">
            <v>71501 1A 001</v>
          </cell>
        </row>
        <row r="1171">
          <cell r="B1171" t="str">
            <v>71501 1K 005</v>
          </cell>
        </row>
        <row r="1172">
          <cell r="B1172" t="str">
            <v>71501 26 005</v>
          </cell>
        </row>
        <row r="1173">
          <cell r="B1173" t="str">
            <v>71501 2A 005</v>
          </cell>
        </row>
        <row r="1174">
          <cell r="B1174" t="str">
            <v>71501 2E 005</v>
          </cell>
        </row>
        <row r="1175">
          <cell r="B1175" t="str">
            <v>71501 2G 005</v>
          </cell>
        </row>
        <row r="1176">
          <cell r="B1176" t="str">
            <v>71501 2J 005</v>
          </cell>
        </row>
        <row r="1177">
          <cell r="B1177" t="str">
            <v>71501 2M 005</v>
          </cell>
        </row>
        <row r="1178">
          <cell r="B1178" t="str">
            <v>71501 2R 005</v>
          </cell>
        </row>
        <row r="1179">
          <cell r="B1179" t="str">
            <v>71501 3A 005</v>
          </cell>
        </row>
        <row r="1180">
          <cell r="B1180" t="str">
            <v>71501 3D 005</v>
          </cell>
        </row>
        <row r="1181">
          <cell r="B1181" t="str">
            <v>71501 3E 005</v>
          </cell>
        </row>
        <row r="1182">
          <cell r="B1182" t="str">
            <v>71501 CD 001</v>
          </cell>
        </row>
        <row r="1183">
          <cell r="B1183" t="str">
            <v>71501 DA 005</v>
          </cell>
        </row>
        <row r="1184">
          <cell r="B1184" t="str">
            <v>71501 DN 005</v>
          </cell>
        </row>
        <row r="1185">
          <cell r="B1185" t="str">
            <v>71501 DR 005</v>
          </cell>
        </row>
        <row r="1186">
          <cell r="B1186" t="str">
            <v>71501 EC 005</v>
          </cell>
        </row>
        <row r="1187">
          <cell r="B1187" t="str">
            <v>71501 ED 001</v>
          </cell>
        </row>
        <row r="1188">
          <cell r="B1188" t="str">
            <v>71501 ED 005</v>
          </cell>
        </row>
        <row r="1189">
          <cell r="B1189" t="str">
            <v>71501 EI 005</v>
          </cell>
        </row>
        <row r="1190">
          <cell r="B1190" t="str">
            <v>71501 ES 005</v>
          </cell>
        </row>
        <row r="1191">
          <cell r="B1191" t="str">
            <v>71501 FE 005</v>
          </cell>
        </row>
        <row r="1192">
          <cell r="B1192" t="str">
            <v>71501 FJ 005</v>
          </cell>
        </row>
        <row r="1193">
          <cell r="B1193" t="str">
            <v>71501 FO 001</v>
          </cell>
        </row>
        <row r="1194">
          <cell r="B1194" t="str">
            <v>71501 FO 005</v>
          </cell>
        </row>
        <row r="1195">
          <cell r="B1195" t="str">
            <v>71501 GK 001</v>
          </cell>
        </row>
        <row r="1196">
          <cell r="B1196" t="str">
            <v>71501 GK 005</v>
          </cell>
        </row>
        <row r="1197">
          <cell r="B1197" t="str">
            <v>71501 IJ 005</v>
          </cell>
        </row>
        <row r="1198">
          <cell r="B1198" t="str">
            <v>71501 IL 001</v>
          </cell>
        </row>
        <row r="1199">
          <cell r="B1199" t="str">
            <v>71501 IL 005</v>
          </cell>
        </row>
        <row r="1200">
          <cell r="B1200" t="str">
            <v>71501 LN 005</v>
          </cell>
        </row>
        <row r="1201">
          <cell r="B1201" t="str">
            <v>71501 LP 001</v>
          </cell>
        </row>
        <row r="1202">
          <cell r="B1202" t="str">
            <v>71501 LP 005</v>
          </cell>
        </row>
        <row r="1203">
          <cell r="B1203" t="str">
            <v>71501 MR 001</v>
          </cell>
        </row>
        <row r="1204">
          <cell r="B1204" t="str">
            <v>71501 MR 005</v>
          </cell>
        </row>
        <row r="1205">
          <cell r="B1205" t="str">
            <v>71501 NO 001</v>
          </cell>
        </row>
        <row r="1206">
          <cell r="B1206" t="str">
            <v>71501 PJ 005</v>
          </cell>
        </row>
        <row r="1207">
          <cell r="B1207" t="str">
            <v>71501 PN 001</v>
          </cell>
        </row>
        <row r="1208">
          <cell r="B1208" t="str">
            <v>71501 PT 005</v>
          </cell>
        </row>
        <row r="1209">
          <cell r="B1209" t="str">
            <v>71501 RD 001</v>
          </cell>
        </row>
        <row r="1210">
          <cell r="B1210" t="str">
            <v>71501 RD 005</v>
          </cell>
        </row>
        <row r="1211">
          <cell r="B1211" t="str">
            <v>71501 TI 001</v>
          </cell>
        </row>
        <row r="1212">
          <cell r="B1212" t="str">
            <v>71501 TI 005</v>
          </cell>
        </row>
        <row r="1213">
          <cell r="B1213" t="str">
            <v>71501 TT 005</v>
          </cell>
        </row>
        <row r="1214">
          <cell r="B1214" t="str">
            <v>71501 TX 001</v>
          </cell>
        </row>
        <row r="1215">
          <cell r="B1215" t="str">
            <v>71501 TX 005</v>
          </cell>
        </row>
        <row r="1216">
          <cell r="B1216" t="str">
            <v>71501 UT 005</v>
          </cell>
        </row>
        <row r="1217">
          <cell r="B1217" t="str">
            <v>71501 VJ 001</v>
          </cell>
        </row>
        <row r="1218">
          <cell r="B1218" t="str">
            <v>71501 WA 005</v>
          </cell>
        </row>
        <row r="1219">
          <cell r="B1219" t="str">
            <v>71501 WG 001</v>
          </cell>
        </row>
        <row r="1220">
          <cell r="B1220" t="str">
            <v>71501 WG 005</v>
          </cell>
        </row>
        <row r="1221">
          <cell r="B1221" t="str">
            <v>71501 WH 001</v>
          </cell>
        </row>
        <row r="1222">
          <cell r="B1222" t="str">
            <v>71501 YA 001</v>
          </cell>
        </row>
        <row r="1223">
          <cell r="B1223" t="str">
            <v>71501 YA 005</v>
          </cell>
        </row>
        <row r="1224">
          <cell r="B1224" t="str">
            <v>71501 YT 005</v>
          </cell>
        </row>
        <row r="1225">
          <cell r="B1225" t="str">
            <v>71501 ZJ 005</v>
          </cell>
        </row>
        <row r="1226">
          <cell r="B1226" t="str">
            <v>71503 03 005</v>
          </cell>
        </row>
        <row r="1227">
          <cell r="B1227" t="str">
            <v>71503 03 007</v>
          </cell>
        </row>
        <row r="1228">
          <cell r="B1228" t="str">
            <v>71503 04 005</v>
          </cell>
        </row>
        <row r="1229">
          <cell r="B1229" t="str">
            <v>71503 1A 005</v>
          </cell>
        </row>
        <row r="1230">
          <cell r="B1230" t="str">
            <v>71503 2G 005</v>
          </cell>
        </row>
        <row r="1231">
          <cell r="B1231" t="str">
            <v>71503 DA 005</v>
          </cell>
        </row>
        <row r="1232">
          <cell r="B1232" t="str">
            <v>71503 DR 005</v>
          </cell>
        </row>
        <row r="1233">
          <cell r="B1233" t="str">
            <v>71503 ED 005</v>
          </cell>
        </row>
        <row r="1234">
          <cell r="B1234" t="str">
            <v>71503 ED 007</v>
          </cell>
        </row>
        <row r="1235">
          <cell r="B1235" t="str">
            <v>71503 ES 005</v>
          </cell>
        </row>
        <row r="1236">
          <cell r="B1236" t="str">
            <v>71503 FJ 005</v>
          </cell>
        </row>
        <row r="1237">
          <cell r="B1237" t="str">
            <v>71503 LP 005</v>
          </cell>
        </row>
        <row r="1238">
          <cell r="B1238" t="str">
            <v>71503 LP 007</v>
          </cell>
        </row>
        <row r="1239">
          <cell r="B1239" t="str">
            <v>71503 OF 005</v>
          </cell>
        </row>
        <row r="1240">
          <cell r="B1240" t="str">
            <v>71503 OF 007</v>
          </cell>
        </row>
        <row r="1241">
          <cell r="B1241" t="str">
            <v>71503 PJ 005</v>
          </cell>
        </row>
        <row r="1242">
          <cell r="B1242" t="str">
            <v>71503 PJ 007</v>
          </cell>
        </row>
        <row r="1243">
          <cell r="B1243" t="str">
            <v>71503 PT 005</v>
          </cell>
        </row>
        <row r="1244">
          <cell r="B1244" t="str">
            <v>71503 RD 005</v>
          </cell>
        </row>
        <row r="1245">
          <cell r="B1245" t="str">
            <v>71503 TI 005</v>
          </cell>
        </row>
        <row r="1246">
          <cell r="B1246" t="str">
            <v>71503 TI 007</v>
          </cell>
        </row>
        <row r="1247">
          <cell r="B1247" t="str">
            <v>71503 UT 005</v>
          </cell>
        </row>
        <row r="1248">
          <cell r="B1248" t="str">
            <v>71503 UT 007</v>
          </cell>
        </row>
        <row r="1249">
          <cell r="B1249" t="str">
            <v>71503 WG 005</v>
          </cell>
        </row>
        <row r="1250">
          <cell r="B1250" t="str">
            <v>71503 WH 005</v>
          </cell>
        </row>
        <row r="1251">
          <cell r="B1251" t="str">
            <v>71503 YA 005</v>
          </cell>
        </row>
        <row r="1252">
          <cell r="B1252" t="str">
            <v>71503 YB 005</v>
          </cell>
        </row>
        <row r="1253">
          <cell r="B1253" t="str">
            <v>71503 YE 005</v>
          </cell>
        </row>
        <row r="1254">
          <cell r="B1254" t="str">
            <v>71503 ZJ 005</v>
          </cell>
        </row>
        <row r="1255">
          <cell r="B1255" t="str">
            <v>73101 03 000</v>
          </cell>
        </row>
        <row r="1256">
          <cell r="B1256" t="str">
            <v>73101 26 000</v>
          </cell>
        </row>
        <row r="1257">
          <cell r="B1257" t="str">
            <v>73180 03 000</v>
          </cell>
        </row>
        <row r="1258">
          <cell r="B1258" t="str">
            <v>73180 04 000</v>
          </cell>
        </row>
        <row r="1259">
          <cell r="B1259" t="str">
            <v>73180 DN 000</v>
          </cell>
        </row>
        <row r="1260">
          <cell r="B1260" t="str">
            <v>73180 GK 000</v>
          </cell>
        </row>
        <row r="1261">
          <cell r="B1261" t="str">
            <v>73180 MR 000</v>
          </cell>
        </row>
        <row r="1262">
          <cell r="B1262" t="str">
            <v>73191 03 000</v>
          </cell>
        </row>
        <row r="1263">
          <cell r="B1263" t="str">
            <v>73191 04 020</v>
          </cell>
        </row>
        <row r="1264">
          <cell r="B1264" t="str">
            <v>73191 PN 000</v>
          </cell>
        </row>
        <row r="1265">
          <cell r="B1265" t="str">
            <v>73191 TX 000</v>
          </cell>
        </row>
        <row r="1266">
          <cell r="B1266" t="str">
            <v>73193 2J 000</v>
          </cell>
        </row>
        <row r="1267">
          <cell r="B1267" t="str">
            <v>74600 1B 000</v>
          </cell>
        </row>
        <row r="1268">
          <cell r="B1268" t="str">
            <v>74600 1C 000</v>
          </cell>
        </row>
        <row r="1269">
          <cell r="B1269" t="str">
            <v>74600 2A 000</v>
          </cell>
        </row>
        <row r="1270">
          <cell r="B1270" t="str">
            <v>74600 2E 000</v>
          </cell>
        </row>
        <row r="1271">
          <cell r="B1271" t="str">
            <v>74600 2J 000</v>
          </cell>
        </row>
        <row r="1272">
          <cell r="B1272" t="str">
            <v>74603 03 000</v>
          </cell>
        </row>
        <row r="1273">
          <cell r="B1273" t="str">
            <v>74603 04 000</v>
          </cell>
        </row>
        <row r="1274">
          <cell r="B1274" t="str">
            <v>74603 2K 000</v>
          </cell>
        </row>
        <row r="1275">
          <cell r="B1275" t="str">
            <v>74603 FO 000</v>
          </cell>
        </row>
        <row r="1276">
          <cell r="B1276" t="str">
            <v>74603 IJ 000</v>
          </cell>
        </row>
        <row r="1277">
          <cell r="B1277" t="str">
            <v>74603 LN 000</v>
          </cell>
        </row>
        <row r="1278">
          <cell r="B1278" t="str">
            <v>74603 TT 000</v>
          </cell>
        </row>
        <row r="1279">
          <cell r="B1279" t="str">
            <v>74603 UT 000</v>
          </cell>
        </row>
        <row r="1280">
          <cell r="B1280" t="str">
            <v>74603 WA 000</v>
          </cell>
        </row>
        <row r="1281">
          <cell r="B1281" t="str">
            <v>74603 YT 000</v>
          </cell>
        </row>
        <row r="1282">
          <cell r="B1282" t="str">
            <v>74607 03 000</v>
          </cell>
        </row>
        <row r="1283">
          <cell r="B1283" t="str">
            <v>74607 04 000</v>
          </cell>
        </row>
        <row r="1284">
          <cell r="B1284" t="str">
            <v>75295 2F 000</v>
          </cell>
        </row>
        <row r="1285">
          <cell r="B1285" t="str">
            <v>75295 2K 000</v>
          </cell>
        </row>
        <row r="1286">
          <cell r="B1286" t="str">
            <v>75295 2R 000</v>
          </cell>
        </row>
        <row r="1287">
          <cell r="B1287" t="str">
            <v>75295 2U 000</v>
          </cell>
        </row>
        <row r="1288">
          <cell r="B1288" t="str">
            <v>75438 03 010</v>
          </cell>
        </row>
        <row r="1289">
          <cell r="B1289" t="str">
            <v>75438 04 010</v>
          </cell>
        </row>
        <row r="1290">
          <cell r="B1290" t="str">
            <v>75438 1B 010</v>
          </cell>
        </row>
        <row r="1291">
          <cell r="B1291" t="str">
            <v>75438 1C 010</v>
          </cell>
        </row>
        <row r="1292">
          <cell r="B1292" t="str">
            <v>82105 00 070</v>
          </cell>
        </row>
        <row r="1293">
          <cell r="B1293" t="str">
            <v>82105 00 075</v>
          </cell>
        </row>
        <row r="1294">
          <cell r="B1294" t="str">
            <v>82105 00 080</v>
          </cell>
        </row>
        <row r="1295">
          <cell r="B1295" t="str">
            <v>82105 00 085</v>
          </cell>
        </row>
        <row r="1296">
          <cell r="B1296" t="str">
            <v>82105 00 090</v>
          </cell>
        </row>
        <row r="1297">
          <cell r="B1297" t="str">
            <v>82105 00 100</v>
          </cell>
        </row>
        <row r="1298">
          <cell r="B1298" t="str">
            <v>82105 00 110</v>
          </cell>
        </row>
        <row r="1299">
          <cell r="B1299" t="str">
            <v>82105 00 120</v>
          </cell>
        </row>
        <row r="1300">
          <cell r="B1300" t="str">
            <v>83203 03 010</v>
          </cell>
        </row>
        <row r="1301">
          <cell r="B1301" t="str">
            <v>83203 03 011</v>
          </cell>
        </row>
        <row r="1302">
          <cell r="B1302" t="str">
            <v>83203 03 012</v>
          </cell>
        </row>
        <row r="1303">
          <cell r="B1303" t="str">
            <v>83203 03 013</v>
          </cell>
        </row>
        <row r="1304">
          <cell r="B1304" t="str">
            <v>83203 03 015</v>
          </cell>
        </row>
        <row r="1305">
          <cell r="B1305" t="str">
            <v>83203 03 018</v>
          </cell>
        </row>
        <row r="1306">
          <cell r="B1306" t="str">
            <v>83203 04 010</v>
          </cell>
        </row>
        <row r="1307">
          <cell r="B1307" t="str">
            <v>83203 04 011</v>
          </cell>
        </row>
        <row r="1308">
          <cell r="B1308" t="str">
            <v>83203 04 012</v>
          </cell>
        </row>
        <row r="1309">
          <cell r="B1309" t="str">
            <v>83203 04 015</v>
          </cell>
        </row>
        <row r="1310">
          <cell r="B1310" t="str">
            <v>83203 1A 010</v>
          </cell>
        </row>
        <row r="1311">
          <cell r="B1311" t="str">
            <v>83203 1A 012</v>
          </cell>
        </row>
        <row r="1312">
          <cell r="B1312" t="str">
            <v>83203 1A 015</v>
          </cell>
        </row>
        <row r="1313">
          <cell r="B1313" t="str">
            <v>83203 1B 010</v>
          </cell>
        </row>
        <row r="1314">
          <cell r="B1314" t="str">
            <v>83203 1C 010</v>
          </cell>
        </row>
        <row r="1315">
          <cell r="B1315" t="str">
            <v>83203 26 011</v>
          </cell>
        </row>
        <row r="1316">
          <cell r="B1316" t="str">
            <v>83203 26 013</v>
          </cell>
        </row>
        <row r="1317">
          <cell r="B1317" t="str">
            <v>83203 2A 012</v>
          </cell>
        </row>
        <row r="1318">
          <cell r="B1318" t="str">
            <v>83203 2E 012</v>
          </cell>
        </row>
        <row r="1319">
          <cell r="B1319" t="str">
            <v>83203 2G 010</v>
          </cell>
        </row>
        <row r="1320">
          <cell r="B1320" t="str">
            <v>83203 2G 012</v>
          </cell>
        </row>
        <row r="1321">
          <cell r="B1321" t="str">
            <v>83203 2G 015</v>
          </cell>
        </row>
        <row r="1322">
          <cell r="B1322" t="str">
            <v>83203 DN 010</v>
          </cell>
        </row>
        <row r="1323">
          <cell r="B1323" t="str">
            <v>83203 DN 012</v>
          </cell>
        </row>
        <row r="1324">
          <cell r="B1324" t="str">
            <v>83203 DR 010</v>
          </cell>
        </row>
        <row r="1325">
          <cell r="B1325" t="str">
            <v>83203 DR 012</v>
          </cell>
        </row>
        <row r="1326">
          <cell r="B1326" t="str">
            <v>83203 DR 015</v>
          </cell>
        </row>
        <row r="1327">
          <cell r="B1327" t="str">
            <v>83203 EA 011</v>
          </cell>
        </row>
        <row r="1328">
          <cell r="B1328" t="str">
            <v>83203 ED 010</v>
          </cell>
        </row>
        <row r="1329">
          <cell r="B1329" t="str">
            <v>83203 ED 012</v>
          </cell>
        </row>
        <row r="1330">
          <cell r="B1330" t="str">
            <v>83203 ED 015</v>
          </cell>
        </row>
        <row r="1331">
          <cell r="B1331" t="str">
            <v>83203 ES 010</v>
          </cell>
        </row>
        <row r="1332">
          <cell r="B1332" t="str">
            <v>83203 ES 012</v>
          </cell>
        </row>
        <row r="1333">
          <cell r="B1333" t="str">
            <v>83203 ES 015</v>
          </cell>
        </row>
        <row r="1334">
          <cell r="B1334" t="str">
            <v>83203 FJ 010</v>
          </cell>
        </row>
        <row r="1335">
          <cell r="B1335" t="str">
            <v>83203 FJ 012</v>
          </cell>
        </row>
        <row r="1336">
          <cell r="B1336" t="str">
            <v>83203 FJ 015</v>
          </cell>
        </row>
        <row r="1337">
          <cell r="B1337" t="str">
            <v>83203 FO 010</v>
          </cell>
        </row>
        <row r="1338">
          <cell r="B1338" t="str">
            <v>83203 FO 012</v>
          </cell>
        </row>
        <row r="1339">
          <cell r="B1339" t="str">
            <v>83203 FO 015</v>
          </cell>
        </row>
        <row r="1340">
          <cell r="B1340" t="str">
            <v>83203 GK 010</v>
          </cell>
        </row>
        <row r="1341">
          <cell r="B1341" t="str">
            <v>83203 GK 012</v>
          </cell>
        </row>
        <row r="1342">
          <cell r="B1342" t="str">
            <v>83203 IJ 010</v>
          </cell>
        </row>
        <row r="1343">
          <cell r="B1343" t="str">
            <v>83203 IJ 012</v>
          </cell>
        </row>
        <row r="1344">
          <cell r="B1344" t="str">
            <v>83203 IJ 015</v>
          </cell>
        </row>
        <row r="1345">
          <cell r="B1345" t="str">
            <v>83203 IL 010</v>
          </cell>
        </row>
        <row r="1346">
          <cell r="B1346" t="str">
            <v>83203 IL 012</v>
          </cell>
        </row>
        <row r="1347">
          <cell r="B1347" t="str">
            <v>83203 IL 015</v>
          </cell>
        </row>
        <row r="1348">
          <cell r="B1348" t="str">
            <v>83203 LN 010</v>
          </cell>
        </row>
        <row r="1349">
          <cell r="B1349" t="str">
            <v>83203 LN 012</v>
          </cell>
        </row>
        <row r="1350">
          <cell r="B1350" t="str">
            <v>83203 LN 015</v>
          </cell>
        </row>
        <row r="1351">
          <cell r="B1351" t="str">
            <v>83203 LP 010</v>
          </cell>
        </row>
        <row r="1352">
          <cell r="B1352" t="str">
            <v>83203 LP 012</v>
          </cell>
        </row>
        <row r="1353">
          <cell r="B1353" t="str">
            <v>83203 LP 015</v>
          </cell>
        </row>
        <row r="1354">
          <cell r="B1354" t="str">
            <v>83203 MR 010</v>
          </cell>
        </row>
        <row r="1355">
          <cell r="B1355" t="str">
            <v>83203 MR 012</v>
          </cell>
        </row>
        <row r="1356">
          <cell r="B1356" t="str">
            <v>83203 NO 011</v>
          </cell>
        </row>
        <row r="1357">
          <cell r="B1357" t="str">
            <v>83203 NQ 011</v>
          </cell>
        </row>
        <row r="1358">
          <cell r="B1358" t="str">
            <v>83203 PJ 010</v>
          </cell>
        </row>
        <row r="1359">
          <cell r="B1359" t="str">
            <v>83203 PJ 012</v>
          </cell>
        </row>
        <row r="1360">
          <cell r="B1360" t="str">
            <v>83203 PJ 015</v>
          </cell>
        </row>
        <row r="1361">
          <cell r="B1361" t="str">
            <v>83203 PN 010</v>
          </cell>
        </row>
        <row r="1362">
          <cell r="B1362" t="str">
            <v>83203 PT 010</v>
          </cell>
        </row>
        <row r="1363">
          <cell r="B1363" t="str">
            <v>83203 PT 012</v>
          </cell>
        </row>
        <row r="1364">
          <cell r="B1364" t="str">
            <v>83203 RD 010</v>
          </cell>
        </row>
        <row r="1365">
          <cell r="B1365" t="str">
            <v>83203 RD 012</v>
          </cell>
        </row>
        <row r="1366">
          <cell r="B1366" t="str">
            <v>83203 RD 015</v>
          </cell>
        </row>
        <row r="1367">
          <cell r="B1367" t="str">
            <v>83203 SP 011</v>
          </cell>
        </row>
        <row r="1368">
          <cell r="B1368" t="str">
            <v>83203 SZ 011</v>
          </cell>
        </row>
        <row r="1369">
          <cell r="B1369" t="str">
            <v>83203 TI 010</v>
          </cell>
        </row>
        <row r="1370">
          <cell r="B1370" t="str">
            <v>83203 TI 012</v>
          </cell>
        </row>
        <row r="1371">
          <cell r="B1371" t="str">
            <v>83203 TI 015</v>
          </cell>
        </row>
        <row r="1372">
          <cell r="B1372" t="str">
            <v>83203 TR 011</v>
          </cell>
        </row>
        <row r="1373">
          <cell r="B1373" t="str">
            <v>83203 TT 010</v>
          </cell>
        </row>
        <row r="1374">
          <cell r="B1374" t="str">
            <v>83203 TT 012</v>
          </cell>
        </row>
        <row r="1375">
          <cell r="B1375" t="str">
            <v>83203 TT 015</v>
          </cell>
        </row>
        <row r="1376">
          <cell r="B1376" t="str">
            <v>83203 TX 010</v>
          </cell>
        </row>
        <row r="1377">
          <cell r="B1377" t="str">
            <v>83203 UT 010</v>
          </cell>
        </row>
        <row r="1378">
          <cell r="B1378" t="str">
            <v>83203 UT 012</v>
          </cell>
        </row>
        <row r="1379">
          <cell r="B1379" t="str">
            <v>83203 UT 015</v>
          </cell>
        </row>
        <row r="1380">
          <cell r="B1380" t="str">
            <v>83203 VJ 011</v>
          </cell>
        </row>
        <row r="1381">
          <cell r="B1381" t="str">
            <v>83203 WA 010</v>
          </cell>
        </row>
        <row r="1382">
          <cell r="B1382" t="str">
            <v>83203 WA 012</v>
          </cell>
        </row>
        <row r="1383">
          <cell r="B1383" t="str">
            <v>83203 WA 015</v>
          </cell>
        </row>
        <row r="1384">
          <cell r="B1384" t="str">
            <v>83203 WG 010</v>
          </cell>
        </row>
        <row r="1385">
          <cell r="B1385" t="str">
            <v>83203 WG 012</v>
          </cell>
        </row>
        <row r="1386">
          <cell r="B1386" t="str">
            <v>83203 WG 015</v>
          </cell>
        </row>
        <row r="1387">
          <cell r="B1387" t="str">
            <v>83203 WH 010</v>
          </cell>
        </row>
        <row r="1388">
          <cell r="B1388" t="str">
            <v>83203 WH 012</v>
          </cell>
        </row>
        <row r="1389">
          <cell r="B1389" t="str">
            <v>83203 WH 015</v>
          </cell>
        </row>
        <row r="1390">
          <cell r="B1390" t="str">
            <v>83203 YA 010</v>
          </cell>
        </row>
        <row r="1391">
          <cell r="B1391" t="str">
            <v>83203 YA 012</v>
          </cell>
        </row>
        <row r="1392">
          <cell r="B1392" t="str">
            <v>83203 YT 010</v>
          </cell>
        </row>
        <row r="1393">
          <cell r="B1393" t="str">
            <v>83203 YT 012</v>
          </cell>
        </row>
        <row r="1394">
          <cell r="B1394" t="str">
            <v>83203 YT 015</v>
          </cell>
        </row>
        <row r="1395">
          <cell r="B1395" t="str">
            <v>83203 ZJ 010</v>
          </cell>
        </row>
        <row r="1396">
          <cell r="B1396" t="str">
            <v>83203 ZJ 012</v>
          </cell>
        </row>
        <row r="1397">
          <cell r="B1397" t="str">
            <v>83203 ZJ 015</v>
          </cell>
        </row>
        <row r="1398">
          <cell r="B1398" t="str">
            <v>83206 03 017</v>
          </cell>
        </row>
        <row r="1399">
          <cell r="B1399" t="str">
            <v>83214 03 000</v>
          </cell>
        </row>
        <row r="1400">
          <cell r="B1400" t="str">
            <v>83214 EI 000</v>
          </cell>
        </row>
        <row r="1401">
          <cell r="B1401" t="str">
            <v>83214 FE 000</v>
          </cell>
        </row>
        <row r="1402">
          <cell r="B1402" t="str">
            <v>83290 03 014</v>
          </cell>
        </row>
        <row r="1403">
          <cell r="B1403" t="str">
            <v>83290 03 017</v>
          </cell>
        </row>
        <row r="1404">
          <cell r="B1404" t="str">
            <v>83297 03 012</v>
          </cell>
        </row>
        <row r="1405">
          <cell r="B1405" t="str">
            <v>83297 FO 012</v>
          </cell>
        </row>
        <row r="1406">
          <cell r="B1406" t="str">
            <v>83297 IJ 012</v>
          </cell>
        </row>
        <row r="1407">
          <cell r="B1407" t="str">
            <v>83297 LN 012</v>
          </cell>
        </row>
        <row r="1408">
          <cell r="B1408" t="str">
            <v>83297 TT 012</v>
          </cell>
        </row>
        <row r="1409">
          <cell r="B1409" t="str">
            <v>83297 UT 012</v>
          </cell>
        </row>
        <row r="1410">
          <cell r="B1410" t="str">
            <v>83297 WA 012</v>
          </cell>
        </row>
        <row r="1411">
          <cell r="B1411" t="str">
            <v>83297 WG 012</v>
          </cell>
        </row>
        <row r="1412">
          <cell r="B1412" t="str">
            <v>83297 YT 012</v>
          </cell>
        </row>
        <row r="1413">
          <cell r="B1413" t="str">
            <v>83298 03 012</v>
          </cell>
        </row>
        <row r="1414">
          <cell r="B1414" t="str">
            <v>83298 04 012</v>
          </cell>
        </row>
        <row r="1415">
          <cell r="B1415" t="str">
            <v>83298 ZJ 012</v>
          </cell>
        </row>
        <row r="1416">
          <cell r="B1416" t="str">
            <v>84113 00 165</v>
          </cell>
        </row>
        <row r="1417">
          <cell r="B1417" t="str">
            <v>84113 00 174</v>
          </cell>
        </row>
        <row r="1418">
          <cell r="B1418" t="str">
            <v>84113 00 183</v>
          </cell>
        </row>
        <row r="1419">
          <cell r="B1419" t="str">
            <v>84113 00 210</v>
          </cell>
        </row>
        <row r="1420">
          <cell r="B1420" t="str">
            <v>84113 00 219</v>
          </cell>
        </row>
        <row r="1421">
          <cell r="B1421" t="str">
            <v>84113 00 228</v>
          </cell>
        </row>
        <row r="1422">
          <cell r="B1422" t="str">
            <v>84113 00 237</v>
          </cell>
        </row>
        <row r="1423">
          <cell r="B1423" t="str">
            <v>84113 00 255</v>
          </cell>
        </row>
        <row r="1424">
          <cell r="B1424" t="str">
            <v>84164 00 170</v>
          </cell>
        </row>
        <row r="1425">
          <cell r="B1425" t="str">
            <v>84164 00 184</v>
          </cell>
        </row>
        <row r="1426">
          <cell r="B1426" t="str">
            <v>84164 00 192</v>
          </cell>
        </row>
        <row r="1427">
          <cell r="B1427" t="str">
            <v>84164 00 199</v>
          </cell>
        </row>
        <row r="1428">
          <cell r="B1428" t="str">
            <v>84164 00 207</v>
          </cell>
        </row>
        <row r="1429">
          <cell r="B1429" t="str">
            <v>84164 00 216</v>
          </cell>
        </row>
        <row r="1430">
          <cell r="B1430" t="str">
            <v>84164 00 224</v>
          </cell>
        </row>
        <row r="1431">
          <cell r="B1431" t="str">
            <v>84184 00 224</v>
          </cell>
        </row>
        <row r="1432">
          <cell r="B1432" t="str">
            <v>84184 00 240</v>
          </cell>
        </row>
        <row r="1433">
          <cell r="B1433" t="str">
            <v>84184 00 256</v>
          </cell>
        </row>
        <row r="1434">
          <cell r="B1434" t="str">
            <v>84184 00 272</v>
          </cell>
        </row>
        <row r="1435">
          <cell r="B1435" t="str">
            <v>84189 00 248</v>
          </cell>
        </row>
        <row r="1436">
          <cell r="B1436" t="str">
            <v>84189 00 256</v>
          </cell>
        </row>
        <row r="1437">
          <cell r="B1437" t="str">
            <v>84189 00 272</v>
          </cell>
        </row>
        <row r="1438">
          <cell r="B1438" t="str">
            <v>84307 00 147</v>
          </cell>
        </row>
        <row r="1439">
          <cell r="B1439" t="str">
            <v>84307 00 156</v>
          </cell>
        </row>
        <row r="1440">
          <cell r="B1440" t="str">
            <v>84307 00 165</v>
          </cell>
        </row>
        <row r="1441">
          <cell r="B1441" t="str">
            <v>84307 00 174</v>
          </cell>
        </row>
        <row r="1442">
          <cell r="B1442" t="str">
            <v>84307 00 183</v>
          </cell>
        </row>
        <row r="1443">
          <cell r="B1443" t="str">
            <v>84307 00 192</v>
          </cell>
        </row>
        <row r="1444">
          <cell r="B1444" t="str">
            <v>84307 00 210</v>
          </cell>
        </row>
        <row r="1445">
          <cell r="B1445" t="str">
            <v>84312 00 194</v>
          </cell>
        </row>
        <row r="1446">
          <cell r="B1446" t="str">
            <v>84312 00 212</v>
          </cell>
        </row>
        <row r="1447">
          <cell r="B1447" t="str">
            <v>84312 00 221</v>
          </cell>
        </row>
        <row r="1448">
          <cell r="B1448" t="str">
            <v>84312 00 230</v>
          </cell>
        </row>
        <row r="1449">
          <cell r="B1449" t="str">
            <v>84312 00 239</v>
          </cell>
        </row>
        <row r="1450">
          <cell r="B1450" t="str">
            <v>84312 00 248</v>
          </cell>
        </row>
        <row r="1451">
          <cell r="B1451" t="str">
            <v>84312 00 257</v>
          </cell>
        </row>
        <row r="1452">
          <cell r="B1452" t="str">
            <v>84312 00 275</v>
          </cell>
        </row>
        <row r="1453">
          <cell r="B1453" t="str">
            <v>84328 00 149</v>
          </cell>
        </row>
        <row r="1454">
          <cell r="B1454" t="str">
            <v>84328 00 165</v>
          </cell>
        </row>
        <row r="1455">
          <cell r="B1455" t="str">
            <v>84328 00 183</v>
          </cell>
        </row>
        <row r="1456">
          <cell r="B1456" t="str">
            <v>84328 00 184</v>
          </cell>
        </row>
        <row r="1457">
          <cell r="B1457" t="str">
            <v>84328 00 197</v>
          </cell>
        </row>
        <row r="1458">
          <cell r="B1458" t="str">
            <v>84328 00 200</v>
          </cell>
        </row>
        <row r="1459">
          <cell r="B1459" t="str">
            <v>84328 00 213</v>
          </cell>
        </row>
        <row r="1460">
          <cell r="B1460" t="str">
            <v>84328 00 218</v>
          </cell>
        </row>
        <row r="1461">
          <cell r="B1461" t="str">
            <v>84328 00 233</v>
          </cell>
        </row>
        <row r="1462">
          <cell r="B1462" t="str">
            <v>84329 00 146</v>
          </cell>
        </row>
        <row r="1463">
          <cell r="B1463" t="str">
            <v>84329 00 162</v>
          </cell>
        </row>
        <row r="1464">
          <cell r="B1464" t="str">
            <v>84329 00 178</v>
          </cell>
        </row>
        <row r="1465">
          <cell r="B1465" t="str">
            <v>84329 00 194</v>
          </cell>
        </row>
        <row r="1466">
          <cell r="B1466" t="str">
            <v>84329 00 197</v>
          </cell>
        </row>
        <row r="1467">
          <cell r="B1467" t="str">
            <v>84329 00 210</v>
          </cell>
        </row>
        <row r="1468">
          <cell r="B1468" t="str">
            <v>84329 00 214</v>
          </cell>
        </row>
        <row r="1469">
          <cell r="B1469" t="str">
            <v>84329 00 231</v>
          </cell>
        </row>
        <row r="1470">
          <cell r="B1470" t="str">
            <v>84329 00 233</v>
          </cell>
        </row>
        <row r="1471">
          <cell r="B1471" t="str">
            <v>84329 00 248</v>
          </cell>
        </row>
        <row r="1472">
          <cell r="B1472" t="str">
            <v>84329 00 249</v>
          </cell>
        </row>
        <row r="1473">
          <cell r="B1473" t="str">
            <v>84329 00 265</v>
          </cell>
        </row>
        <row r="1474">
          <cell r="B1474" t="str">
            <v>84329 00 281</v>
          </cell>
        </row>
        <row r="1475">
          <cell r="B1475" t="str">
            <v>84330 00 252</v>
          </cell>
        </row>
        <row r="1476">
          <cell r="B1476" t="str">
            <v>84330 00 268</v>
          </cell>
        </row>
        <row r="1477">
          <cell r="B1477" t="str">
            <v>84330 00 283</v>
          </cell>
        </row>
        <row r="1478">
          <cell r="B1478" t="str">
            <v>84330 00 299</v>
          </cell>
        </row>
        <row r="1479">
          <cell r="B1479" t="str">
            <v>84337 00 135</v>
          </cell>
        </row>
        <row r="1480">
          <cell r="B1480" t="str">
            <v>84337 00 150</v>
          </cell>
        </row>
        <row r="1481">
          <cell r="B1481" t="str">
            <v>84337 00 165</v>
          </cell>
        </row>
        <row r="1482">
          <cell r="B1482" t="str">
            <v>84337 00 182</v>
          </cell>
        </row>
        <row r="1483">
          <cell r="B1483" t="str">
            <v>84337 00 199</v>
          </cell>
        </row>
        <row r="1484">
          <cell r="B1484" t="str">
            <v>84340 00 210</v>
          </cell>
        </row>
        <row r="1485">
          <cell r="B1485" t="str">
            <v>84340 00 228</v>
          </cell>
        </row>
        <row r="1486">
          <cell r="B1486" t="str">
            <v>84340 00 246</v>
          </cell>
        </row>
        <row r="1487">
          <cell r="B1487" t="str">
            <v>84405 00 185</v>
          </cell>
        </row>
        <row r="1488">
          <cell r="B1488" t="str">
            <v>84405 00 200</v>
          </cell>
        </row>
        <row r="1489">
          <cell r="B1489" t="str">
            <v>84406 00 210</v>
          </cell>
        </row>
        <row r="1490">
          <cell r="B1490" t="str">
            <v>84406 00 228</v>
          </cell>
        </row>
        <row r="1491">
          <cell r="B1491" t="str">
            <v>84406 00 246</v>
          </cell>
        </row>
        <row r="1492">
          <cell r="B1492" t="str">
            <v>84406 00 255</v>
          </cell>
        </row>
        <row r="1493">
          <cell r="B1493" t="str">
            <v>84406 00 264</v>
          </cell>
        </row>
        <row r="1494">
          <cell r="B1494" t="str">
            <v>84406 00 273</v>
          </cell>
        </row>
        <row r="1495">
          <cell r="B1495" t="str">
            <v>84406 00 291</v>
          </cell>
        </row>
        <row r="1496">
          <cell r="B1496" t="str">
            <v>84411 00 230</v>
          </cell>
        </row>
        <row r="1497">
          <cell r="B1497" t="str">
            <v>84411 00 248</v>
          </cell>
        </row>
        <row r="1498">
          <cell r="B1498" t="str">
            <v>84411 00 266</v>
          </cell>
        </row>
        <row r="1499">
          <cell r="B1499" t="str">
            <v>84411 00 275</v>
          </cell>
        </row>
        <row r="1500">
          <cell r="B1500" t="str">
            <v>84411 00 284</v>
          </cell>
        </row>
        <row r="1501">
          <cell r="B1501" t="str">
            <v>84411 00 293</v>
          </cell>
        </row>
        <row r="1502">
          <cell r="B1502" t="str">
            <v>84411 00 311</v>
          </cell>
        </row>
        <row r="1503">
          <cell r="B1503" t="str">
            <v>84419 00 232</v>
          </cell>
        </row>
        <row r="1504">
          <cell r="B1504" t="str">
            <v>84419 00 264</v>
          </cell>
        </row>
        <row r="1505">
          <cell r="B1505" t="str">
            <v>84419 00 280</v>
          </cell>
        </row>
        <row r="1506">
          <cell r="B1506" t="str">
            <v>84419 00 296</v>
          </cell>
        </row>
        <row r="1507">
          <cell r="B1507" t="str">
            <v>84419 00 312</v>
          </cell>
        </row>
        <row r="1508">
          <cell r="B1508" t="str">
            <v>84420 00 165</v>
          </cell>
        </row>
        <row r="1509">
          <cell r="B1509" t="str">
            <v>84420 00 174</v>
          </cell>
        </row>
        <row r="1510">
          <cell r="B1510" t="str">
            <v>84420 00 183</v>
          </cell>
        </row>
        <row r="1511">
          <cell r="B1511" t="str">
            <v>84420 00 192</v>
          </cell>
        </row>
        <row r="1512">
          <cell r="B1512" t="str">
            <v>84420 00 201</v>
          </cell>
        </row>
        <row r="1513">
          <cell r="B1513" t="str">
            <v>84420 00 210</v>
          </cell>
        </row>
        <row r="1514">
          <cell r="B1514" t="str">
            <v>84420 00 219</v>
          </cell>
        </row>
        <row r="1515">
          <cell r="B1515" t="str">
            <v>84420 00 228</v>
          </cell>
        </row>
        <row r="1516">
          <cell r="B1516" t="str">
            <v>84420 00 237</v>
          </cell>
        </row>
        <row r="1517">
          <cell r="B1517" t="str">
            <v>84420 00 255</v>
          </cell>
        </row>
        <row r="1518">
          <cell r="B1518" t="str">
            <v>84505 00 169</v>
          </cell>
        </row>
        <row r="1519">
          <cell r="B1519" t="str">
            <v>84505 00 185</v>
          </cell>
        </row>
        <row r="1520">
          <cell r="B1520" t="str">
            <v>84505 00 200</v>
          </cell>
        </row>
        <row r="1521">
          <cell r="B1521" t="str">
            <v>84505 00 216</v>
          </cell>
        </row>
        <row r="1522">
          <cell r="B1522" t="str">
            <v>84505 00 221</v>
          </cell>
        </row>
        <row r="1523">
          <cell r="B1523" t="str">
            <v>84505 00 232</v>
          </cell>
        </row>
        <row r="1524">
          <cell r="B1524" t="str">
            <v>84505 00 237</v>
          </cell>
        </row>
        <row r="1525">
          <cell r="B1525" t="str">
            <v>84505 00 253</v>
          </cell>
        </row>
        <row r="1526">
          <cell r="B1526" t="str">
            <v>86103 03 008</v>
          </cell>
        </row>
        <row r="1527">
          <cell r="B1527" t="str">
            <v>86103 03 010</v>
          </cell>
        </row>
        <row r="1528">
          <cell r="B1528" t="str">
            <v>86103 03 012</v>
          </cell>
        </row>
        <row r="1529">
          <cell r="B1529" t="str">
            <v>86103 03 016</v>
          </cell>
        </row>
        <row r="1530">
          <cell r="B1530" t="str">
            <v>86103 04 010</v>
          </cell>
        </row>
        <row r="1531">
          <cell r="B1531" t="str">
            <v>86103 04 012</v>
          </cell>
        </row>
        <row r="1532">
          <cell r="B1532" t="str">
            <v>86103 1A 010</v>
          </cell>
        </row>
        <row r="1533">
          <cell r="B1533" t="str">
            <v>86103 1A 012</v>
          </cell>
        </row>
        <row r="1534">
          <cell r="B1534" t="str">
            <v>86103 1B 012</v>
          </cell>
        </row>
        <row r="1535">
          <cell r="B1535" t="str">
            <v>86103 1C 012</v>
          </cell>
        </row>
        <row r="1536">
          <cell r="B1536" t="str">
            <v>86103 26 010</v>
          </cell>
        </row>
        <row r="1537">
          <cell r="B1537" t="str">
            <v>86103 26 011</v>
          </cell>
        </row>
        <row r="1538">
          <cell r="B1538" t="str">
            <v>86103 26 012</v>
          </cell>
        </row>
        <row r="1539">
          <cell r="B1539" t="str">
            <v>86103 2A 012</v>
          </cell>
        </row>
        <row r="1540">
          <cell r="B1540" t="str">
            <v>86103 2E 012</v>
          </cell>
        </row>
        <row r="1541">
          <cell r="B1541" t="str">
            <v>86103 2G 010</v>
          </cell>
        </row>
        <row r="1542">
          <cell r="B1542" t="str">
            <v>86103 2G 012</v>
          </cell>
        </row>
        <row r="1543">
          <cell r="B1543" t="str">
            <v>86103 DN 010</v>
          </cell>
        </row>
        <row r="1544">
          <cell r="B1544" t="str">
            <v>86103 DN 012</v>
          </cell>
        </row>
        <row r="1545">
          <cell r="B1545" t="str">
            <v>86103 DR 010</v>
          </cell>
        </row>
        <row r="1546">
          <cell r="B1546" t="str">
            <v>86103 DR 012</v>
          </cell>
        </row>
        <row r="1547">
          <cell r="B1547" t="str">
            <v>86103 EA 010</v>
          </cell>
        </row>
        <row r="1548">
          <cell r="B1548" t="str">
            <v>86103 ED 010</v>
          </cell>
        </row>
        <row r="1549">
          <cell r="B1549" t="str">
            <v>86103 ED 012</v>
          </cell>
        </row>
        <row r="1550">
          <cell r="B1550" t="str">
            <v>86103 ES 010</v>
          </cell>
        </row>
        <row r="1551">
          <cell r="B1551" t="str">
            <v>86103 ES 012</v>
          </cell>
        </row>
        <row r="1552">
          <cell r="B1552" t="str">
            <v>86103 FJ 010</v>
          </cell>
        </row>
        <row r="1553">
          <cell r="B1553" t="str">
            <v>86103 FJ 012</v>
          </cell>
        </row>
        <row r="1554">
          <cell r="B1554" t="str">
            <v>86103 FO 010</v>
          </cell>
        </row>
        <row r="1555">
          <cell r="B1555" t="str">
            <v>86103 FO 012</v>
          </cell>
        </row>
        <row r="1556">
          <cell r="B1556" t="str">
            <v>86103 GK 010</v>
          </cell>
        </row>
        <row r="1557">
          <cell r="B1557" t="str">
            <v>86103 GK 012</v>
          </cell>
        </row>
        <row r="1558">
          <cell r="B1558" t="str">
            <v>86103 IJ 010</v>
          </cell>
        </row>
        <row r="1559">
          <cell r="B1559" t="str">
            <v>86103 IJ 012</v>
          </cell>
        </row>
        <row r="1560">
          <cell r="B1560" t="str">
            <v>86103 IL 010</v>
          </cell>
        </row>
        <row r="1561">
          <cell r="B1561" t="str">
            <v>86103 IL 012</v>
          </cell>
        </row>
        <row r="1562">
          <cell r="B1562" t="str">
            <v>86103 LN 010</v>
          </cell>
        </row>
        <row r="1563">
          <cell r="B1563" t="str">
            <v>86103 LN 012</v>
          </cell>
        </row>
        <row r="1564">
          <cell r="B1564" t="str">
            <v>86103 LP 010</v>
          </cell>
        </row>
        <row r="1565">
          <cell r="B1565" t="str">
            <v>86103 LP 012</v>
          </cell>
        </row>
        <row r="1566">
          <cell r="B1566" t="str">
            <v>86103 MR 010</v>
          </cell>
        </row>
        <row r="1567">
          <cell r="B1567" t="str">
            <v>86103 MR 012</v>
          </cell>
        </row>
        <row r="1568">
          <cell r="B1568" t="str">
            <v>86103 NO 010</v>
          </cell>
        </row>
        <row r="1569">
          <cell r="B1569" t="str">
            <v>86103 NQ 010</v>
          </cell>
        </row>
        <row r="1570">
          <cell r="B1570" t="str">
            <v>86103 PJ 010</v>
          </cell>
        </row>
        <row r="1571">
          <cell r="B1571" t="str">
            <v>86103 PJ 012</v>
          </cell>
        </row>
        <row r="1572">
          <cell r="B1572" t="str">
            <v>86103 PN 010</v>
          </cell>
        </row>
        <row r="1573">
          <cell r="B1573" t="str">
            <v>86103 PT 010</v>
          </cell>
        </row>
        <row r="1574">
          <cell r="B1574" t="str">
            <v>86103 PT 012</v>
          </cell>
        </row>
        <row r="1575">
          <cell r="B1575" t="str">
            <v>86103 RD 010</v>
          </cell>
        </row>
        <row r="1576">
          <cell r="B1576" t="str">
            <v>86103 RD 012</v>
          </cell>
        </row>
        <row r="1577">
          <cell r="B1577" t="str">
            <v>86103 SP 010</v>
          </cell>
        </row>
        <row r="1578">
          <cell r="B1578" t="str">
            <v>86103 SZ 010</v>
          </cell>
        </row>
        <row r="1579">
          <cell r="B1579" t="str">
            <v>86103 TI 010</v>
          </cell>
        </row>
        <row r="1580">
          <cell r="B1580" t="str">
            <v>86103 TI 012</v>
          </cell>
        </row>
        <row r="1581">
          <cell r="B1581" t="str">
            <v>86103 TR 010</v>
          </cell>
        </row>
        <row r="1582">
          <cell r="B1582" t="str">
            <v>86103 TT 010</v>
          </cell>
        </row>
        <row r="1583">
          <cell r="B1583" t="str">
            <v>86103 TT 012</v>
          </cell>
        </row>
        <row r="1584">
          <cell r="B1584" t="str">
            <v>86103 TX 010</v>
          </cell>
        </row>
        <row r="1585">
          <cell r="B1585" t="str">
            <v>86103 UT 010</v>
          </cell>
        </row>
        <row r="1586">
          <cell r="B1586" t="str">
            <v>86103 UT 012</v>
          </cell>
        </row>
        <row r="1587">
          <cell r="B1587" t="str">
            <v>86103 VJ 010</v>
          </cell>
        </row>
        <row r="1588">
          <cell r="B1588" t="str">
            <v>86103 WA 010</v>
          </cell>
        </row>
        <row r="1589">
          <cell r="B1589" t="str">
            <v>86103 WA 012</v>
          </cell>
        </row>
        <row r="1590">
          <cell r="B1590" t="str">
            <v>86103 WG 010</v>
          </cell>
        </row>
        <row r="1591">
          <cell r="B1591" t="str">
            <v>86103 WG 012</v>
          </cell>
        </row>
        <row r="1592">
          <cell r="B1592" t="str">
            <v>86103 WH 010</v>
          </cell>
        </row>
        <row r="1593">
          <cell r="B1593" t="str">
            <v>86103 WH 012</v>
          </cell>
        </row>
        <row r="1594">
          <cell r="B1594" t="str">
            <v>86103 YA 010</v>
          </cell>
        </row>
        <row r="1595">
          <cell r="B1595" t="str">
            <v>86103 YA 012</v>
          </cell>
        </row>
        <row r="1596">
          <cell r="B1596" t="str">
            <v>86103 YT 010</v>
          </cell>
        </row>
        <row r="1597">
          <cell r="B1597" t="str">
            <v>86103 YT 012</v>
          </cell>
        </row>
        <row r="1598">
          <cell r="B1598" t="str">
            <v>86103 ZJ 010</v>
          </cell>
        </row>
        <row r="1599">
          <cell r="B1599" t="str">
            <v>86103 ZJ 012</v>
          </cell>
        </row>
      </sheetData>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Date Setup"/>
      <sheetName val="spr"/>
      <sheetName val="keyratios"/>
      <sheetName val="cntrl sheet"/>
      <sheetName val="nff"/>
      <sheetName val="facility"/>
      <sheetName val="deb"/>
      <sheetName val="pap"/>
    </sheetNames>
    <sheetDataSet>
      <sheetData sheetId="0" refreshError="1">
        <row r="6">
          <cell r="F6" t="str">
            <v>Bodyline (Pvt) Ltd</v>
          </cell>
        </row>
        <row r="9">
          <cell r="F9">
            <v>62.25</v>
          </cell>
        </row>
        <row r="12">
          <cell r="F12" t="str">
            <v>Rupees</v>
          </cell>
        </row>
      </sheetData>
      <sheetData sheetId="1" refreshError="1">
        <row r="8">
          <cell r="J8" t="str">
            <v>Jan</v>
          </cell>
        </row>
        <row r="10">
          <cell r="J10">
            <v>1998</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ar reg"/>
      <sheetName val="Sheet3"/>
      <sheetName val="jan2000"/>
      <sheetName val="feb2000"/>
      <sheetName val="keyratios"/>
      <sheetName val="cntrl sheet"/>
      <sheetName val="nff"/>
      <sheetName val="facility"/>
      <sheetName val="deb"/>
      <sheetName val="pap"/>
    </sheetNames>
    <sheetDataSet>
      <sheetData sheetId="0" refreshError="1">
        <row r="2">
          <cell r="A2">
            <v>1</v>
          </cell>
          <cell r="B2" t="str">
            <v xml:space="preserve">Raw Material Stocks                                    </v>
          </cell>
          <cell r="C2">
            <v>99</v>
          </cell>
        </row>
        <row r="3">
          <cell r="A3">
            <v>2</v>
          </cell>
          <cell r="B3" t="str">
            <v xml:space="preserve">Work-In-Progress                                          </v>
          </cell>
          <cell r="C3">
            <v>99</v>
          </cell>
        </row>
        <row r="4">
          <cell r="A4">
            <v>3</v>
          </cell>
          <cell r="B4" t="str">
            <v xml:space="preserve">Finished Goods Stores                                               </v>
          </cell>
          <cell r="C4">
            <v>99</v>
          </cell>
        </row>
        <row r="5">
          <cell r="A5">
            <v>7</v>
          </cell>
          <cell r="B5" t="str">
            <v xml:space="preserve">Adjustment of DM &amp; HKD                   </v>
          </cell>
          <cell r="C5">
            <v>99</v>
          </cell>
        </row>
        <row r="6">
          <cell r="A6">
            <v>80</v>
          </cell>
          <cell r="B6" t="str">
            <v xml:space="preserve">P &amp; L fr Jan '95                         </v>
          </cell>
          <cell r="C6">
            <v>99</v>
          </cell>
        </row>
        <row r="7">
          <cell r="A7">
            <v>90</v>
          </cell>
          <cell r="B7" t="str">
            <v xml:space="preserve">Profit &amp; Loss B/F                        </v>
          </cell>
          <cell r="C7">
            <v>99</v>
          </cell>
        </row>
        <row r="8">
          <cell r="A8">
            <v>91</v>
          </cell>
          <cell r="B8" t="str">
            <v xml:space="preserve">Profit &amp; Loss C/F                        </v>
          </cell>
          <cell r="C8">
            <v>99</v>
          </cell>
        </row>
        <row r="9">
          <cell r="A9">
            <v>10152</v>
          </cell>
          <cell r="B9" t="str">
            <v xml:space="preserve">Prov. for depr. -households              </v>
          </cell>
          <cell r="C9">
            <v>99</v>
          </cell>
        </row>
        <row r="10">
          <cell r="A10">
            <v>101101</v>
          </cell>
          <cell r="B10" t="str">
            <v xml:space="preserve">Free hold land                           </v>
          </cell>
          <cell r="C10">
            <v>99</v>
          </cell>
        </row>
        <row r="11">
          <cell r="A11">
            <v>101102</v>
          </cell>
          <cell r="B11" t="str">
            <v xml:space="preserve">Buildings                                </v>
          </cell>
          <cell r="C11">
            <v>99</v>
          </cell>
        </row>
        <row r="12">
          <cell r="A12">
            <v>101103</v>
          </cell>
          <cell r="B12" t="str">
            <v xml:space="preserve">Expatriate house                         </v>
          </cell>
          <cell r="C12">
            <v>99</v>
          </cell>
        </row>
        <row r="13">
          <cell r="A13">
            <v>101104</v>
          </cell>
          <cell r="B13" t="str">
            <v xml:space="preserve">Household appliances                     </v>
          </cell>
          <cell r="C13">
            <v>99</v>
          </cell>
        </row>
        <row r="14">
          <cell r="A14">
            <v>101105</v>
          </cell>
          <cell r="B14" t="str">
            <v xml:space="preserve">Plant,machinery,tools &amp; attachments      </v>
          </cell>
          <cell r="C14">
            <v>99</v>
          </cell>
        </row>
        <row r="15">
          <cell r="A15">
            <v>101106</v>
          </cell>
          <cell r="B15" t="str">
            <v xml:space="preserve">Office furniture &amp; fittings              </v>
          </cell>
          <cell r="C15">
            <v>99</v>
          </cell>
        </row>
        <row r="16">
          <cell r="A16">
            <v>101107</v>
          </cell>
          <cell r="B16" t="str">
            <v xml:space="preserve">Factory furniture &amp; fittings             </v>
          </cell>
          <cell r="C16">
            <v>99</v>
          </cell>
        </row>
        <row r="17">
          <cell r="A17">
            <v>101108</v>
          </cell>
          <cell r="B17" t="str">
            <v xml:space="preserve">Electrical installation                  </v>
          </cell>
          <cell r="C17">
            <v>99</v>
          </cell>
        </row>
        <row r="18">
          <cell r="A18">
            <v>101109</v>
          </cell>
          <cell r="B18" t="str">
            <v xml:space="preserve">Communication equipment                  </v>
          </cell>
          <cell r="C18">
            <v>99</v>
          </cell>
        </row>
        <row r="19">
          <cell r="A19">
            <v>101110</v>
          </cell>
          <cell r="B19" t="str">
            <v xml:space="preserve">Computer equipment                       </v>
          </cell>
          <cell r="C19">
            <v>99</v>
          </cell>
        </row>
        <row r="20">
          <cell r="A20">
            <v>101111</v>
          </cell>
          <cell r="B20" t="str">
            <v xml:space="preserve">Office equipment                         </v>
          </cell>
          <cell r="C20">
            <v>99</v>
          </cell>
        </row>
        <row r="21">
          <cell r="A21">
            <v>101112</v>
          </cell>
          <cell r="B21" t="str">
            <v xml:space="preserve">Factory equipment                        </v>
          </cell>
          <cell r="C21">
            <v>99</v>
          </cell>
        </row>
        <row r="22">
          <cell r="A22">
            <v>101113</v>
          </cell>
          <cell r="B22" t="str">
            <v xml:space="preserve">Motor vehicles                           </v>
          </cell>
          <cell r="C22">
            <v>99</v>
          </cell>
        </row>
        <row r="23">
          <cell r="A23">
            <v>101114</v>
          </cell>
          <cell r="B23" t="str">
            <v xml:space="preserve">AC Installation                          </v>
          </cell>
          <cell r="C23">
            <v>99</v>
          </cell>
        </row>
        <row r="24">
          <cell r="A24">
            <v>101115</v>
          </cell>
          <cell r="B24" t="str">
            <v xml:space="preserve">Fire Fighting Eqpt                       </v>
          </cell>
          <cell r="C24">
            <v>99</v>
          </cell>
        </row>
        <row r="25">
          <cell r="A25">
            <v>101116</v>
          </cell>
          <cell r="B25" t="str">
            <v xml:space="preserve">Interiors                                </v>
          </cell>
          <cell r="C25">
            <v>99</v>
          </cell>
        </row>
        <row r="26">
          <cell r="A26">
            <v>101117</v>
          </cell>
          <cell r="B26" t="str">
            <v xml:space="preserve">Kitchen equipment                        </v>
          </cell>
          <cell r="C26">
            <v>99</v>
          </cell>
        </row>
        <row r="27">
          <cell r="A27">
            <v>101150</v>
          </cell>
          <cell r="B27" t="str">
            <v xml:space="preserve">Prov. for depr.-Buildings                </v>
          </cell>
          <cell r="C27">
            <v>99</v>
          </cell>
        </row>
        <row r="28">
          <cell r="A28">
            <v>101151</v>
          </cell>
          <cell r="B28" t="str">
            <v xml:space="preserve">Prov. for depr.-villa                    </v>
          </cell>
          <cell r="C28">
            <v>99</v>
          </cell>
        </row>
        <row r="29">
          <cell r="A29">
            <v>101152</v>
          </cell>
          <cell r="B29" t="str">
            <v xml:space="preserve">Prov. for depr. Appliances               </v>
          </cell>
          <cell r="C29">
            <v>99</v>
          </cell>
        </row>
        <row r="30">
          <cell r="A30">
            <v>101153</v>
          </cell>
          <cell r="B30" t="str">
            <v xml:space="preserve">Pro. for depr. plant &amp; machinery         </v>
          </cell>
          <cell r="C30">
            <v>99</v>
          </cell>
        </row>
        <row r="31">
          <cell r="A31">
            <v>101154</v>
          </cell>
          <cell r="B31" t="str">
            <v xml:space="preserve">Prov. for depr.-Office furn. &amp; fittings  </v>
          </cell>
          <cell r="C31">
            <v>99</v>
          </cell>
        </row>
        <row r="32">
          <cell r="A32">
            <v>101155</v>
          </cell>
          <cell r="B32" t="str">
            <v xml:space="preserve">Prov. for depr.-fac. furn. &amp; fittings    </v>
          </cell>
          <cell r="C32">
            <v>99</v>
          </cell>
        </row>
        <row r="33">
          <cell r="A33">
            <v>101156</v>
          </cell>
          <cell r="B33" t="str">
            <v xml:space="preserve">Prov. for depr.-Electrical installation  </v>
          </cell>
          <cell r="C33">
            <v>99</v>
          </cell>
        </row>
        <row r="34">
          <cell r="A34">
            <v>101157</v>
          </cell>
          <cell r="B34" t="str">
            <v xml:space="preserve">Prov. for depr.-Communication eqpt.      </v>
          </cell>
          <cell r="C34">
            <v>99</v>
          </cell>
        </row>
        <row r="35">
          <cell r="A35">
            <v>101158</v>
          </cell>
          <cell r="B35" t="str">
            <v xml:space="preserve">Prov. for depr.-Computer eqpt.           </v>
          </cell>
          <cell r="C35">
            <v>99</v>
          </cell>
        </row>
        <row r="36">
          <cell r="A36">
            <v>101159</v>
          </cell>
          <cell r="B36" t="str">
            <v xml:space="preserve">Prov. for depr.-Office eqpt.             </v>
          </cell>
          <cell r="C36">
            <v>99</v>
          </cell>
        </row>
        <row r="37">
          <cell r="A37">
            <v>101160</v>
          </cell>
          <cell r="B37" t="str">
            <v xml:space="preserve">Prov. for depr.-Factory eqpt.            </v>
          </cell>
          <cell r="C37">
            <v>99</v>
          </cell>
        </row>
        <row r="38">
          <cell r="A38">
            <v>101161</v>
          </cell>
          <cell r="B38" t="str">
            <v xml:space="preserve">Prov. for depr.-motor vehicles           </v>
          </cell>
          <cell r="C38">
            <v>99</v>
          </cell>
        </row>
        <row r="39">
          <cell r="A39">
            <v>101162</v>
          </cell>
          <cell r="B39" t="str">
            <v xml:space="preserve">Dep Provn-AC Installation                </v>
          </cell>
          <cell r="C39">
            <v>99</v>
          </cell>
        </row>
        <row r="40">
          <cell r="A40">
            <v>101163</v>
          </cell>
          <cell r="B40" t="str">
            <v xml:space="preserve">Dep Provn-Fire Eqpt                      </v>
          </cell>
          <cell r="C40">
            <v>99</v>
          </cell>
        </row>
        <row r="41">
          <cell r="A41">
            <v>101164</v>
          </cell>
          <cell r="B41" t="str">
            <v xml:space="preserve">Dep Provn-Interiors                      </v>
          </cell>
          <cell r="C41">
            <v>99</v>
          </cell>
        </row>
        <row r="42">
          <cell r="A42">
            <v>101165</v>
          </cell>
          <cell r="B42" t="str">
            <v xml:space="preserve">Dep provn-Kitchen eqpt                   </v>
          </cell>
          <cell r="C42">
            <v>99</v>
          </cell>
        </row>
        <row r="43">
          <cell r="A43">
            <v>101200</v>
          </cell>
          <cell r="B43" t="str">
            <v xml:space="preserve">Intangible assets                        </v>
          </cell>
          <cell r="C43">
            <v>99</v>
          </cell>
        </row>
        <row r="44">
          <cell r="A44">
            <v>101300</v>
          </cell>
          <cell r="B44" t="str">
            <v xml:space="preserve">Capital work in progress                 </v>
          </cell>
          <cell r="C44">
            <v>99</v>
          </cell>
        </row>
        <row r="45">
          <cell r="A45">
            <v>101301</v>
          </cell>
          <cell r="B45" t="str">
            <v xml:space="preserve">Satellite Unit                           </v>
          </cell>
          <cell r="C45">
            <v>99</v>
          </cell>
        </row>
        <row r="46">
          <cell r="A46">
            <v>101400</v>
          </cell>
          <cell r="B46" t="str">
            <v xml:space="preserve">Capital goods in transit                 </v>
          </cell>
          <cell r="C46">
            <v>99</v>
          </cell>
        </row>
        <row r="47">
          <cell r="A47">
            <v>101500</v>
          </cell>
          <cell r="B47" t="str">
            <v xml:space="preserve">Investments                              </v>
          </cell>
          <cell r="C47">
            <v>99</v>
          </cell>
        </row>
        <row r="48">
          <cell r="A48">
            <v>102000</v>
          </cell>
          <cell r="B48" t="str">
            <v xml:space="preserve">Stocks-raw materials (Opening)           </v>
          </cell>
          <cell r="C48">
            <v>99</v>
          </cell>
        </row>
        <row r="49">
          <cell r="A49">
            <v>102020</v>
          </cell>
          <cell r="B49" t="str">
            <v xml:space="preserve">Issues to Production (RM)                </v>
          </cell>
          <cell r="C49">
            <v>99</v>
          </cell>
        </row>
        <row r="50">
          <cell r="A50">
            <v>102100</v>
          </cell>
          <cell r="B50" t="str">
            <v xml:space="preserve">Stocks-work in progress (Opening)        </v>
          </cell>
          <cell r="C50">
            <v>99</v>
          </cell>
        </row>
        <row r="51">
          <cell r="A51">
            <v>102110</v>
          </cell>
          <cell r="B51" t="str">
            <v xml:space="preserve">Work in Progress (Receipts From RM)      </v>
          </cell>
          <cell r="C51">
            <v>99</v>
          </cell>
        </row>
        <row r="52">
          <cell r="A52">
            <v>102120</v>
          </cell>
          <cell r="B52" t="str">
            <v xml:space="preserve">Work in Progress (Issues To F.Goods)     </v>
          </cell>
          <cell r="C52">
            <v>99</v>
          </cell>
        </row>
        <row r="53">
          <cell r="A53">
            <v>102200</v>
          </cell>
          <cell r="B53" t="str">
            <v xml:space="preserve">Stocks-finished goods (Opening)          </v>
          </cell>
          <cell r="C53">
            <v>99</v>
          </cell>
        </row>
        <row r="54">
          <cell r="A54">
            <v>102210</v>
          </cell>
          <cell r="B54" t="str">
            <v xml:space="preserve">Finished Goods (Receipts From WIP)       </v>
          </cell>
          <cell r="C54">
            <v>99</v>
          </cell>
        </row>
        <row r="55">
          <cell r="A55">
            <v>102215</v>
          </cell>
          <cell r="B55" t="str">
            <v xml:space="preserve">Consumable stk-Stationery                </v>
          </cell>
          <cell r="C55">
            <v>99</v>
          </cell>
        </row>
        <row r="56">
          <cell r="A56">
            <v>102216</v>
          </cell>
          <cell r="B56" t="str">
            <v xml:space="preserve">Consumable stk-Small items               </v>
          </cell>
          <cell r="C56">
            <v>99</v>
          </cell>
        </row>
        <row r="57">
          <cell r="A57">
            <v>102217</v>
          </cell>
          <cell r="B57" t="str">
            <v xml:space="preserve">Consumable stk-Cutting                   </v>
          </cell>
          <cell r="C57">
            <v>99</v>
          </cell>
        </row>
        <row r="58">
          <cell r="A58">
            <v>102218</v>
          </cell>
          <cell r="B58" t="str">
            <v xml:space="preserve">Consumable stk-Direct prodn              </v>
          </cell>
          <cell r="C58">
            <v>99</v>
          </cell>
        </row>
        <row r="59">
          <cell r="A59">
            <v>102220</v>
          </cell>
          <cell r="B59" t="str">
            <v xml:space="preserve">Finished Goods (Issues to C.O.S)         </v>
          </cell>
          <cell r="C59">
            <v>99</v>
          </cell>
        </row>
        <row r="60">
          <cell r="A60">
            <v>102250</v>
          </cell>
          <cell r="B60" t="str">
            <v xml:space="preserve">Cost Of Sales                            </v>
          </cell>
          <cell r="C60">
            <v>99</v>
          </cell>
        </row>
        <row r="61">
          <cell r="A61">
            <v>102300</v>
          </cell>
          <cell r="B61" t="str">
            <v xml:space="preserve">Advances                                 </v>
          </cell>
          <cell r="C61">
            <v>99</v>
          </cell>
        </row>
        <row r="62">
          <cell r="A62">
            <v>102301</v>
          </cell>
          <cell r="B62" t="str">
            <v xml:space="preserve">Salary Advances                          </v>
          </cell>
          <cell r="C62">
            <v>99</v>
          </cell>
        </row>
        <row r="63">
          <cell r="A63">
            <v>102302</v>
          </cell>
          <cell r="B63" t="str">
            <v xml:space="preserve">Fixed Assets Control Account             </v>
          </cell>
          <cell r="C63">
            <v>99</v>
          </cell>
        </row>
        <row r="64">
          <cell r="A64">
            <v>102303</v>
          </cell>
          <cell r="B64" t="str">
            <v xml:space="preserve">GST Recoverable                          </v>
          </cell>
          <cell r="C64">
            <v>99</v>
          </cell>
        </row>
        <row r="65">
          <cell r="A65">
            <v>102304</v>
          </cell>
          <cell r="B65" t="str">
            <v xml:space="preserve">GST Recoverable-Imports                  </v>
          </cell>
          <cell r="C65">
            <v>99</v>
          </cell>
        </row>
        <row r="66">
          <cell r="A66">
            <v>102305</v>
          </cell>
          <cell r="B66" t="str">
            <v xml:space="preserve">Deposits                                 </v>
          </cell>
          <cell r="C66">
            <v>99</v>
          </cell>
        </row>
        <row r="67">
          <cell r="A67">
            <v>102306</v>
          </cell>
          <cell r="B67" t="str">
            <v xml:space="preserve">Advances -Accounts Payable               </v>
          </cell>
          <cell r="C67">
            <v>99</v>
          </cell>
        </row>
        <row r="68">
          <cell r="A68">
            <v>102309</v>
          </cell>
          <cell r="B68" t="str">
            <v xml:space="preserve">Proff fees prepaid                       </v>
          </cell>
          <cell r="C68">
            <v>99</v>
          </cell>
        </row>
        <row r="69">
          <cell r="A69">
            <v>102310</v>
          </cell>
          <cell r="B69" t="str">
            <v xml:space="preserve">Prepayments                              </v>
          </cell>
          <cell r="C69">
            <v>99</v>
          </cell>
        </row>
        <row r="70">
          <cell r="A70">
            <v>102311</v>
          </cell>
          <cell r="B70" t="str">
            <v xml:space="preserve">Stamp Duty Prepaid                       </v>
          </cell>
          <cell r="C70">
            <v>99</v>
          </cell>
        </row>
        <row r="71">
          <cell r="A71">
            <v>102312</v>
          </cell>
          <cell r="B71" t="str">
            <v xml:space="preserve">Job card A/C                             </v>
          </cell>
          <cell r="C71">
            <v>99</v>
          </cell>
        </row>
        <row r="72">
          <cell r="A72">
            <v>102313</v>
          </cell>
          <cell r="B72" t="str">
            <v xml:space="preserve">Capital WIP - Mobilisation Advance       </v>
          </cell>
          <cell r="C72">
            <v>99</v>
          </cell>
        </row>
        <row r="73">
          <cell r="A73">
            <v>102315</v>
          </cell>
          <cell r="B73" t="str">
            <v xml:space="preserve">Trade debtors                            </v>
          </cell>
          <cell r="C73">
            <v>99</v>
          </cell>
        </row>
        <row r="74">
          <cell r="A74">
            <v>102316</v>
          </cell>
          <cell r="B74" t="str">
            <v xml:space="preserve">Trade Debtors USD-TIO                    </v>
          </cell>
          <cell r="C74">
            <v>99</v>
          </cell>
        </row>
        <row r="75">
          <cell r="A75">
            <v>102317</v>
          </cell>
          <cell r="B75" t="str">
            <v xml:space="preserve">Trade Debtors USD-Mast                   </v>
          </cell>
          <cell r="C75">
            <v>99</v>
          </cell>
        </row>
        <row r="76">
          <cell r="A76">
            <v>102318</v>
          </cell>
          <cell r="B76" t="str">
            <v xml:space="preserve">MAS Holdings (Pvt) Ltd                   </v>
          </cell>
          <cell r="C76">
            <v>99</v>
          </cell>
        </row>
        <row r="77">
          <cell r="A77">
            <v>102319</v>
          </cell>
          <cell r="B77" t="str">
            <v xml:space="preserve">Unichela (Pvt) Ltd                       </v>
          </cell>
          <cell r="C77">
            <v>99</v>
          </cell>
        </row>
        <row r="78">
          <cell r="A78">
            <v>102320</v>
          </cell>
          <cell r="B78" t="str">
            <v xml:space="preserve">Shadowline (Pvt) Ltd                     </v>
          </cell>
          <cell r="C78">
            <v>99</v>
          </cell>
        </row>
        <row r="79">
          <cell r="A79">
            <v>102321</v>
          </cell>
          <cell r="B79" t="str">
            <v xml:space="preserve">Slimeline (Pvt) Ltd                      </v>
          </cell>
          <cell r="C79">
            <v>99</v>
          </cell>
        </row>
        <row r="80">
          <cell r="A80">
            <v>102322</v>
          </cell>
          <cell r="B80" t="str">
            <v xml:space="preserve">Stretchline (Pvt) Ltd                    </v>
          </cell>
          <cell r="C80">
            <v>99</v>
          </cell>
        </row>
        <row r="81">
          <cell r="A81">
            <v>102323</v>
          </cell>
          <cell r="B81" t="str">
            <v xml:space="preserve">Trade Debtors USD-Others                 </v>
          </cell>
          <cell r="C81">
            <v>99</v>
          </cell>
        </row>
        <row r="82">
          <cell r="A82">
            <v>102400</v>
          </cell>
          <cell r="B82" t="str">
            <v xml:space="preserve">Debtors-TISL                             </v>
          </cell>
          <cell r="C82">
            <v>99</v>
          </cell>
        </row>
        <row r="83">
          <cell r="A83">
            <v>102401</v>
          </cell>
          <cell r="B83" t="str">
            <v xml:space="preserve">Linea Clothing                           </v>
          </cell>
          <cell r="C83">
            <v>99</v>
          </cell>
        </row>
        <row r="84">
          <cell r="A84">
            <v>102402</v>
          </cell>
          <cell r="B84" t="str">
            <v xml:space="preserve">Bodyline Private Ltd                     </v>
          </cell>
          <cell r="C84">
            <v>99</v>
          </cell>
        </row>
        <row r="85">
          <cell r="A85">
            <v>102419</v>
          </cell>
          <cell r="B85" t="str">
            <v xml:space="preserve">Re Exports-Receivable                    </v>
          </cell>
          <cell r="C85">
            <v>99</v>
          </cell>
        </row>
        <row r="86">
          <cell r="A86">
            <v>102420</v>
          </cell>
          <cell r="B86" t="str">
            <v xml:space="preserve">Other debtors                            </v>
          </cell>
          <cell r="C86">
            <v>99</v>
          </cell>
        </row>
        <row r="87">
          <cell r="A87">
            <v>102421</v>
          </cell>
          <cell r="B87" t="str">
            <v>Recovarable Expenses</v>
          </cell>
          <cell r="C87">
            <v>99</v>
          </cell>
        </row>
        <row r="88">
          <cell r="A88">
            <v>102423</v>
          </cell>
          <cell r="B88" t="str">
            <v xml:space="preserve">Insurance claims                         </v>
          </cell>
          <cell r="C88">
            <v>99</v>
          </cell>
        </row>
        <row r="89">
          <cell r="A89">
            <v>102425</v>
          </cell>
          <cell r="B89" t="str">
            <v xml:space="preserve">Petty Cash control A/C-General           </v>
          </cell>
          <cell r="C89">
            <v>99</v>
          </cell>
        </row>
        <row r="90">
          <cell r="A90">
            <v>102426</v>
          </cell>
          <cell r="B90" t="str">
            <v xml:space="preserve">Petty Cash Control A/C-Shipping          </v>
          </cell>
          <cell r="C90">
            <v>99</v>
          </cell>
        </row>
        <row r="91">
          <cell r="A91">
            <v>102427</v>
          </cell>
          <cell r="B91" t="str">
            <v xml:space="preserve">IOU Control A/C-General                  </v>
          </cell>
          <cell r="C91">
            <v>99</v>
          </cell>
        </row>
        <row r="92">
          <cell r="A92">
            <v>102428</v>
          </cell>
          <cell r="B92" t="str">
            <v xml:space="preserve">IOU Control A/C-Shipping                 </v>
          </cell>
          <cell r="C92">
            <v>99</v>
          </cell>
        </row>
        <row r="93">
          <cell r="A93">
            <v>102430</v>
          </cell>
          <cell r="B93" t="str">
            <v xml:space="preserve">Overdraft Account-HSBC                   </v>
          </cell>
          <cell r="C93">
            <v>99</v>
          </cell>
        </row>
        <row r="94">
          <cell r="A94">
            <v>102431</v>
          </cell>
          <cell r="B94" t="str">
            <v xml:space="preserve">HSBC USD 002565-001                      </v>
          </cell>
          <cell r="C94">
            <v>99</v>
          </cell>
        </row>
        <row r="95">
          <cell r="A95">
            <v>102432</v>
          </cell>
          <cell r="B95" t="str">
            <v xml:space="preserve">Current Account-SBI,CAG                  </v>
          </cell>
          <cell r="C95">
            <v>99</v>
          </cell>
        </row>
        <row r="96">
          <cell r="A96">
            <v>102433</v>
          </cell>
          <cell r="B96" t="str">
            <v xml:space="preserve">Other Deposits                           </v>
          </cell>
          <cell r="C96">
            <v>99</v>
          </cell>
        </row>
        <row r="97">
          <cell r="A97">
            <v>102434</v>
          </cell>
          <cell r="B97" t="str">
            <v xml:space="preserve">Current Account-SBI,Airport              </v>
          </cell>
          <cell r="C97">
            <v>99</v>
          </cell>
        </row>
        <row r="98">
          <cell r="A98">
            <v>102435</v>
          </cell>
          <cell r="B98" t="str">
            <v xml:space="preserve">Current Account-Indian Bank,Alwarpet     </v>
          </cell>
          <cell r="C98">
            <v>99</v>
          </cell>
        </row>
        <row r="99">
          <cell r="A99">
            <v>102436</v>
          </cell>
          <cell r="B99" t="str">
            <v xml:space="preserve">Current Account-Indian Bank,Tambaram     </v>
          </cell>
          <cell r="C99">
            <v>99</v>
          </cell>
        </row>
        <row r="100">
          <cell r="A100">
            <v>102437</v>
          </cell>
          <cell r="B100" t="str">
            <v>Current Account-Indian Bank,Guduvanchery</v>
          </cell>
          <cell r="C100">
            <v>99</v>
          </cell>
        </row>
        <row r="101">
          <cell r="A101">
            <v>102440</v>
          </cell>
          <cell r="B101" t="str">
            <v xml:space="preserve">HSBC Fixed Deposit                       </v>
          </cell>
          <cell r="C101">
            <v>99</v>
          </cell>
        </row>
        <row r="102">
          <cell r="A102">
            <v>102441</v>
          </cell>
          <cell r="B102" t="str">
            <v xml:space="preserve">Fixed Deposits-SBI,CAG                   </v>
          </cell>
          <cell r="C102">
            <v>99</v>
          </cell>
        </row>
        <row r="103">
          <cell r="A103">
            <v>102442</v>
          </cell>
          <cell r="B103" t="str">
            <v xml:space="preserve">Advance Taxes                            </v>
          </cell>
          <cell r="C103">
            <v>99</v>
          </cell>
        </row>
        <row r="104">
          <cell r="A104">
            <v>102500</v>
          </cell>
          <cell r="B104" t="str">
            <v xml:space="preserve">Goods-in-transit                         </v>
          </cell>
          <cell r="C104">
            <v>99</v>
          </cell>
        </row>
        <row r="105">
          <cell r="A105">
            <v>103000</v>
          </cell>
          <cell r="B105" t="str">
            <v xml:space="preserve">Bank overdraft-HSBC                      </v>
          </cell>
          <cell r="C105">
            <v>99</v>
          </cell>
        </row>
        <row r="106">
          <cell r="A106">
            <v>103010</v>
          </cell>
          <cell r="B106" t="str">
            <v xml:space="preserve">Hypothecation loans                      </v>
          </cell>
          <cell r="C106">
            <v>99</v>
          </cell>
        </row>
        <row r="107">
          <cell r="A107">
            <v>103020</v>
          </cell>
          <cell r="B107" t="str">
            <v xml:space="preserve">Other bank borrowings                    </v>
          </cell>
          <cell r="C107">
            <v>99</v>
          </cell>
        </row>
        <row r="108">
          <cell r="A108">
            <v>103030</v>
          </cell>
          <cell r="B108" t="str">
            <v xml:space="preserve">Trade creditors                          </v>
          </cell>
          <cell r="C108">
            <v>99</v>
          </cell>
        </row>
        <row r="109">
          <cell r="A109">
            <v>103031</v>
          </cell>
          <cell r="B109" t="str">
            <v xml:space="preserve">Trade Creditors-TIO                      </v>
          </cell>
          <cell r="C109">
            <v>99</v>
          </cell>
        </row>
        <row r="110">
          <cell r="A110">
            <v>103032</v>
          </cell>
          <cell r="B110" t="str">
            <v xml:space="preserve">Trade Creditors(USD)                     </v>
          </cell>
          <cell r="C110">
            <v>99</v>
          </cell>
        </row>
        <row r="111">
          <cell r="A111">
            <v>103033</v>
          </cell>
          <cell r="B111" t="str">
            <v xml:space="preserve">Trade Creditors (HKD)                    </v>
          </cell>
          <cell r="C111">
            <v>99</v>
          </cell>
        </row>
        <row r="112">
          <cell r="A112">
            <v>103034</v>
          </cell>
          <cell r="B112" t="str">
            <v xml:space="preserve">Trade Creditors (DM)                     </v>
          </cell>
          <cell r="C112">
            <v>99</v>
          </cell>
        </row>
        <row r="113">
          <cell r="A113">
            <v>103034</v>
          </cell>
          <cell r="B113" t="str">
            <v xml:space="preserve">Freight Control A/C                                 </v>
          </cell>
          <cell r="C113">
            <v>99</v>
          </cell>
        </row>
        <row r="114">
          <cell r="A114">
            <v>103035</v>
          </cell>
          <cell r="B114" t="str">
            <v>ATTACHMENTS</v>
          </cell>
          <cell r="C114">
            <v>99</v>
          </cell>
        </row>
        <row r="115">
          <cell r="A115">
            <v>103036</v>
          </cell>
          <cell r="B115" t="str">
            <v xml:space="preserve">Trade Creditors (GBP)                    </v>
          </cell>
          <cell r="C115">
            <v>99</v>
          </cell>
        </row>
        <row r="116">
          <cell r="A116">
            <v>103037</v>
          </cell>
          <cell r="B116" t="str">
            <v xml:space="preserve">Trade Creditors (MYR)                    </v>
          </cell>
          <cell r="C116">
            <v>99</v>
          </cell>
        </row>
        <row r="117">
          <cell r="A117">
            <v>103038</v>
          </cell>
          <cell r="B117" t="str">
            <v xml:space="preserve">Trade Creditors Australian Dollars       </v>
          </cell>
          <cell r="C117">
            <v>99</v>
          </cell>
        </row>
        <row r="118">
          <cell r="A118">
            <v>103100</v>
          </cell>
          <cell r="B118" t="str">
            <v xml:space="preserve">Due to Associated Co (LKR)               </v>
          </cell>
          <cell r="C118">
            <v>99</v>
          </cell>
        </row>
        <row r="119">
          <cell r="A119">
            <v>103101</v>
          </cell>
          <cell r="B119" t="str">
            <v xml:space="preserve">Due to Associated Co (USD)               </v>
          </cell>
          <cell r="C119">
            <v>99</v>
          </cell>
        </row>
        <row r="120">
          <cell r="A120">
            <v>103102</v>
          </cell>
          <cell r="B120" t="str">
            <v xml:space="preserve">Due to Associated Co (HKD)               </v>
          </cell>
          <cell r="C120">
            <v>99</v>
          </cell>
        </row>
        <row r="121">
          <cell r="A121">
            <v>103103</v>
          </cell>
          <cell r="B121" t="str">
            <v xml:space="preserve">Due to Associated Co (DM)                </v>
          </cell>
          <cell r="C121">
            <v>99</v>
          </cell>
        </row>
        <row r="122">
          <cell r="A122">
            <v>103104</v>
          </cell>
          <cell r="B122" t="str">
            <v xml:space="preserve">Trade Creditors (USD)                    </v>
          </cell>
          <cell r="C122">
            <v>99</v>
          </cell>
        </row>
        <row r="123">
          <cell r="A123">
            <v>103105</v>
          </cell>
          <cell r="B123" t="str">
            <v xml:space="preserve">Trade Creditors (HKD)                    </v>
          </cell>
          <cell r="C123">
            <v>99</v>
          </cell>
        </row>
        <row r="124">
          <cell r="A124">
            <v>103106</v>
          </cell>
          <cell r="B124" t="str">
            <v xml:space="preserve">Trade Creditors (DM)                     </v>
          </cell>
          <cell r="C124">
            <v>99</v>
          </cell>
        </row>
        <row r="125">
          <cell r="A125">
            <v>103107</v>
          </cell>
          <cell r="B125" t="str">
            <v xml:space="preserve">Trade Creditors (YEN)                    </v>
          </cell>
          <cell r="C125">
            <v>99</v>
          </cell>
        </row>
        <row r="126">
          <cell r="A126">
            <v>103108</v>
          </cell>
          <cell r="B126" t="str">
            <v xml:space="preserve">Trade Creditors (GBP)                    </v>
          </cell>
          <cell r="C126">
            <v>99</v>
          </cell>
        </row>
        <row r="127">
          <cell r="A127">
            <v>103109</v>
          </cell>
          <cell r="B127" t="str">
            <v xml:space="preserve">Trade Creditors (INR)                                </v>
          </cell>
          <cell r="C127">
            <v>99</v>
          </cell>
        </row>
        <row r="128">
          <cell r="A128">
            <v>103110</v>
          </cell>
          <cell r="B128" t="str">
            <v xml:space="preserve">Bills Payable (INR)                                 </v>
          </cell>
          <cell r="C128">
            <v>99</v>
          </cell>
        </row>
        <row r="129">
          <cell r="A129">
            <v>103111</v>
          </cell>
          <cell r="B129" t="str">
            <v xml:space="preserve">Bills Payable (USD)                                 </v>
          </cell>
          <cell r="C129">
            <v>99</v>
          </cell>
        </row>
        <row r="130">
          <cell r="A130">
            <v>103112</v>
          </cell>
          <cell r="B130" t="str">
            <v xml:space="preserve">Bills Payable (HKD)                                 </v>
          </cell>
          <cell r="C130">
            <v>99</v>
          </cell>
        </row>
        <row r="131">
          <cell r="A131">
            <v>103113</v>
          </cell>
          <cell r="B131" t="str">
            <v xml:space="preserve">Bills Payable (DM)                                  </v>
          </cell>
          <cell r="C131">
            <v>99</v>
          </cell>
        </row>
        <row r="132">
          <cell r="A132">
            <v>103114</v>
          </cell>
          <cell r="B132" t="str">
            <v xml:space="preserve">Bills Payable (GBP)                                 </v>
          </cell>
          <cell r="C132">
            <v>99</v>
          </cell>
        </row>
        <row r="133">
          <cell r="A133">
            <v>103115</v>
          </cell>
          <cell r="B133" t="str">
            <v xml:space="preserve">Bills Payable (SGD)                                 </v>
          </cell>
          <cell r="C133">
            <v>99</v>
          </cell>
        </row>
        <row r="134">
          <cell r="A134">
            <v>103116</v>
          </cell>
          <cell r="B134" t="str">
            <v xml:space="preserve">Bills Payable (CAD)                                 </v>
          </cell>
          <cell r="C134">
            <v>99</v>
          </cell>
        </row>
        <row r="135">
          <cell r="A135">
            <v>103117</v>
          </cell>
          <cell r="B135" t="str">
            <v xml:space="preserve">Trade Creditors (SGD)                               </v>
          </cell>
          <cell r="C135">
            <v>99</v>
          </cell>
        </row>
        <row r="136">
          <cell r="A136">
            <v>103118</v>
          </cell>
          <cell r="B136" t="str">
            <v xml:space="preserve">Bills Payable (YEN)                                 </v>
          </cell>
          <cell r="C136">
            <v>99</v>
          </cell>
        </row>
        <row r="137">
          <cell r="A137">
            <v>103200</v>
          </cell>
          <cell r="B137" t="str">
            <v xml:space="preserve">Other creditors                                     </v>
          </cell>
          <cell r="C137">
            <v>99</v>
          </cell>
        </row>
        <row r="138">
          <cell r="A138">
            <v>103201</v>
          </cell>
          <cell r="B138" t="str">
            <v xml:space="preserve">Bills Payable (EUR)                                 </v>
          </cell>
          <cell r="C138">
            <v>99</v>
          </cell>
        </row>
        <row r="139">
          <cell r="A139">
            <v>103202</v>
          </cell>
          <cell r="B139" t="str">
            <v xml:space="preserve">Due to Associate Co (EUR)                           </v>
          </cell>
          <cell r="C139">
            <v>99</v>
          </cell>
        </row>
        <row r="140">
          <cell r="A140">
            <v>103203</v>
          </cell>
          <cell r="B140" t="str">
            <v xml:space="preserve">Trade Creditors (EUR)                               </v>
          </cell>
          <cell r="C140">
            <v>99</v>
          </cell>
        </row>
        <row r="141">
          <cell r="A141">
            <v>103250</v>
          </cell>
          <cell r="B141" t="str">
            <v xml:space="preserve">Bodyline Private Ltd                                </v>
          </cell>
          <cell r="C141">
            <v>99</v>
          </cell>
        </row>
        <row r="142">
          <cell r="A142">
            <v>103260</v>
          </cell>
          <cell r="B142" t="str">
            <v xml:space="preserve">Consumable Creditors                                </v>
          </cell>
          <cell r="C142">
            <v>99</v>
          </cell>
        </row>
        <row r="143">
          <cell r="A143">
            <v>103300</v>
          </cell>
          <cell r="B143" t="str">
            <v xml:space="preserve">Accrued expenses                                    </v>
          </cell>
          <cell r="C143">
            <v>99</v>
          </cell>
        </row>
        <row r="144">
          <cell r="A144">
            <v>103301</v>
          </cell>
          <cell r="B144" t="str">
            <v xml:space="preserve">Accrued Expenses (USD)                              </v>
          </cell>
          <cell r="C144">
            <v>99</v>
          </cell>
        </row>
        <row r="145">
          <cell r="A145">
            <v>103302</v>
          </cell>
          <cell r="B145" t="str">
            <v xml:space="preserve">Claims Payable                                      </v>
          </cell>
          <cell r="C145">
            <v>99</v>
          </cell>
        </row>
        <row r="146">
          <cell r="A146">
            <v>103303</v>
          </cell>
          <cell r="B146" t="str">
            <v xml:space="preserve">Deffered Claim Income                               </v>
          </cell>
          <cell r="C146">
            <v>99</v>
          </cell>
        </row>
        <row r="147">
          <cell r="A147">
            <v>103346</v>
          </cell>
          <cell r="B147" t="str">
            <v xml:space="preserve">Bill Payable (MYR)                                  </v>
          </cell>
          <cell r="C147">
            <v>99</v>
          </cell>
        </row>
        <row r="148">
          <cell r="A148">
            <v>103347</v>
          </cell>
          <cell r="B148" t="str">
            <v xml:space="preserve">Bills Payable (CAD)                                 </v>
          </cell>
          <cell r="C148">
            <v>99</v>
          </cell>
        </row>
        <row r="149">
          <cell r="A149">
            <v>103348</v>
          </cell>
          <cell r="B149" t="str">
            <v xml:space="preserve">Bills Payable (SGD)                          </v>
          </cell>
          <cell r="C149">
            <v>99</v>
          </cell>
        </row>
        <row r="150">
          <cell r="A150">
            <v>103349</v>
          </cell>
          <cell r="B150" t="str">
            <v xml:space="preserve">Bills payable (DM)                           </v>
          </cell>
          <cell r="C150">
            <v>99</v>
          </cell>
        </row>
        <row r="151">
          <cell r="A151">
            <v>103350</v>
          </cell>
          <cell r="B151" t="str">
            <v xml:space="preserve">Bills payable                                </v>
          </cell>
          <cell r="C151">
            <v>99</v>
          </cell>
        </row>
        <row r="152">
          <cell r="A152">
            <v>103351</v>
          </cell>
          <cell r="B152" t="str">
            <v xml:space="preserve">Bills Payable (USD)                          </v>
          </cell>
          <cell r="C152">
            <v>99</v>
          </cell>
        </row>
        <row r="153">
          <cell r="A153">
            <v>103352</v>
          </cell>
          <cell r="B153" t="str">
            <v xml:space="preserve">Electricity/Water payable                    </v>
          </cell>
          <cell r="C153">
            <v>99</v>
          </cell>
        </row>
        <row r="154">
          <cell r="A154">
            <v>103353</v>
          </cell>
          <cell r="B154" t="str">
            <v xml:space="preserve">Telephone bills payable                      </v>
          </cell>
          <cell r="C154">
            <v>99</v>
          </cell>
        </row>
        <row r="155">
          <cell r="A155">
            <v>103354</v>
          </cell>
          <cell r="B155" t="str">
            <v xml:space="preserve">T'phone bills payable                        </v>
          </cell>
          <cell r="C155">
            <v>99</v>
          </cell>
        </row>
        <row r="156">
          <cell r="A156">
            <v>103355</v>
          </cell>
          <cell r="B156" t="str">
            <v xml:space="preserve">Customs duty payable                         </v>
          </cell>
          <cell r="C156">
            <v>99</v>
          </cell>
        </row>
        <row r="157">
          <cell r="A157">
            <v>103356</v>
          </cell>
          <cell r="B157" t="str">
            <v xml:space="preserve">MAS Holdings Payable                         </v>
          </cell>
          <cell r="C157">
            <v>99</v>
          </cell>
        </row>
        <row r="158">
          <cell r="A158">
            <v>103357</v>
          </cell>
          <cell r="B158" t="str">
            <v xml:space="preserve">SPL-Mgm fees payable                         </v>
          </cell>
          <cell r="C158">
            <v>99</v>
          </cell>
        </row>
        <row r="159">
          <cell r="A159">
            <v>103358</v>
          </cell>
          <cell r="B159" t="str">
            <v>Packing Credit Loan</v>
          </cell>
          <cell r="C159">
            <v>99</v>
          </cell>
        </row>
        <row r="160">
          <cell r="A160">
            <v>103359</v>
          </cell>
          <cell r="B160" t="str">
            <v xml:space="preserve">Bank facilities (Note 2)                     </v>
          </cell>
          <cell r="C160">
            <v>99</v>
          </cell>
        </row>
        <row r="161">
          <cell r="A161">
            <v>103360</v>
          </cell>
          <cell r="B161" t="str">
            <v xml:space="preserve">Loan Bonds-BoC                               </v>
          </cell>
          <cell r="C161">
            <v>99</v>
          </cell>
        </row>
        <row r="162">
          <cell r="A162">
            <v>103361</v>
          </cell>
          <cell r="B162" t="str">
            <v xml:space="preserve">EMD Payable                                  </v>
          </cell>
          <cell r="C162">
            <v>99</v>
          </cell>
        </row>
        <row r="163">
          <cell r="A163">
            <v>103362</v>
          </cell>
          <cell r="B163" t="str">
            <v>Term Loan int Payable</v>
          </cell>
          <cell r="C163">
            <v>99</v>
          </cell>
        </row>
        <row r="164">
          <cell r="A164">
            <v>103363</v>
          </cell>
          <cell r="B164" t="str">
            <v>Overdraft Interest Payable</v>
          </cell>
          <cell r="C164">
            <v>99</v>
          </cell>
        </row>
        <row r="165">
          <cell r="A165">
            <v>103364</v>
          </cell>
          <cell r="B165" t="str">
            <v xml:space="preserve">Capital WIP-Retention Money                       </v>
          </cell>
          <cell r="C165">
            <v>99</v>
          </cell>
        </row>
        <row r="166">
          <cell r="A166">
            <v>103365</v>
          </cell>
          <cell r="B166" t="str">
            <v xml:space="preserve">Loan Bond-DB                                      </v>
          </cell>
          <cell r="C166">
            <v>99</v>
          </cell>
        </row>
        <row r="167">
          <cell r="A167">
            <v>103366</v>
          </cell>
          <cell r="B167" t="str">
            <v xml:space="preserve">Un presented Cheques                              </v>
          </cell>
          <cell r="C167">
            <v>99</v>
          </cell>
        </row>
        <row r="168">
          <cell r="A168">
            <v>103367</v>
          </cell>
          <cell r="B168" t="str">
            <v>Working Capital Interest Payable</v>
          </cell>
          <cell r="C168">
            <v>99</v>
          </cell>
        </row>
        <row r="169">
          <cell r="A169">
            <v>103368</v>
          </cell>
          <cell r="B169" t="str">
            <v xml:space="preserve">GST Payable                                       </v>
          </cell>
          <cell r="C169">
            <v>99</v>
          </cell>
        </row>
        <row r="170">
          <cell r="A170">
            <v>103369</v>
          </cell>
          <cell r="B170" t="str">
            <v xml:space="preserve">Staff Welfare Fund                                </v>
          </cell>
          <cell r="C170">
            <v>99</v>
          </cell>
        </row>
        <row r="171">
          <cell r="A171">
            <v>103370</v>
          </cell>
          <cell r="B171" t="str">
            <v xml:space="preserve">GST Payable-Imports                               </v>
          </cell>
          <cell r="C171">
            <v>99</v>
          </cell>
        </row>
        <row r="172">
          <cell r="A172">
            <v>103371</v>
          </cell>
          <cell r="B172" t="str">
            <v xml:space="preserve">Freight Inwards Payable                           </v>
          </cell>
          <cell r="C172">
            <v>99</v>
          </cell>
        </row>
        <row r="173">
          <cell r="A173">
            <v>103400</v>
          </cell>
          <cell r="B173" t="str">
            <v xml:space="preserve">Wages payable                                     </v>
          </cell>
          <cell r="C173">
            <v>99</v>
          </cell>
        </row>
        <row r="174">
          <cell r="A174">
            <v>103401</v>
          </cell>
          <cell r="B174" t="str">
            <v xml:space="preserve">Salaries payable                                  </v>
          </cell>
          <cell r="C174">
            <v>99</v>
          </cell>
        </row>
        <row r="175">
          <cell r="A175">
            <v>103402</v>
          </cell>
          <cell r="B175" t="str">
            <v xml:space="preserve">Expat salaries payable                           </v>
          </cell>
          <cell r="C175">
            <v>99</v>
          </cell>
        </row>
        <row r="176">
          <cell r="A176">
            <v>103403</v>
          </cell>
          <cell r="B176" t="str">
            <v xml:space="preserve">Unclaimed Wages                                 </v>
          </cell>
          <cell r="C176">
            <v>99</v>
          </cell>
        </row>
        <row r="177">
          <cell r="A177">
            <v>103405</v>
          </cell>
          <cell r="B177" t="str">
            <v xml:space="preserve">Share Application Money                         </v>
          </cell>
          <cell r="C177">
            <v>99</v>
          </cell>
        </row>
        <row r="178">
          <cell r="A178">
            <v>103410</v>
          </cell>
          <cell r="B178" t="str">
            <v xml:space="preserve">Tax payable                                     </v>
          </cell>
          <cell r="C178">
            <v>99</v>
          </cell>
        </row>
        <row r="179">
          <cell r="A179">
            <v>103420</v>
          </cell>
          <cell r="B179" t="str">
            <v xml:space="preserve">Turnover tax payable                            </v>
          </cell>
          <cell r="C179">
            <v>99</v>
          </cell>
        </row>
        <row r="180">
          <cell r="A180">
            <v>103425</v>
          </cell>
          <cell r="B180" t="str">
            <v xml:space="preserve">TDS Payable                                     </v>
          </cell>
          <cell r="C180">
            <v>99</v>
          </cell>
        </row>
        <row r="181">
          <cell r="A181">
            <v>103430</v>
          </cell>
          <cell r="B181" t="str">
            <v xml:space="preserve">PAYE surcharge                                  </v>
          </cell>
          <cell r="C181">
            <v>99</v>
          </cell>
        </row>
        <row r="182">
          <cell r="A182">
            <v>103431</v>
          </cell>
          <cell r="B182" t="str">
            <v xml:space="preserve">Provision for Taxation                          </v>
          </cell>
          <cell r="C182">
            <v>99</v>
          </cell>
        </row>
        <row r="183">
          <cell r="A183">
            <v>103435</v>
          </cell>
          <cell r="B183" t="str">
            <v xml:space="preserve">Provident Fund Payable                          </v>
          </cell>
          <cell r="C183">
            <v>99</v>
          </cell>
        </row>
        <row r="184">
          <cell r="A184">
            <v>103440</v>
          </cell>
          <cell r="B184" t="str">
            <v xml:space="preserve">ESI Payable                                     </v>
          </cell>
          <cell r="C184">
            <v>99</v>
          </cell>
        </row>
        <row r="185">
          <cell r="A185">
            <v>103450</v>
          </cell>
          <cell r="B185" t="str">
            <v xml:space="preserve">Dividends Payable                               </v>
          </cell>
          <cell r="C185">
            <v>99</v>
          </cell>
        </row>
        <row r="186">
          <cell r="A186">
            <v>103500</v>
          </cell>
          <cell r="B186" t="str">
            <v xml:space="preserve">Royalty fees payable                            </v>
          </cell>
          <cell r="C186">
            <v>99</v>
          </cell>
        </row>
        <row r="187">
          <cell r="A187">
            <v>103501</v>
          </cell>
          <cell r="B187" t="str">
            <v xml:space="preserve">Dividends Payable                               </v>
          </cell>
          <cell r="C187">
            <v>99</v>
          </cell>
        </row>
        <row r="188">
          <cell r="A188">
            <v>104001</v>
          </cell>
          <cell r="B188" t="str">
            <v xml:space="preserve">Ordinary share capital                          </v>
          </cell>
          <cell r="C188">
            <v>99</v>
          </cell>
        </row>
        <row r="189">
          <cell r="A189">
            <v>104002</v>
          </cell>
          <cell r="B189" t="str">
            <v xml:space="preserve">Class ""A"" Preference Share Capital             </v>
          </cell>
          <cell r="C189">
            <v>99</v>
          </cell>
        </row>
        <row r="190">
          <cell r="A190">
            <v>104003</v>
          </cell>
          <cell r="B190" t="str">
            <v xml:space="preserve">Class ""B"" Preference Share Capital            </v>
          </cell>
          <cell r="C190">
            <v>99</v>
          </cell>
        </row>
        <row r="191">
          <cell r="A191">
            <v>104010</v>
          </cell>
          <cell r="B191" t="str">
            <v xml:space="preserve">Share premium                                   </v>
          </cell>
          <cell r="C191">
            <v>99</v>
          </cell>
        </row>
        <row r="192">
          <cell r="A192">
            <v>104015</v>
          </cell>
          <cell r="B192" t="str">
            <v xml:space="preserve">Revenue reserves                                </v>
          </cell>
          <cell r="C192">
            <v>99</v>
          </cell>
        </row>
        <row r="193">
          <cell r="A193">
            <v>104016</v>
          </cell>
          <cell r="B193" t="str">
            <v xml:space="preserve">Revaluation reserve                             </v>
          </cell>
          <cell r="C193">
            <v>99</v>
          </cell>
        </row>
        <row r="194">
          <cell r="A194">
            <v>104017</v>
          </cell>
          <cell r="B194" t="str">
            <v xml:space="preserve">Capital Redemption Reserve Fund          </v>
          </cell>
          <cell r="C194">
            <v>99</v>
          </cell>
        </row>
        <row r="195">
          <cell r="A195">
            <v>104020</v>
          </cell>
          <cell r="B195" t="str">
            <v xml:space="preserve">Profit/(Loss) B/F                        </v>
          </cell>
          <cell r="C195">
            <v>99</v>
          </cell>
        </row>
        <row r="196">
          <cell r="A196">
            <v>105001</v>
          </cell>
          <cell r="B196" t="str">
            <v xml:space="preserve">Bank facilities (Note 2)                 </v>
          </cell>
          <cell r="C196">
            <v>99</v>
          </cell>
        </row>
        <row r="197">
          <cell r="A197">
            <v>105002</v>
          </cell>
          <cell r="B197" t="str">
            <v xml:space="preserve">Term Loan-HSBC                           </v>
          </cell>
          <cell r="C197">
            <v>99</v>
          </cell>
        </row>
        <row r="198">
          <cell r="A198">
            <v>105020</v>
          </cell>
          <cell r="B198" t="str">
            <v xml:space="preserve">Lease rentals                            </v>
          </cell>
          <cell r="C198">
            <v>99</v>
          </cell>
        </row>
        <row r="199">
          <cell r="A199">
            <v>105025</v>
          </cell>
          <cell r="B199" t="str">
            <v xml:space="preserve">Gratuity Provision                       </v>
          </cell>
          <cell r="C199">
            <v>99</v>
          </cell>
        </row>
        <row r="200">
          <cell r="A200">
            <v>201001</v>
          </cell>
          <cell r="B200" t="str">
            <v xml:space="preserve">Purchases                                </v>
          </cell>
          <cell r="C200">
            <v>99</v>
          </cell>
        </row>
        <row r="201">
          <cell r="A201">
            <v>201002</v>
          </cell>
          <cell r="B201" t="str">
            <v xml:space="preserve">Purchases-Packing materials              </v>
          </cell>
          <cell r="C201">
            <v>99</v>
          </cell>
        </row>
        <row r="202">
          <cell r="A202">
            <v>201003</v>
          </cell>
          <cell r="B202" t="str">
            <v xml:space="preserve">Claim Expenses                           </v>
          </cell>
        </row>
        <row r="203">
          <cell r="A203">
            <v>201004</v>
          </cell>
          <cell r="B203" t="str">
            <v xml:space="preserve">Claim Income                             </v>
          </cell>
        </row>
        <row r="204">
          <cell r="A204">
            <v>201005</v>
          </cell>
          <cell r="B204" t="str">
            <v xml:space="preserve">Re-Exports                               </v>
          </cell>
        </row>
        <row r="205">
          <cell r="A205">
            <v>201020</v>
          </cell>
          <cell r="B205" t="str">
            <v xml:space="preserve">5S Expenditure                           </v>
          </cell>
        </row>
        <row r="206">
          <cell r="A206">
            <v>201030</v>
          </cell>
          <cell r="B206" t="str">
            <v xml:space="preserve">Quota Fees                               </v>
          </cell>
        </row>
        <row r="207">
          <cell r="A207">
            <v>202001</v>
          </cell>
          <cell r="B207" t="str">
            <v xml:space="preserve">Wages                                    </v>
          </cell>
        </row>
        <row r="208">
          <cell r="A208">
            <v>202005</v>
          </cell>
          <cell r="B208" t="str">
            <v xml:space="preserve">Royalty fees                             </v>
          </cell>
          <cell r="C208">
            <v>99</v>
          </cell>
        </row>
        <row r="209">
          <cell r="A209">
            <v>202010</v>
          </cell>
          <cell r="B209" t="str">
            <v xml:space="preserve">Direct expenses                          </v>
          </cell>
        </row>
        <row r="210">
          <cell r="A210">
            <v>202015</v>
          </cell>
          <cell r="B210" t="str">
            <v xml:space="preserve">Export Bank Charges                      </v>
          </cell>
        </row>
        <row r="211">
          <cell r="A211">
            <v>202020</v>
          </cell>
          <cell r="B211" t="str">
            <v xml:space="preserve">Trade fair expenses                      </v>
          </cell>
        </row>
        <row r="212">
          <cell r="A212">
            <v>202025</v>
          </cell>
          <cell r="B212" t="str">
            <v xml:space="preserve">BTT-Local sales                          </v>
          </cell>
        </row>
        <row r="213">
          <cell r="A213">
            <v>202030</v>
          </cell>
          <cell r="B213" t="str">
            <v xml:space="preserve">Customs duty                             </v>
          </cell>
        </row>
        <row r="214">
          <cell r="A214">
            <v>202035</v>
          </cell>
          <cell r="B214" t="str">
            <v xml:space="preserve">Defence levy                             </v>
          </cell>
        </row>
        <row r="215">
          <cell r="A215">
            <v>203001</v>
          </cell>
          <cell r="B215" t="str">
            <v xml:space="preserve">Consumable materials                     </v>
          </cell>
        </row>
        <row r="216">
          <cell r="A216">
            <v>203002</v>
          </cell>
          <cell r="B216" t="str">
            <v xml:space="preserve">Electricity                              </v>
          </cell>
        </row>
        <row r="217">
          <cell r="A217">
            <v>203003</v>
          </cell>
          <cell r="B217" t="str">
            <v xml:space="preserve">Transport Subsidy                        </v>
          </cell>
        </row>
        <row r="218">
          <cell r="A218">
            <v>203004</v>
          </cell>
          <cell r="B218" t="str">
            <v xml:space="preserve">Genarator hire                           </v>
          </cell>
        </row>
        <row r="219">
          <cell r="A219">
            <v>203005</v>
          </cell>
          <cell r="B219" t="str">
            <v xml:space="preserve">Canteen Subsidy                              </v>
          </cell>
        </row>
        <row r="220">
          <cell r="A220">
            <v>203006</v>
          </cell>
          <cell r="B220" t="str">
            <v xml:space="preserve">Expatriate personnel cost                    </v>
          </cell>
        </row>
        <row r="221">
          <cell r="A221">
            <v>203007</v>
          </cell>
          <cell r="B221" t="str">
            <v xml:space="preserve">Maintenance-Factory                          </v>
          </cell>
        </row>
        <row r="222">
          <cell r="A222">
            <v>203008</v>
          </cell>
          <cell r="B222" t="str">
            <v xml:space="preserve">Depreciation-Plant &amp; machinery               </v>
          </cell>
        </row>
        <row r="223">
          <cell r="A223">
            <v>203009</v>
          </cell>
          <cell r="B223" t="str">
            <v xml:space="preserve">Depreciation-Factory furniture               </v>
          </cell>
        </row>
        <row r="224">
          <cell r="A224">
            <v>203010</v>
          </cell>
          <cell r="B224" t="str">
            <v xml:space="preserve">Depreciation-Installations                   </v>
          </cell>
        </row>
        <row r="225">
          <cell r="A225">
            <v>203011</v>
          </cell>
          <cell r="B225" t="str">
            <v xml:space="preserve">Depreciation-Buildings                       </v>
          </cell>
        </row>
        <row r="226">
          <cell r="A226">
            <v>203012</v>
          </cell>
          <cell r="B226" t="str">
            <v xml:space="preserve">Maintenance-machinery                        </v>
          </cell>
        </row>
        <row r="227">
          <cell r="A227">
            <v>203013</v>
          </cell>
          <cell r="B227" t="str">
            <v xml:space="preserve">E.P.F                                        </v>
          </cell>
        </row>
        <row r="228">
          <cell r="A228">
            <v>203014</v>
          </cell>
          <cell r="B228" t="str">
            <v xml:space="preserve">E.S.I                                        </v>
          </cell>
        </row>
        <row r="229">
          <cell r="A229">
            <v>203015</v>
          </cell>
          <cell r="B229" t="str">
            <v xml:space="preserve">Other Wages                                  </v>
          </cell>
        </row>
        <row r="230">
          <cell r="A230">
            <v>203016</v>
          </cell>
          <cell r="B230" t="str">
            <v xml:space="preserve">Maintenance-Machinery                         </v>
          </cell>
        </row>
        <row r="231">
          <cell r="A231">
            <v>203017</v>
          </cell>
          <cell r="B231" t="str">
            <v xml:space="preserve">Direct cutting expenses                       </v>
          </cell>
        </row>
        <row r="232">
          <cell r="A232">
            <v>203018</v>
          </cell>
          <cell r="B232" t="str">
            <v xml:space="preserve">Generator running charges                </v>
          </cell>
        </row>
        <row r="233">
          <cell r="A233">
            <v>203019</v>
          </cell>
          <cell r="B233" t="str">
            <v xml:space="preserve">Uniforms                                 </v>
          </cell>
        </row>
        <row r="234">
          <cell r="A234">
            <v>203020</v>
          </cell>
          <cell r="B234" t="str">
            <v xml:space="preserve">Machinery Attachments                    </v>
          </cell>
        </row>
        <row r="235">
          <cell r="A235">
            <v>203021</v>
          </cell>
          <cell r="B235" t="str">
            <v xml:space="preserve">Maintenance-Bungalow                     </v>
          </cell>
        </row>
        <row r="236">
          <cell r="A236">
            <v>204001</v>
          </cell>
          <cell r="B236" t="str">
            <v xml:space="preserve">Staff salaries                           </v>
          </cell>
        </row>
        <row r="237">
          <cell r="A237">
            <v>204002</v>
          </cell>
          <cell r="B237" t="str">
            <v xml:space="preserve">Expatriate staff salaries                </v>
          </cell>
        </row>
        <row r="238">
          <cell r="A238">
            <v>204003</v>
          </cell>
          <cell r="B238" t="str">
            <v xml:space="preserve">Rates &amp; Taxes                            </v>
          </cell>
        </row>
        <row r="239">
          <cell r="A239">
            <v>204004</v>
          </cell>
          <cell r="B239" t="str">
            <v xml:space="preserve">Recruitment Expenses                     </v>
          </cell>
        </row>
        <row r="240">
          <cell r="A240">
            <v>204005</v>
          </cell>
          <cell r="B240" t="str">
            <v xml:space="preserve">Staff welfare                            </v>
          </cell>
        </row>
        <row r="241">
          <cell r="A241">
            <v>204006</v>
          </cell>
          <cell r="B241" t="str">
            <v xml:space="preserve">Medical expenses                         </v>
          </cell>
        </row>
        <row r="242">
          <cell r="A242">
            <v>204007</v>
          </cell>
          <cell r="B242" t="str">
            <v xml:space="preserve">Printing &amp; stationary                    </v>
          </cell>
        </row>
        <row r="243">
          <cell r="A243">
            <v>204008</v>
          </cell>
          <cell r="B243" t="str">
            <v xml:space="preserve">Communication expenses                   </v>
          </cell>
        </row>
        <row r="244">
          <cell r="A244">
            <v>204009</v>
          </cell>
          <cell r="B244" t="str">
            <v xml:space="preserve">Maintenance-Office equipment             </v>
          </cell>
        </row>
        <row r="245">
          <cell r="A245">
            <v>204010</v>
          </cell>
          <cell r="B245" t="str">
            <v xml:space="preserve">Maintenance-Motor vehicles               </v>
          </cell>
        </row>
        <row r="246">
          <cell r="A246">
            <v>204011</v>
          </cell>
          <cell r="B246" t="str">
            <v xml:space="preserve">Maintenance-General office               </v>
          </cell>
        </row>
        <row r="247">
          <cell r="A247">
            <v>204012</v>
          </cell>
          <cell r="B247" t="str">
            <v xml:space="preserve">Insurance Charges                        </v>
          </cell>
        </row>
        <row r="248">
          <cell r="A248">
            <v>204013</v>
          </cell>
          <cell r="B248" t="str">
            <v xml:space="preserve">Rent &amp; rates                             </v>
          </cell>
        </row>
        <row r="249">
          <cell r="A249">
            <v>204014</v>
          </cell>
          <cell r="B249" t="str">
            <v xml:space="preserve">Travel &amp; transport                       </v>
          </cell>
        </row>
        <row r="250">
          <cell r="A250">
            <v>204015</v>
          </cell>
          <cell r="B250" t="str">
            <v xml:space="preserve">Business Development Expenses            </v>
          </cell>
        </row>
        <row r="251">
          <cell r="A251">
            <v>204016</v>
          </cell>
          <cell r="B251" t="str">
            <v xml:space="preserve">Entertainment                            </v>
          </cell>
        </row>
        <row r="252">
          <cell r="A252">
            <v>204017</v>
          </cell>
          <cell r="B252" t="str">
            <v xml:space="preserve">Depreciation-Office equipment            </v>
          </cell>
        </row>
        <row r="253">
          <cell r="A253">
            <v>204018</v>
          </cell>
          <cell r="B253" t="str">
            <v xml:space="preserve">Depreciation-Villa                       </v>
          </cell>
        </row>
        <row r="254">
          <cell r="A254">
            <v>204019</v>
          </cell>
          <cell r="B254" t="str">
            <v xml:space="preserve">Depreciation-Motor vehicles              </v>
          </cell>
        </row>
        <row r="255">
          <cell r="A255">
            <v>204020</v>
          </cell>
          <cell r="B255" t="str">
            <v xml:space="preserve">Depreciation-Computer equipmt            </v>
          </cell>
        </row>
        <row r="256">
          <cell r="A256">
            <v>204021</v>
          </cell>
          <cell r="B256" t="str">
            <v xml:space="preserve">Auditors Fees                            </v>
          </cell>
        </row>
        <row r="257">
          <cell r="A257">
            <v>204022</v>
          </cell>
          <cell r="B257" t="str">
            <v xml:space="preserve">Motor Car Fuel                           </v>
          </cell>
        </row>
        <row r="258">
          <cell r="A258">
            <v>204023</v>
          </cell>
          <cell r="B258" t="str">
            <v xml:space="preserve">Professional fees                        </v>
          </cell>
        </row>
        <row r="259">
          <cell r="A259">
            <v>204024</v>
          </cell>
          <cell r="B259" t="str">
            <v xml:space="preserve">Advertisements                           </v>
          </cell>
        </row>
        <row r="260">
          <cell r="A260">
            <v>204025</v>
          </cell>
          <cell r="B260" t="str">
            <v xml:space="preserve">Staff training expenses                  </v>
          </cell>
        </row>
        <row r="261">
          <cell r="A261">
            <v>204026</v>
          </cell>
          <cell r="B261" t="str">
            <v xml:space="preserve">Subscriptions &amp; periodicals              </v>
          </cell>
        </row>
        <row r="262">
          <cell r="A262">
            <v>204027</v>
          </cell>
          <cell r="B262" t="str">
            <v xml:space="preserve">Gifts &amp; donations                        </v>
          </cell>
        </row>
        <row r="263">
          <cell r="A263">
            <v>204028</v>
          </cell>
          <cell r="B263" t="str">
            <v xml:space="preserve">Service Charges                          </v>
          </cell>
        </row>
        <row r="264">
          <cell r="A264">
            <v>204029</v>
          </cell>
          <cell r="B264" t="str">
            <v xml:space="preserve">Security charges                         </v>
          </cell>
        </row>
        <row r="265">
          <cell r="A265">
            <v>204030</v>
          </cell>
          <cell r="B265" t="str">
            <v xml:space="preserve">E.P.F                                    </v>
          </cell>
        </row>
        <row r="266">
          <cell r="A266">
            <v>204031</v>
          </cell>
          <cell r="B266" t="str">
            <v xml:space="preserve">E.T.F                                    </v>
          </cell>
        </row>
        <row r="267">
          <cell r="A267">
            <v>204032</v>
          </cell>
          <cell r="B267" t="str">
            <v xml:space="preserve">Foreign travel                           </v>
          </cell>
        </row>
        <row r="268">
          <cell r="A268">
            <v>204033</v>
          </cell>
          <cell r="B268" t="str">
            <v xml:space="preserve">Bank Charges-LC                          </v>
          </cell>
        </row>
        <row r="269">
          <cell r="A269">
            <v>204034</v>
          </cell>
          <cell r="B269" t="str">
            <v xml:space="preserve">Salary-PF Admin. Charges                 </v>
          </cell>
          <cell r="C269" t="str">
            <v>06</v>
          </cell>
        </row>
        <row r="270">
          <cell r="A270">
            <v>204035</v>
          </cell>
          <cell r="B270" t="str">
            <v xml:space="preserve">Licence Fees                             </v>
          </cell>
        </row>
        <row r="271">
          <cell r="A271">
            <v>204036</v>
          </cell>
          <cell r="B271" t="str">
            <v xml:space="preserve">Postage &amp; Telegrams                      </v>
          </cell>
        </row>
        <row r="272">
          <cell r="A272">
            <v>205001</v>
          </cell>
          <cell r="B272" t="str">
            <v xml:space="preserve">Bank Charges-Guarantee Commission        </v>
          </cell>
          <cell r="C272" t="str">
            <v>02</v>
          </cell>
        </row>
        <row r="273">
          <cell r="A273">
            <v>205002</v>
          </cell>
          <cell r="B273" t="str">
            <v>Overdraft Interest</v>
          </cell>
          <cell r="C273" t="str">
            <v>02</v>
          </cell>
        </row>
        <row r="274">
          <cell r="A274">
            <v>205003</v>
          </cell>
          <cell r="B274" t="str">
            <v xml:space="preserve">Term loan interest                       </v>
          </cell>
          <cell r="C274" t="str">
            <v>02</v>
          </cell>
        </row>
        <row r="275">
          <cell r="A275">
            <v>205004</v>
          </cell>
          <cell r="B275" t="str">
            <v xml:space="preserve">Bank Charges-Others                      </v>
          </cell>
          <cell r="C275" t="str">
            <v>02</v>
          </cell>
        </row>
        <row r="276">
          <cell r="A276">
            <v>205005</v>
          </cell>
          <cell r="B276" t="str">
            <v xml:space="preserve">Bank Charges-LC                          </v>
          </cell>
          <cell r="C276" t="str">
            <v>02</v>
          </cell>
        </row>
        <row r="277">
          <cell r="A277">
            <v>205006</v>
          </cell>
          <cell r="B277" t="str">
            <v xml:space="preserve">Loan bond interest                       </v>
          </cell>
          <cell r="C277" t="str">
            <v>02</v>
          </cell>
        </row>
        <row r="278">
          <cell r="A278">
            <v>206001</v>
          </cell>
          <cell r="B278" t="str">
            <v xml:space="preserve">Quota Fees                               </v>
          </cell>
          <cell r="C278" t="str">
            <v>05</v>
          </cell>
        </row>
        <row r="279">
          <cell r="A279">
            <v>207001</v>
          </cell>
          <cell r="B279" t="str">
            <v xml:space="preserve">Sales-TIO                                </v>
          </cell>
          <cell r="C279">
            <v>99</v>
          </cell>
        </row>
        <row r="280">
          <cell r="A280">
            <v>207002</v>
          </cell>
          <cell r="B280" t="str">
            <v xml:space="preserve">Sales-Mast                               </v>
          </cell>
          <cell r="C280">
            <v>99</v>
          </cell>
        </row>
        <row r="281">
          <cell r="A281">
            <v>207003</v>
          </cell>
          <cell r="B281" t="str">
            <v xml:space="preserve">Sales -Others(USD)                       </v>
          </cell>
          <cell r="C281">
            <v>99</v>
          </cell>
        </row>
        <row r="282">
          <cell r="A282">
            <v>207010</v>
          </cell>
          <cell r="B282" t="str">
            <v xml:space="preserve">Local Sales                              </v>
          </cell>
          <cell r="C282">
            <v>99</v>
          </cell>
        </row>
        <row r="283">
          <cell r="A283">
            <v>207201</v>
          </cell>
          <cell r="B283" t="str">
            <v xml:space="preserve">Interest income                          </v>
          </cell>
          <cell r="C283" t="str">
            <v>02</v>
          </cell>
        </row>
        <row r="284">
          <cell r="A284">
            <v>207301</v>
          </cell>
          <cell r="B284" t="str">
            <v xml:space="preserve">FOREX translation gain/(loss)            </v>
          </cell>
        </row>
        <row r="285">
          <cell r="A285">
            <v>207302</v>
          </cell>
          <cell r="B285" t="str">
            <v xml:space="preserve">Exchange gain/loss AP                    </v>
          </cell>
        </row>
        <row r="286">
          <cell r="A286">
            <v>207401</v>
          </cell>
          <cell r="B286" t="str">
            <v xml:space="preserve">Sundry Incomes                           </v>
          </cell>
        </row>
        <row r="287">
          <cell r="A287">
            <v>207500</v>
          </cell>
          <cell r="B287" t="str">
            <v xml:space="preserve">Fixed assets disposal                    </v>
          </cell>
        </row>
        <row r="288">
          <cell r="A288">
            <v>208001</v>
          </cell>
          <cell r="B288" t="str">
            <v xml:space="preserve">Taxation                                 </v>
          </cell>
        </row>
        <row r="289">
          <cell r="A289">
            <v>209000</v>
          </cell>
          <cell r="B289" t="str">
            <v xml:space="preserve">Dividends                                </v>
          </cell>
        </row>
        <row r="290">
          <cell r="A290">
            <v>209001</v>
          </cell>
          <cell r="B290" t="str">
            <v xml:space="preserve">Dividends-Ordinary                       </v>
          </cell>
        </row>
        <row r="291">
          <cell r="A291">
            <v>209002</v>
          </cell>
          <cell r="B291" t="str">
            <v xml:space="preserve">Transfers to Reserves                    </v>
          </cell>
        </row>
        <row r="292">
          <cell r="A292">
            <v>300000</v>
          </cell>
          <cell r="B292" t="str">
            <v xml:space="preserve">Suspence Account                         </v>
          </cell>
          <cell r="C292">
            <v>99</v>
          </cell>
        </row>
        <row r="293">
          <cell r="A293">
            <v>400000</v>
          </cell>
          <cell r="B293" t="str">
            <v xml:space="preserve">Raw Material Clos/Stock                  </v>
          </cell>
          <cell r="C293">
            <v>99</v>
          </cell>
        </row>
        <row r="294">
          <cell r="A294">
            <v>400001</v>
          </cell>
          <cell r="B294" t="str">
            <v xml:space="preserve">Work In Progress C/S                     </v>
          </cell>
          <cell r="C294">
            <v>99</v>
          </cell>
        </row>
        <row r="295">
          <cell r="A295">
            <v>400002</v>
          </cell>
          <cell r="B295" t="str">
            <v xml:space="preserve">Finished Goods C/S                       </v>
          </cell>
          <cell r="C295">
            <v>99</v>
          </cell>
        </row>
        <row r="296">
          <cell r="A296">
            <v>400003</v>
          </cell>
          <cell r="B296" t="str">
            <v xml:space="preserve">Taxation                                 </v>
          </cell>
          <cell r="C296">
            <v>99</v>
          </cell>
        </row>
        <row r="297">
          <cell r="A297">
            <v>400004</v>
          </cell>
          <cell r="B297" t="str">
            <v xml:space="preserve">Dividends                                </v>
          </cell>
          <cell r="C297">
            <v>99</v>
          </cell>
        </row>
        <row r="298">
          <cell r="A298">
            <v>400005</v>
          </cell>
          <cell r="B298" t="str">
            <v xml:space="preserve">Transfers To Reserves                    </v>
          </cell>
          <cell r="C298">
            <v>99</v>
          </cell>
        </row>
        <row r="299">
          <cell r="A299">
            <v>499999</v>
          </cell>
          <cell r="B299" t="str">
            <v xml:space="preserve">Memo A/C for Closing Stock               </v>
          </cell>
          <cell r="C299">
            <v>99</v>
          </cell>
        </row>
        <row r="300">
          <cell r="A300">
            <v>999999</v>
          </cell>
          <cell r="B300" t="str">
            <v xml:space="preserve">Profit/(Loss) C/F                        </v>
          </cell>
          <cell r="C300">
            <v>99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PCOST"/>
      <sheetName val="STOCKS"/>
      <sheetName val="Sheet11"/>
      <sheetName val="WIP97"/>
      <sheetName val="Finance MI"/>
      <sheetName val="MI-Rec"/>
      <sheetName val="issuenneeeeee"/>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s>
    <sheetDataSet>
      <sheetData sheetId="0" refreshError="1"/>
      <sheetData sheetId="1" refreshError="1">
        <row r="150">
          <cell r="B150" t="str">
            <v>209-323</v>
          </cell>
          <cell r="C150">
            <v>100.95</v>
          </cell>
          <cell r="D150">
            <v>30</v>
          </cell>
          <cell r="E150">
            <v>3028.5</v>
          </cell>
          <cell r="F150">
            <v>1.3</v>
          </cell>
          <cell r="G150">
            <v>39</v>
          </cell>
          <cell r="H150">
            <v>228.50999999999996</v>
          </cell>
          <cell r="I150">
            <v>6855.2999999999993</v>
          </cell>
          <cell r="J150">
            <v>15</v>
          </cell>
          <cell r="K150">
            <v>12</v>
          </cell>
          <cell r="L150">
            <v>360</v>
          </cell>
          <cell r="M150">
            <v>7254.2999999999993</v>
          </cell>
          <cell r="N150">
            <v>-140.85999999999999</v>
          </cell>
          <cell r="O150">
            <v>-4225.7999999999993</v>
          </cell>
          <cell r="P150">
            <v>-139.53442298167406</v>
          </cell>
        </row>
        <row r="151">
          <cell r="B151" t="str">
            <v>St lots</v>
          </cell>
          <cell r="C151">
            <v>100.95</v>
          </cell>
          <cell r="D151">
            <v>180</v>
          </cell>
          <cell r="E151">
            <v>18171</v>
          </cell>
          <cell r="F151">
            <v>1.3</v>
          </cell>
          <cell r="G151">
            <v>234</v>
          </cell>
          <cell r="H151">
            <v>0</v>
          </cell>
          <cell r="I151">
            <v>0</v>
          </cell>
          <cell r="J151">
            <v>0</v>
          </cell>
          <cell r="K151">
            <v>0</v>
          </cell>
          <cell r="L151">
            <v>0</v>
          </cell>
          <cell r="M151">
            <v>234</v>
          </cell>
          <cell r="N151">
            <v>99.65</v>
          </cell>
          <cell r="O151">
            <v>17937</v>
          </cell>
          <cell r="P151">
            <v>98.712233779098568</v>
          </cell>
        </row>
        <row r="152">
          <cell r="B152" t="str">
            <v>217-675</v>
          </cell>
          <cell r="C152">
            <v>109.63387096774194</v>
          </cell>
          <cell r="D152">
            <v>465</v>
          </cell>
          <cell r="E152">
            <v>50979.75</v>
          </cell>
          <cell r="F152">
            <v>1.3</v>
          </cell>
          <cell r="G152">
            <v>604.5</v>
          </cell>
          <cell r="H152">
            <v>0</v>
          </cell>
          <cell r="I152">
            <v>0</v>
          </cell>
          <cell r="J152">
            <v>0</v>
          </cell>
          <cell r="K152">
            <v>0</v>
          </cell>
          <cell r="L152">
            <v>0</v>
          </cell>
          <cell r="M152">
            <v>604.5</v>
          </cell>
          <cell r="N152">
            <v>108.33387096774193</v>
          </cell>
          <cell r="O152">
            <v>50375.25</v>
          </cell>
          <cell r="P152">
            <v>98.814235063922425</v>
          </cell>
        </row>
        <row r="153">
          <cell r="B153" t="str">
            <v>49X036</v>
          </cell>
          <cell r="C153">
            <v>60.57</v>
          </cell>
          <cell r="D153">
            <v>100</v>
          </cell>
          <cell r="E153">
            <v>6057</v>
          </cell>
          <cell r="F153">
            <v>1.3</v>
          </cell>
          <cell r="G153">
            <v>130</v>
          </cell>
          <cell r="H153">
            <v>0</v>
          </cell>
          <cell r="I153">
            <v>0</v>
          </cell>
          <cell r="J153">
            <v>0</v>
          </cell>
          <cell r="K153">
            <v>0</v>
          </cell>
          <cell r="L153">
            <v>0</v>
          </cell>
          <cell r="M153">
            <v>130</v>
          </cell>
          <cell r="N153">
            <v>59.27</v>
          </cell>
          <cell r="O153">
            <v>5927</v>
          </cell>
          <cell r="P153">
            <v>97.85372296516428</v>
          </cell>
        </row>
        <row r="154">
          <cell r="B154" t="str">
            <v>70-373</v>
          </cell>
          <cell r="C154">
            <v>60.57</v>
          </cell>
          <cell r="D154">
            <v>87</v>
          </cell>
          <cell r="E154">
            <v>5269.59</v>
          </cell>
          <cell r="F154">
            <v>1.3</v>
          </cell>
          <cell r="G154">
            <v>113.10000000000001</v>
          </cell>
          <cell r="H154">
            <v>92.19</v>
          </cell>
          <cell r="I154">
            <v>8020.53</v>
          </cell>
          <cell r="J154">
            <v>5.9</v>
          </cell>
          <cell r="K154">
            <v>4.7200000000000006</v>
          </cell>
          <cell r="L154">
            <v>410.64000000000004</v>
          </cell>
          <cell r="M154">
            <v>8544.27</v>
          </cell>
          <cell r="N154">
            <v>-37.64</v>
          </cell>
          <cell r="O154">
            <v>-3274.6800000000003</v>
          </cell>
          <cell r="P154">
            <v>-62.142975070166749</v>
          </cell>
        </row>
        <row r="155">
          <cell r="B155" t="str">
            <v>70-494</v>
          </cell>
          <cell r="C155">
            <v>60.57</v>
          </cell>
          <cell r="D155">
            <v>59</v>
          </cell>
          <cell r="E155">
            <v>3573.63</v>
          </cell>
          <cell r="F155">
            <v>1.3</v>
          </cell>
          <cell r="G155">
            <v>76.7</v>
          </cell>
          <cell r="H155">
            <v>56</v>
          </cell>
          <cell r="I155">
            <v>3304</v>
          </cell>
          <cell r="J155">
            <v>5.9299999999999979</v>
          </cell>
          <cell r="K155">
            <v>4.7439999999999989</v>
          </cell>
          <cell r="L155">
            <v>279.89599999999996</v>
          </cell>
          <cell r="M155">
            <v>3660.5959999999995</v>
          </cell>
          <cell r="N155">
            <v>-1.4739999999999904</v>
          </cell>
          <cell r="O155">
            <v>-86.96599999999944</v>
          </cell>
          <cell r="P155">
            <v>-2.4335479610368012</v>
          </cell>
        </row>
        <row r="156">
          <cell r="B156" t="str">
            <v>70-495</v>
          </cell>
          <cell r="C156">
            <v>60.57</v>
          </cell>
          <cell r="D156">
            <v>109</v>
          </cell>
          <cell r="E156">
            <v>6602.13</v>
          </cell>
          <cell r="F156">
            <v>1.3000000000000003</v>
          </cell>
          <cell r="G156">
            <v>141.70000000000002</v>
          </cell>
          <cell r="H156">
            <v>37.01</v>
          </cell>
          <cell r="I156">
            <v>4034.0899999999997</v>
          </cell>
          <cell r="J156">
            <v>4.71</v>
          </cell>
          <cell r="K156">
            <v>3.7680000000000002</v>
          </cell>
          <cell r="L156">
            <v>410.71200000000005</v>
          </cell>
          <cell r="M156">
            <v>4586.5019999999995</v>
          </cell>
          <cell r="N156">
            <v>18.492000000000004</v>
          </cell>
          <cell r="O156">
            <v>2015.6280000000006</v>
          </cell>
          <cell r="P156">
            <v>30.529965329370985</v>
          </cell>
        </row>
        <row r="157">
          <cell r="B157" t="str">
            <v>70-519</v>
          </cell>
          <cell r="C157">
            <v>60.570000000000007</v>
          </cell>
          <cell r="D157">
            <v>43</v>
          </cell>
          <cell r="E157">
            <v>2604.5100000000002</v>
          </cell>
          <cell r="F157">
            <v>1.3</v>
          </cell>
          <cell r="G157">
            <v>55.9</v>
          </cell>
          <cell r="H157">
            <v>28.94</v>
          </cell>
          <cell r="I157">
            <v>1244.42</v>
          </cell>
          <cell r="J157">
            <v>6.01</v>
          </cell>
          <cell r="K157">
            <v>4.8079999999999998</v>
          </cell>
          <cell r="L157">
            <v>206.744</v>
          </cell>
          <cell r="M157">
            <v>1507.0640000000001</v>
          </cell>
          <cell r="N157">
            <v>25.522000000000002</v>
          </cell>
          <cell r="O157">
            <v>1097.4460000000001</v>
          </cell>
          <cell r="P157">
            <v>42.136371140828793</v>
          </cell>
        </row>
        <row r="158">
          <cell r="B158" t="str">
            <v>70-591</v>
          </cell>
          <cell r="C158">
            <v>60.569999999999993</v>
          </cell>
          <cell r="D158">
            <v>35</v>
          </cell>
          <cell r="E158">
            <v>2119.9499999999998</v>
          </cell>
          <cell r="F158">
            <v>1.3</v>
          </cell>
          <cell r="G158">
            <v>45.5</v>
          </cell>
          <cell r="H158">
            <v>29.32</v>
          </cell>
          <cell r="I158">
            <v>1026.2</v>
          </cell>
          <cell r="J158">
            <v>4.7099999999999991</v>
          </cell>
          <cell r="K158">
            <v>3.7679999999999998</v>
          </cell>
          <cell r="L158">
            <v>131.88</v>
          </cell>
          <cell r="M158">
            <v>1203.58</v>
          </cell>
          <cell r="N158">
            <v>26.181999999999999</v>
          </cell>
          <cell r="O158">
            <v>916.36999999999989</v>
          </cell>
          <cell r="P158">
            <v>43.22601948159155</v>
          </cell>
        </row>
        <row r="159">
          <cell r="B159" t="str">
            <v>70-593</v>
          </cell>
          <cell r="C159">
            <v>60.569999999999993</v>
          </cell>
          <cell r="D159">
            <v>117</v>
          </cell>
          <cell r="E159">
            <v>7086.69</v>
          </cell>
          <cell r="F159">
            <v>1.3</v>
          </cell>
          <cell r="G159">
            <v>152.1</v>
          </cell>
          <cell r="H159">
            <v>50.31</v>
          </cell>
          <cell r="I159">
            <v>5886.27</v>
          </cell>
          <cell r="J159">
            <v>4.5599999999999996</v>
          </cell>
          <cell r="K159">
            <v>3.6479999999999997</v>
          </cell>
          <cell r="L159">
            <v>426.81599999999997</v>
          </cell>
          <cell r="M159">
            <v>6465.1860000000006</v>
          </cell>
          <cell r="N159">
            <v>5.3119999999999914</v>
          </cell>
          <cell r="O159">
            <v>621.503999999999</v>
          </cell>
          <cell r="P159">
            <v>8.770018160805666</v>
          </cell>
        </row>
        <row r="160">
          <cell r="B160" t="str">
            <v>70-633</v>
          </cell>
          <cell r="C160">
            <v>60.57</v>
          </cell>
          <cell r="D160">
            <v>34</v>
          </cell>
          <cell r="E160">
            <v>2059.38</v>
          </cell>
          <cell r="F160">
            <v>1.3</v>
          </cell>
          <cell r="G160">
            <v>44.2</v>
          </cell>
          <cell r="H160">
            <v>39</v>
          </cell>
          <cell r="I160">
            <v>1326</v>
          </cell>
          <cell r="J160">
            <v>4.7399999999999993</v>
          </cell>
          <cell r="K160">
            <v>3.7919999999999998</v>
          </cell>
          <cell r="L160">
            <v>128.928</v>
          </cell>
          <cell r="M160">
            <v>1499.1279999999999</v>
          </cell>
          <cell r="N160">
            <v>16.478000000000005</v>
          </cell>
          <cell r="O160">
            <v>560.25200000000018</v>
          </cell>
          <cell r="P160">
            <v>27.204886907710097</v>
          </cell>
        </row>
        <row r="161">
          <cell r="B161" t="str">
            <v>70-649</v>
          </cell>
          <cell r="C161">
            <v>60.569999999999993</v>
          </cell>
          <cell r="D161">
            <v>92</v>
          </cell>
          <cell r="E161">
            <v>5572.44</v>
          </cell>
          <cell r="F161">
            <v>1.3</v>
          </cell>
          <cell r="G161">
            <v>119.60000000000001</v>
          </cell>
          <cell r="H161">
            <v>122.12</v>
          </cell>
          <cell r="I161">
            <v>11235.04</v>
          </cell>
          <cell r="J161">
            <v>6.2000000000000011</v>
          </cell>
          <cell r="K161">
            <v>4.9600000000000009</v>
          </cell>
          <cell r="L161">
            <v>456.32000000000005</v>
          </cell>
          <cell r="M161">
            <v>11810.960000000001</v>
          </cell>
          <cell r="N161">
            <v>-67.810000000000016</v>
          </cell>
          <cell r="O161">
            <v>-6238.5200000000013</v>
          </cell>
          <cell r="P161">
            <v>-111.95311210170055</v>
          </cell>
        </row>
        <row r="162">
          <cell r="B162" t="str">
            <v>70-651</v>
          </cell>
          <cell r="C162">
            <v>60.57</v>
          </cell>
          <cell r="D162">
            <v>255</v>
          </cell>
          <cell r="E162">
            <v>15445.35</v>
          </cell>
          <cell r="F162">
            <v>1.3</v>
          </cell>
          <cell r="G162">
            <v>331.5</v>
          </cell>
          <cell r="H162">
            <v>73.2</v>
          </cell>
          <cell r="I162">
            <v>18666</v>
          </cell>
          <cell r="J162">
            <v>5.3</v>
          </cell>
          <cell r="K162">
            <v>4.24</v>
          </cell>
          <cell r="L162">
            <v>1081.2</v>
          </cell>
          <cell r="M162">
            <v>20078.7</v>
          </cell>
          <cell r="N162">
            <v>-18.170000000000002</v>
          </cell>
          <cell r="O162">
            <v>-4633.3500000000004</v>
          </cell>
          <cell r="P162">
            <v>-29.998349017665515</v>
          </cell>
        </row>
        <row r="163">
          <cell r="B163" t="str">
            <v>70-652</v>
          </cell>
          <cell r="C163">
            <v>60.57</v>
          </cell>
          <cell r="D163">
            <v>29</v>
          </cell>
          <cell r="E163">
            <v>1756.53</v>
          </cell>
          <cell r="F163">
            <v>1.3</v>
          </cell>
          <cell r="G163">
            <v>37.700000000000003</v>
          </cell>
          <cell r="H163">
            <v>50.62</v>
          </cell>
          <cell r="I163">
            <v>1467.98</v>
          </cell>
          <cell r="J163">
            <v>4.7</v>
          </cell>
          <cell r="K163">
            <v>3.7600000000000002</v>
          </cell>
          <cell r="L163">
            <v>109.04</v>
          </cell>
          <cell r="M163">
            <v>1614.72</v>
          </cell>
          <cell r="N163">
            <v>4.8899999999999979</v>
          </cell>
          <cell r="O163">
            <v>141.80999999999995</v>
          </cell>
          <cell r="P163">
            <v>8.0733036156513087</v>
          </cell>
        </row>
        <row r="164">
          <cell r="B164" t="str">
            <v>70-669</v>
          </cell>
          <cell r="C164">
            <v>60.57</v>
          </cell>
          <cell r="D164">
            <v>145</v>
          </cell>
          <cell r="E164">
            <v>8782.65</v>
          </cell>
          <cell r="F164">
            <v>1.3</v>
          </cell>
          <cell r="G164">
            <v>188.5</v>
          </cell>
          <cell r="H164">
            <v>60.47</v>
          </cell>
          <cell r="I164">
            <v>8768.15</v>
          </cell>
          <cell r="J164">
            <v>4.9000000000000004</v>
          </cell>
          <cell r="K164">
            <v>3.9200000000000008</v>
          </cell>
          <cell r="L164">
            <v>568.40000000000009</v>
          </cell>
          <cell r="M164">
            <v>9525.0499999999993</v>
          </cell>
          <cell r="N164">
            <v>-5.1199999999999974</v>
          </cell>
          <cell r="O164">
            <v>-742.39999999999964</v>
          </cell>
          <cell r="P164">
            <v>-8.453029552583784</v>
          </cell>
        </row>
        <row r="165">
          <cell r="B165" t="str">
            <v>70-705</v>
          </cell>
          <cell r="C165">
            <v>60.570000000000007</v>
          </cell>
          <cell r="D165">
            <v>86</v>
          </cell>
          <cell r="E165">
            <v>5209.0200000000004</v>
          </cell>
          <cell r="F165">
            <v>1.3</v>
          </cell>
          <cell r="G165">
            <v>111.8</v>
          </cell>
          <cell r="H165">
            <v>121.74</v>
          </cell>
          <cell r="I165">
            <v>10469.64</v>
          </cell>
          <cell r="J165">
            <v>5.5199999999999987</v>
          </cell>
          <cell r="K165">
            <v>4.4159999999999995</v>
          </cell>
          <cell r="L165">
            <v>379.77599999999995</v>
          </cell>
          <cell r="M165">
            <v>10961.215999999999</v>
          </cell>
          <cell r="N165">
            <v>-66.885999999999981</v>
          </cell>
          <cell r="O165">
            <v>-5752.1959999999981</v>
          </cell>
          <cell r="P165">
            <v>-110.42760442463262</v>
          </cell>
        </row>
        <row r="166">
          <cell r="B166" t="str">
            <v>70U463</v>
          </cell>
          <cell r="C166">
            <v>60.569999999999993</v>
          </cell>
          <cell r="D166">
            <v>38</v>
          </cell>
          <cell r="E166">
            <v>2301.66</v>
          </cell>
          <cell r="F166">
            <v>1.3</v>
          </cell>
          <cell r="G166">
            <v>49.4</v>
          </cell>
          <cell r="H166">
            <v>40</v>
          </cell>
          <cell r="I166">
            <v>1520</v>
          </cell>
          <cell r="J166">
            <v>7</v>
          </cell>
          <cell r="K166">
            <v>5.6000000000000005</v>
          </cell>
          <cell r="L166">
            <v>212.8</v>
          </cell>
          <cell r="M166">
            <v>1782.2</v>
          </cell>
          <cell r="N166">
            <v>13.669999999999995</v>
          </cell>
          <cell r="O166">
            <v>519.45999999999981</v>
          </cell>
          <cell r="P166">
            <v>22.568928512464911</v>
          </cell>
        </row>
        <row r="167">
          <cell r="B167" t="str">
            <v>79X194</v>
          </cell>
          <cell r="C167">
            <v>60.57</v>
          </cell>
          <cell r="D167">
            <v>68</v>
          </cell>
          <cell r="E167">
            <v>4118.76</v>
          </cell>
          <cell r="F167">
            <v>1.3</v>
          </cell>
          <cell r="G167">
            <v>88.4</v>
          </cell>
          <cell r="H167">
            <v>32.299999999999997</v>
          </cell>
          <cell r="I167">
            <v>2196.3999999999996</v>
          </cell>
          <cell r="J167">
            <v>4.7099999999999991</v>
          </cell>
          <cell r="K167">
            <v>3.7679999999999998</v>
          </cell>
          <cell r="L167">
            <v>256.22399999999999</v>
          </cell>
          <cell r="M167">
            <v>2541.0239999999999</v>
          </cell>
          <cell r="N167">
            <v>23.202000000000005</v>
          </cell>
          <cell r="O167">
            <v>1577.7360000000003</v>
          </cell>
          <cell r="P167">
            <v>38.306092124814271</v>
          </cell>
        </row>
        <row r="168">
          <cell r="B168" t="str">
            <v>79X200</v>
          </cell>
          <cell r="C168">
            <v>60.57</v>
          </cell>
          <cell r="D168">
            <v>96</v>
          </cell>
          <cell r="E168">
            <v>5814.72</v>
          </cell>
          <cell r="F168">
            <v>1.3</v>
          </cell>
          <cell r="G168">
            <v>124.80000000000001</v>
          </cell>
          <cell r="H168">
            <v>45.07</v>
          </cell>
          <cell r="I168">
            <v>4326.72</v>
          </cell>
          <cell r="J168">
            <v>4.49</v>
          </cell>
          <cell r="K168">
            <v>3.5920000000000005</v>
          </cell>
          <cell r="L168">
            <v>344.83200000000005</v>
          </cell>
          <cell r="M168">
            <v>4796.3520000000008</v>
          </cell>
          <cell r="N168">
            <v>10.607999999999995</v>
          </cell>
          <cell r="O168">
            <v>1018.3679999999995</v>
          </cell>
          <cell r="P168">
            <v>17.513620604259529</v>
          </cell>
        </row>
        <row r="169">
          <cell r="B169" t="str">
            <v>79X481</v>
          </cell>
          <cell r="C169">
            <v>60.569999999999993</v>
          </cell>
          <cell r="D169">
            <v>23</v>
          </cell>
          <cell r="E169">
            <v>1393.11</v>
          </cell>
          <cell r="F169">
            <v>1.3</v>
          </cell>
          <cell r="G169">
            <v>29.900000000000002</v>
          </cell>
          <cell r="H169">
            <v>31.793299999999999</v>
          </cell>
          <cell r="I169">
            <v>731.24590000000001</v>
          </cell>
          <cell r="J169">
            <v>3.5700000000000003</v>
          </cell>
          <cell r="K169">
            <v>2.8560000000000003</v>
          </cell>
          <cell r="L169">
            <v>65.688000000000002</v>
          </cell>
          <cell r="M169">
            <v>826.83389999999997</v>
          </cell>
          <cell r="N169">
            <v>24.620699999999996</v>
          </cell>
          <cell r="O169">
            <v>566.27609999999993</v>
          </cell>
          <cell r="P169">
            <v>40.64834076275384</v>
          </cell>
        </row>
        <row r="170">
          <cell r="B170" t="str">
            <v>79X484</v>
          </cell>
          <cell r="C170">
            <v>60.57</v>
          </cell>
          <cell r="D170">
            <v>41</v>
          </cell>
          <cell r="E170">
            <v>2483.37</v>
          </cell>
          <cell r="F170">
            <v>1.3</v>
          </cell>
          <cell r="G170">
            <v>53.300000000000004</v>
          </cell>
          <cell r="H170">
            <v>37.037599999999998</v>
          </cell>
          <cell r="I170">
            <v>1518.5416</v>
          </cell>
          <cell r="J170">
            <v>3.6</v>
          </cell>
          <cell r="K170">
            <v>2.8800000000000003</v>
          </cell>
          <cell r="L170">
            <v>118.08000000000001</v>
          </cell>
          <cell r="M170">
            <v>1689.9215999999999</v>
          </cell>
          <cell r="N170">
            <v>19.352399999999999</v>
          </cell>
          <cell r="O170">
            <v>793.44839999999999</v>
          </cell>
          <cell r="P170">
            <v>31.95047052996533</v>
          </cell>
        </row>
        <row r="171">
          <cell r="B171" t="str">
            <v>N23-004</v>
          </cell>
          <cell r="C171">
            <v>60.57</v>
          </cell>
          <cell r="D171">
            <v>25</v>
          </cell>
          <cell r="E171">
            <v>1514.25</v>
          </cell>
          <cell r="F171">
            <v>1.3</v>
          </cell>
          <cell r="G171">
            <v>32.5</v>
          </cell>
          <cell r="H171">
            <v>26.22</v>
          </cell>
          <cell r="I171">
            <v>655.5</v>
          </cell>
          <cell r="J171">
            <v>4.25</v>
          </cell>
          <cell r="K171">
            <v>3.4000000000000004</v>
          </cell>
          <cell r="L171">
            <v>85.000000000000014</v>
          </cell>
          <cell r="M171">
            <v>773</v>
          </cell>
          <cell r="N171">
            <v>29.65</v>
          </cell>
          <cell r="O171">
            <v>741.25</v>
          </cell>
          <cell r="P171">
            <v>48.951626217599468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s>
    <sheetDataSet>
      <sheetData sheetId="0" refreshError="1"/>
      <sheetData sheetId="1">
        <row r="137">
          <cell r="B137" t="str">
            <v>205-827</v>
          </cell>
          <cell r="C137">
            <v>115.77611111111111</v>
          </cell>
          <cell r="D137">
            <v>36</v>
          </cell>
          <cell r="E137">
            <v>4167.9399999999996</v>
          </cell>
          <cell r="F137">
            <v>1.3</v>
          </cell>
          <cell r="G137">
            <v>46.800000000000004</v>
          </cell>
          <cell r="H137">
            <v>92.8</v>
          </cell>
          <cell r="I137">
            <v>3340.7999999999997</v>
          </cell>
          <cell r="J137">
            <v>13.91</v>
          </cell>
          <cell r="K137">
            <v>11.128</v>
          </cell>
          <cell r="L137">
            <v>400.608</v>
          </cell>
          <cell r="M137">
            <v>3788.2080000000001</v>
          </cell>
          <cell r="N137">
            <v>10.548111111111098</v>
          </cell>
          <cell r="O137">
            <v>379.73199999999952</v>
          </cell>
          <cell r="P137">
            <v>9.1107837444876729</v>
          </cell>
        </row>
        <row r="138">
          <cell r="B138" t="str">
            <v>206-164</v>
          </cell>
          <cell r="C138">
            <v>94.320000000000007</v>
          </cell>
          <cell r="D138">
            <v>7</v>
          </cell>
          <cell r="E138">
            <v>660.24</v>
          </cell>
          <cell r="F138">
            <v>1.3</v>
          </cell>
          <cell r="G138">
            <v>9.1</v>
          </cell>
          <cell r="H138">
            <v>116.67</v>
          </cell>
          <cell r="I138">
            <v>816.69</v>
          </cell>
          <cell r="J138">
            <v>16</v>
          </cell>
          <cell r="K138">
            <v>12.8</v>
          </cell>
          <cell r="L138">
            <v>89.600000000000009</v>
          </cell>
          <cell r="M138">
            <v>915.3900000000001</v>
          </cell>
          <cell r="N138">
            <v>-36.45000000000001</v>
          </cell>
          <cell r="O138">
            <v>-255.15000000000009</v>
          </cell>
          <cell r="P138">
            <v>-38.645038167938935</v>
          </cell>
        </row>
        <row r="139">
          <cell r="B139" t="str">
            <v>209A340</v>
          </cell>
          <cell r="C139">
            <v>51.477272727272727</v>
          </cell>
          <cell r="D139">
            <v>11</v>
          </cell>
          <cell r="E139">
            <v>566.25</v>
          </cell>
          <cell r="F139">
            <v>1.3</v>
          </cell>
          <cell r="G139">
            <v>14.3</v>
          </cell>
          <cell r="H139">
            <v>92.74</v>
          </cell>
          <cell r="I139">
            <v>1020.14</v>
          </cell>
          <cell r="J139">
            <v>13</v>
          </cell>
          <cell r="K139">
            <v>10.4</v>
          </cell>
          <cell r="L139">
            <v>114.4</v>
          </cell>
          <cell r="M139">
            <v>1148.8399999999999</v>
          </cell>
          <cell r="N139">
            <v>-52.962727272727264</v>
          </cell>
          <cell r="O139">
            <v>-582.58999999999992</v>
          </cell>
          <cell r="P139">
            <v>-102.88565121412803</v>
          </cell>
        </row>
        <row r="140">
          <cell r="B140" t="str">
            <v>237L063</v>
          </cell>
          <cell r="C140">
            <v>41.783333333333331</v>
          </cell>
          <cell r="D140">
            <v>3</v>
          </cell>
          <cell r="E140">
            <v>125.35</v>
          </cell>
          <cell r="F140">
            <v>1.3</v>
          </cell>
          <cell r="G140">
            <v>3.9000000000000004</v>
          </cell>
          <cell r="H140">
            <v>119.52</v>
          </cell>
          <cell r="I140">
            <v>358.56</v>
          </cell>
          <cell r="J140">
            <v>12.97</v>
          </cell>
          <cell r="K140">
            <v>10.376000000000001</v>
          </cell>
          <cell r="L140">
            <v>31.128000000000004</v>
          </cell>
          <cell r="M140">
            <v>393.58799999999997</v>
          </cell>
          <cell r="N140">
            <v>-89.412666666666652</v>
          </cell>
          <cell r="O140">
            <v>-268.23799999999994</v>
          </cell>
          <cell r="P140">
            <v>-213.9912245712006</v>
          </cell>
        </row>
        <row r="141">
          <cell r="B141" t="str">
            <v>70-683</v>
          </cell>
          <cell r="C141">
            <v>62.719799999999992</v>
          </cell>
          <cell r="D141">
            <v>50</v>
          </cell>
          <cell r="E141">
            <v>3135.99</v>
          </cell>
          <cell r="F141">
            <v>1.3</v>
          </cell>
          <cell r="G141">
            <v>65</v>
          </cell>
          <cell r="H141">
            <v>47.8</v>
          </cell>
          <cell r="I141">
            <v>2390</v>
          </cell>
          <cell r="J141">
            <v>5.2</v>
          </cell>
          <cell r="K141">
            <v>4.16</v>
          </cell>
          <cell r="L141">
            <v>208</v>
          </cell>
          <cell r="M141">
            <v>2663</v>
          </cell>
          <cell r="N141">
            <v>9.459799999999996</v>
          </cell>
          <cell r="O141">
            <v>472.98999999999978</v>
          </cell>
          <cell r="P141">
            <v>15.082637380858991</v>
          </cell>
        </row>
        <row r="142">
          <cell r="B142" t="str">
            <v>751-417</v>
          </cell>
          <cell r="C142">
            <v>31.935502958579885</v>
          </cell>
          <cell r="D142">
            <v>169</v>
          </cell>
          <cell r="E142">
            <v>5397.1</v>
          </cell>
          <cell r="F142">
            <v>1.3</v>
          </cell>
          <cell r="G142">
            <v>219.70000000000002</v>
          </cell>
          <cell r="H142">
            <v>43.052900000000001</v>
          </cell>
          <cell r="I142">
            <v>7275.9400999999998</v>
          </cell>
          <cell r="J142">
            <v>4.75</v>
          </cell>
          <cell r="K142">
            <v>3.8000000000000003</v>
          </cell>
          <cell r="L142">
            <v>642.20000000000005</v>
          </cell>
          <cell r="M142">
            <v>8137.8400999999994</v>
          </cell>
          <cell r="N142">
            <v>-16.217397041420114</v>
          </cell>
          <cell r="O142">
            <v>-2740.7400999999991</v>
          </cell>
          <cell r="P142">
            <v>-50.781717959644979</v>
          </cell>
        </row>
        <row r="146">
          <cell r="B146" t="str">
            <v>200L639</v>
          </cell>
          <cell r="C146">
            <v>39.299999999999997</v>
          </cell>
          <cell r="D146">
            <v>2</v>
          </cell>
          <cell r="E146">
            <v>78.599999999999994</v>
          </cell>
          <cell r="F146">
            <v>1.3</v>
          </cell>
          <cell r="G146">
            <v>2.6</v>
          </cell>
          <cell r="H146">
            <v>0</v>
          </cell>
          <cell r="I146">
            <v>0</v>
          </cell>
          <cell r="J146">
            <v>0</v>
          </cell>
          <cell r="K146">
            <v>0</v>
          </cell>
          <cell r="L146">
            <v>0</v>
          </cell>
          <cell r="M146">
            <v>2.6</v>
          </cell>
          <cell r="N146">
            <v>38</v>
          </cell>
          <cell r="O146">
            <v>76</v>
          </cell>
          <cell r="P146">
            <v>96.692111959287544</v>
          </cell>
        </row>
        <row r="147">
          <cell r="B147" t="str">
            <v>200L828</v>
          </cell>
          <cell r="C147">
            <v>39.299999999999997</v>
          </cell>
          <cell r="D147">
            <v>30</v>
          </cell>
          <cell r="E147">
            <v>1179</v>
          </cell>
          <cell r="F147">
            <v>1.3</v>
          </cell>
          <cell r="G147">
            <v>39</v>
          </cell>
          <cell r="H147">
            <v>0</v>
          </cell>
          <cell r="I147">
            <v>0</v>
          </cell>
          <cell r="J147">
            <v>0</v>
          </cell>
          <cell r="K147">
            <v>0</v>
          </cell>
          <cell r="L147">
            <v>0</v>
          </cell>
          <cell r="M147">
            <v>39</v>
          </cell>
          <cell r="N147">
            <v>38</v>
          </cell>
          <cell r="O147">
            <v>1140</v>
          </cell>
          <cell r="P147">
            <v>96.692111959287544</v>
          </cell>
        </row>
        <row r="148">
          <cell r="B148" t="str">
            <v>201D984</v>
          </cell>
          <cell r="C148">
            <v>39.299999999999997</v>
          </cell>
          <cell r="D148">
            <v>1</v>
          </cell>
          <cell r="E148">
            <v>39.299999999999997</v>
          </cell>
          <cell r="F148">
            <v>1.3</v>
          </cell>
          <cell r="G148">
            <v>1.3</v>
          </cell>
          <cell r="H148">
            <v>48.198</v>
          </cell>
          <cell r="I148">
            <v>48.198</v>
          </cell>
          <cell r="J148">
            <v>7.9</v>
          </cell>
          <cell r="K148">
            <v>6.32</v>
          </cell>
          <cell r="L148">
            <v>6.32</v>
          </cell>
          <cell r="M148">
            <v>55.817999999999998</v>
          </cell>
          <cell r="N148">
            <v>-16.518000000000001</v>
          </cell>
          <cell r="O148">
            <v>-16.518000000000001</v>
          </cell>
          <cell r="P148">
            <v>-42.030534351145043</v>
          </cell>
        </row>
        <row r="149">
          <cell r="B149" t="str">
            <v>201L252</v>
          </cell>
          <cell r="C149">
            <v>39.299999999999997</v>
          </cell>
          <cell r="D149">
            <v>46</v>
          </cell>
          <cell r="E149">
            <v>1807.8</v>
          </cell>
          <cell r="F149">
            <v>1.3</v>
          </cell>
          <cell r="G149">
            <v>59.800000000000004</v>
          </cell>
          <cell r="H149">
            <v>0</v>
          </cell>
          <cell r="I149">
            <v>0</v>
          </cell>
          <cell r="J149">
            <v>0</v>
          </cell>
          <cell r="K149">
            <v>0</v>
          </cell>
          <cell r="L149">
            <v>0</v>
          </cell>
          <cell r="M149">
            <v>59.800000000000004</v>
          </cell>
          <cell r="N149">
            <v>38</v>
          </cell>
          <cell r="O149">
            <v>1748</v>
          </cell>
          <cell r="P149">
            <v>96.692111959287544</v>
          </cell>
        </row>
        <row r="150">
          <cell r="B150" t="str">
            <v>201L253</v>
          </cell>
          <cell r="C150">
            <v>39.299999999999997</v>
          </cell>
          <cell r="D150">
            <v>2</v>
          </cell>
          <cell r="E150">
            <v>78.599999999999994</v>
          </cell>
          <cell r="F150">
            <v>1.3</v>
          </cell>
          <cell r="G150">
            <v>2.6</v>
          </cell>
          <cell r="H150">
            <v>0</v>
          </cell>
          <cell r="I150">
            <v>0</v>
          </cell>
          <cell r="J150">
            <v>0</v>
          </cell>
          <cell r="K150">
            <v>0</v>
          </cell>
          <cell r="L150">
            <v>0</v>
          </cell>
          <cell r="M150">
            <v>2.6</v>
          </cell>
          <cell r="N150">
            <v>38</v>
          </cell>
          <cell r="O150">
            <v>76</v>
          </cell>
          <cell r="P150">
            <v>96.692111959287544</v>
          </cell>
        </row>
        <row r="151">
          <cell r="B151" t="str">
            <v>201L600</v>
          </cell>
          <cell r="C151">
            <v>94.938285714285712</v>
          </cell>
          <cell r="D151">
            <v>35</v>
          </cell>
          <cell r="E151">
            <v>3322.84</v>
          </cell>
          <cell r="F151">
            <v>1.3</v>
          </cell>
          <cell r="G151">
            <v>45.5</v>
          </cell>
          <cell r="H151">
            <v>47.07</v>
          </cell>
          <cell r="I151">
            <v>1647.45</v>
          </cell>
          <cell r="J151">
            <v>8.9600000000000009</v>
          </cell>
          <cell r="K151">
            <v>7.168000000000001</v>
          </cell>
          <cell r="L151">
            <v>250.88000000000002</v>
          </cell>
          <cell r="M151">
            <v>1943.8300000000002</v>
          </cell>
          <cell r="N151">
            <v>39.400285714285715</v>
          </cell>
          <cell r="O151">
            <v>1379.01</v>
          </cell>
          <cell r="P151">
            <v>41.500944974780616</v>
          </cell>
        </row>
        <row r="152">
          <cell r="B152" t="str">
            <v>201L751</v>
          </cell>
          <cell r="C152">
            <v>39.299999999999997</v>
          </cell>
          <cell r="D152">
            <v>90</v>
          </cell>
          <cell r="E152">
            <v>3537</v>
          </cell>
          <cell r="F152">
            <v>1.3</v>
          </cell>
          <cell r="G152">
            <v>117</v>
          </cell>
          <cell r="H152">
            <v>0</v>
          </cell>
          <cell r="I152">
            <v>0</v>
          </cell>
          <cell r="J152">
            <v>0</v>
          </cell>
          <cell r="K152">
            <v>0</v>
          </cell>
          <cell r="L152">
            <v>0</v>
          </cell>
          <cell r="M152">
            <v>117</v>
          </cell>
          <cell r="N152">
            <v>38</v>
          </cell>
          <cell r="O152">
            <v>3420</v>
          </cell>
          <cell r="P152">
            <v>96.692111959287544</v>
          </cell>
        </row>
        <row r="153">
          <cell r="B153" t="str">
            <v>201L912</v>
          </cell>
          <cell r="C153">
            <v>39.299999999999997</v>
          </cell>
          <cell r="D153">
            <v>336</v>
          </cell>
          <cell r="E153">
            <v>13204.8</v>
          </cell>
          <cell r="F153">
            <v>1.3</v>
          </cell>
          <cell r="G153">
            <v>436.8</v>
          </cell>
          <cell r="H153">
            <v>0</v>
          </cell>
          <cell r="I153">
            <v>0</v>
          </cell>
          <cell r="J153">
            <v>0</v>
          </cell>
          <cell r="K153">
            <v>0</v>
          </cell>
          <cell r="L153">
            <v>0</v>
          </cell>
          <cell r="M153">
            <v>436.8</v>
          </cell>
          <cell r="N153">
            <v>38</v>
          </cell>
          <cell r="O153">
            <v>12768</v>
          </cell>
          <cell r="P153">
            <v>96.692111959287544</v>
          </cell>
        </row>
        <row r="154">
          <cell r="B154" t="str">
            <v>202L400</v>
          </cell>
          <cell r="C154">
            <v>39.299999999999997</v>
          </cell>
          <cell r="D154">
            <v>4</v>
          </cell>
          <cell r="E154">
            <v>157.19999999999999</v>
          </cell>
          <cell r="F154">
            <v>1.3</v>
          </cell>
          <cell r="G154">
            <v>5.2</v>
          </cell>
          <cell r="H154">
            <v>0</v>
          </cell>
          <cell r="I154">
            <v>0</v>
          </cell>
          <cell r="J154">
            <v>0</v>
          </cell>
          <cell r="K154">
            <v>0</v>
          </cell>
          <cell r="L154">
            <v>0</v>
          </cell>
          <cell r="M154">
            <v>5.2</v>
          </cell>
          <cell r="N154">
            <v>38</v>
          </cell>
          <cell r="O154">
            <v>152</v>
          </cell>
          <cell r="P154">
            <v>96.692111959287544</v>
          </cell>
        </row>
        <row r="155">
          <cell r="B155" t="str">
            <v>202L460</v>
          </cell>
          <cell r="C155">
            <v>39.299999999999997</v>
          </cell>
          <cell r="D155">
            <v>1</v>
          </cell>
          <cell r="E155">
            <v>39.299999999999997</v>
          </cell>
          <cell r="F155">
            <v>1.3</v>
          </cell>
          <cell r="G155">
            <v>1.3</v>
          </cell>
          <cell r="H155">
            <v>0</v>
          </cell>
          <cell r="I155">
            <v>0</v>
          </cell>
          <cell r="J155">
            <v>0</v>
          </cell>
          <cell r="K155">
            <v>0</v>
          </cell>
          <cell r="L155">
            <v>0</v>
          </cell>
          <cell r="M155">
            <v>1.3</v>
          </cell>
          <cell r="N155">
            <v>38</v>
          </cell>
          <cell r="O155">
            <v>38</v>
          </cell>
          <cell r="P155">
            <v>96.692111959287544</v>
          </cell>
        </row>
        <row r="156">
          <cell r="B156" t="str">
            <v>202L463</v>
          </cell>
          <cell r="C156">
            <v>39.299999999999997</v>
          </cell>
          <cell r="D156">
            <v>15</v>
          </cell>
          <cell r="E156">
            <v>589.5</v>
          </cell>
          <cell r="F156">
            <v>1.3</v>
          </cell>
          <cell r="G156">
            <v>19.5</v>
          </cell>
          <cell r="H156">
            <v>0</v>
          </cell>
          <cell r="I156">
            <v>0</v>
          </cell>
          <cell r="J156">
            <v>0</v>
          </cell>
          <cell r="K156">
            <v>0</v>
          </cell>
          <cell r="L156">
            <v>0</v>
          </cell>
          <cell r="M156">
            <v>19.5</v>
          </cell>
          <cell r="N156">
            <v>38</v>
          </cell>
          <cell r="O156">
            <v>570</v>
          </cell>
          <cell r="P156">
            <v>96.692111959287544</v>
          </cell>
        </row>
        <row r="157">
          <cell r="B157" t="str">
            <v>202L472</v>
          </cell>
          <cell r="C157">
            <v>39.299999999999997</v>
          </cell>
          <cell r="D157">
            <v>2</v>
          </cell>
          <cell r="E157">
            <v>78.599999999999994</v>
          </cell>
          <cell r="F157">
            <v>1.3</v>
          </cell>
          <cell r="G157">
            <v>2.6</v>
          </cell>
          <cell r="H157">
            <v>0</v>
          </cell>
          <cell r="I157">
            <v>0</v>
          </cell>
          <cell r="J157">
            <v>0</v>
          </cell>
          <cell r="K157">
            <v>0</v>
          </cell>
          <cell r="L157">
            <v>0</v>
          </cell>
          <cell r="M157">
            <v>2.6</v>
          </cell>
          <cell r="N157">
            <v>38</v>
          </cell>
          <cell r="O157">
            <v>76</v>
          </cell>
          <cell r="P157">
            <v>96.692111959287544</v>
          </cell>
        </row>
        <row r="158">
          <cell r="B158" t="str">
            <v>202L474</v>
          </cell>
          <cell r="C158">
            <v>39.299999999999997</v>
          </cell>
          <cell r="D158">
            <v>30</v>
          </cell>
          <cell r="E158">
            <v>1179</v>
          </cell>
          <cell r="F158">
            <v>1.3</v>
          </cell>
          <cell r="G158">
            <v>39</v>
          </cell>
          <cell r="H158">
            <v>82.129999999999981</v>
          </cell>
          <cell r="I158">
            <v>2463.8999999999996</v>
          </cell>
          <cell r="J158">
            <v>10.050000000000001</v>
          </cell>
          <cell r="K158">
            <v>8.0400000000000009</v>
          </cell>
          <cell r="L158">
            <v>241.20000000000002</v>
          </cell>
          <cell r="M158">
            <v>2744.0999999999995</v>
          </cell>
          <cell r="N158">
            <v>-52.16999999999998</v>
          </cell>
          <cell r="O158">
            <v>-1565.0999999999995</v>
          </cell>
          <cell r="P158">
            <v>-132.74809160305338</v>
          </cell>
        </row>
        <row r="159">
          <cell r="B159" t="str">
            <v>202L475</v>
          </cell>
          <cell r="C159">
            <v>39.300000000000004</v>
          </cell>
          <cell r="D159">
            <v>6</v>
          </cell>
          <cell r="E159">
            <v>235.8</v>
          </cell>
          <cell r="F159">
            <v>1.3</v>
          </cell>
          <cell r="G159">
            <v>7.8000000000000007</v>
          </cell>
          <cell r="H159">
            <v>0</v>
          </cell>
          <cell r="I159">
            <v>0</v>
          </cell>
          <cell r="J159">
            <v>0</v>
          </cell>
          <cell r="K159">
            <v>0</v>
          </cell>
          <cell r="L159">
            <v>0</v>
          </cell>
          <cell r="M159">
            <v>7.8000000000000007</v>
          </cell>
          <cell r="N159">
            <v>38</v>
          </cell>
          <cell r="O159">
            <v>228</v>
          </cell>
          <cell r="P159">
            <v>96.692111959287516</v>
          </cell>
        </row>
        <row r="160">
          <cell r="B160" t="str">
            <v>202L490</v>
          </cell>
          <cell r="C160">
            <v>39.300000000000004</v>
          </cell>
          <cell r="D160">
            <v>111</v>
          </cell>
          <cell r="E160">
            <v>4362.3</v>
          </cell>
          <cell r="F160">
            <v>1.3</v>
          </cell>
          <cell r="G160">
            <v>144.30000000000001</v>
          </cell>
          <cell r="H160">
            <v>0</v>
          </cell>
          <cell r="I160">
            <v>0</v>
          </cell>
          <cell r="J160">
            <v>0</v>
          </cell>
          <cell r="K160">
            <v>0</v>
          </cell>
          <cell r="L160">
            <v>0</v>
          </cell>
          <cell r="M160">
            <v>144.30000000000001</v>
          </cell>
          <cell r="N160">
            <v>38</v>
          </cell>
          <cell r="O160">
            <v>4218</v>
          </cell>
          <cell r="P160">
            <v>96.692111959287516</v>
          </cell>
        </row>
        <row r="161">
          <cell r="B161" t="str">
            <v>202L507</v>
          </cell>
          <cell r="C161">
            <v>39.300000000000004</v>
          </cell>
          <cell r="D161">
            <v>17</v>
          </cell>
          <cell r="E161">
            <v>668.1</v>
          </cell>
          <cell r="F161">
            <v>1.3</v>
          </cell>
          <cell r="G161">
            <v>22.1</v>
          </cell>
          <cell r="H161">
            <v>0</v>
          </cell>
          <cell r="I161">
            <v>0</v>
          </cell>
          <cell r="J161">
            <v>0</v>
          </cell>
          <cell r="K161">
            <v>0</v>
          </cell>
          <cell r="L161">
            <v>0</v>
          </cell>
          <cell r="M161">
            <v>22.1</v>
          </cell>
          <cell r="N161">
            <v>38</v>
          </cell>
          <cell r="O161">
            <v>646</v>
          </cell>
          <cell r="P161">
            <v>96.692111959287516</v>
          </cell>
        </row>
        <row r="162">
          <cell r="B162" t="str">
            <v>202L604</v>
          </cell>
          <cell r="C162">
            <v>39.299999999999997</v>
          </cell>
          <cell r="D162">
            <v>145</v>
          </cell>
          <cell r="E162">
            <v>5698.5</v>
          </cell>
          <cell r="F162">
            <v>1.3</v>
          </cell>
          <cell r="G162">
            <v>188.5</v>
          </cell>
          <cell r="H162">
            <v>0</v>
          </cell>
          <cell r="I162">
            <v>0</v>
          </cell>
          <cell r="J162">
            <v>0</v>
          </cell>
          <cell r="K162">
            <v>0</v>
          </cell>
          <cell r="L162">
            <v>0</v>
          </cell>
          <cell r="M162">
            <v>188.5</v>
          </cell>
          <cell r="N162">
            <v>38</v>
          </cell>
          <cell r="O162">
            <v>5510</v>
          </cell>
          <cell r="P162">
            <v>96.692111959287544</v>
          </cell>
        </row>
        <row r="163">
          <cell r="B163" t="str">
            <v>202L654</v>
          </cell>
          <cell r="C163">
            <v>39.300000000000004</v>
          </cell>
          <cell r="D163">
            <v>29</v>
          </cell>
          <cell r="E163">
            <v>1139.7</v>
          </cell>
          <cell r="F163">
            <v>1.3</v>
          </cell>
          <cell r="G163">
            <v>37.700000000000003</v>
          </cell>
          <cell r="H163">
            <v>0</v>
          </cell>
          <cell r="I163">
            <v>0</v>
          </cell>
          <cell r="J163">
            <v>0</v>
          </cell>
          <cell r="K163">
            <v>0</v>
          </cell>
          <cell r="L163">
            <v>0</v>
          </cell>
          <cell r="M163">
            <v>37.700000000000003</v>
          </cell>
          <cell r="N163">
            <v>38</v>
          </cell>
          <cell r="O163">
            <v>1102</v>
          </cell>
          <cell r="P163">
            <v>96.692111959287516</v>
          </cell>
        </row>
        <row r="164">
          <cell r="B164" t="str">
            <v>202L655</v>
          </cell>
          <cell r="C164">
            <v>39.300000000000004</v>
          </cell>
          <cell r="D164">
            <v>399</v>
          </cell>
          <cell r="E164">
            <v>15680.7</v>
          </cell>
          <cell r="F164">
            <v>1.3</v>
          </cell>
          <cell r="G164">
            <v>518.70000000000005</v>
          </cell>
          <cell r="H164">
            <v>0</v>
          </cell>
          <cell r="I164">
            <v>0</v>
          </cell>
          <cell r="J164">
            <v>0</v>
          </cell>
          <cell r="K164">
            <v>0</v>
          </cell>
          <cell r="L164">
            <v>0</v>
          </cell>
          <cell r="M164">
            <v>518.70000000000005</v>
          </cell>
          <cell r="N164">
            <v>38</v>
          </cell>
          <cell r="O164">
            <v>15162</v>
          </cell>
          <cell r="P164">
            <v>96.692111959287516</v>
          </cell>
        </row>
        <row r="165">
          <cell r="B165" t="str">
            <v>202L656</v>
          </cell>
          <cell r="C165">
            <v>39.299999999999997</v>
          </cell>
          <cell r="D165">
            <v>5</v>
          </cell>
          <cell r="E165">
            <v>196.5</v>
          </cell>
          <cell r="F165">
            <v>1.3</v>
          </cell>
          <cell r="G165">
            <v>6.5</v>
          </cell>
          <cell r="H165">
            <v>0</v>
          </cell>
          <cell r="I165">
            <v>0</v>
          </cell>
          <cell r="J165">
            <v>0</v>
          </cell>
          <cell r="K165">
            <v>0</v>
          </cell>
          <cell r="L165">
            <v>0</v>
          </cell>
          <cell r="M165">
            <v>6.5</v>
          </cell>
          <cell r="N165">
            <v>38</v>
          </cell>
          <cell r="O165">
            <v>190</v>
          </cell>
          <cell r="P165">
            <v>96.692111959287544</v>
          </cell>
        </row>
        <row r="166">
          <cell r="B166" t="str">
            <v>202L657</v>
          </cell>
          <cell r="C166">
            <v>39.299999999999997</v>
          </cell>
          <cell r="D166">
            <v>2</v>
          </cell>
          <cell r="E166">
            <v>78.599999999999994</v>
          </cell>
          <cell r="F166">
            <v>1.3</v>
          </cell>
          <cell r="G166">
            <v>2.6</v>
          </cell>
          <cell r="H166">
            <v>0</v>
          </cell>
          <cell r="I166">
            <v>0</v>
          </cell>
          <cell r="J166">
            <v>0</v>
          </cell>
          <cell r="K166">
            <v>0</v>
          </cell>
          <cell r="L166">
            <v>0</v>
          </cell>
          <cell r="M166">
            <v>2.6</v>
          </cell>
          <cell r="N166">
            <v>38</v>
          </cell>
          <cell r="O166">
            <v>76</v>
          </cell>
          <cell r="P166">
            <v>96.692111959287544</v>
          </cell>
        </row>
        <row r="167">
          <cell r="B167" t="str">
            <v>202L690</v>
          </cell>
          <cell r="C167">
            <v>39.299999999999997</v>
          </cell>
          <cell r="D167">
            <v>8</v>
          </cell>
          <cell r="E167">
            <v>314.39999999999998</v>
          </cell>
          <cell r="F167">
            <v>1.3</v>
          </cell>
          <cell r="G167">
            <v>10.4</v>
          </cell>
          <cell r="H167">
            <v>0</v>
          </cell>
          <cell r="I167">
            <v>0</v>
          </cell>
          <cell r="J167">
            <v>0</v>
          </cell>
          <cell r="K167">
            <v>0</v>
          </cell>
          <cell r="L167">
            <v>0</v>
          </cell>
          <cell r="M167">
            <v>10.4</v>
          </cell>
          <cell r="N167">
            <v>38</v>
          </cell>
          <cell r="O167">
            <v>304</v>
          </cell>
          <cell r="P167">
            <v>96.692111959287544</v>
          </cell>
        </row>
        <row r="168">
          <cell r="B168" t="str">
            <v>202L701</v>
          </cell>
          <cell r="C168">
            <v>39.299999999999997</v>
          </cell>
          <cell r="D168">
            <v>1</v>
          </cell>
          <cell r="E168">
            <v>39.299999999999997</v>
          </cell>
          <cell r="F168">
            <v>1.3</v>
          </cell>
          <cell r="G168">
            <v>1.3</v>
          </cell>
          <cell r="H168">
            <v>0</v>
          </cell>
          <cell r="I168">
            <v>0</v>
          </cell>
          <cell r="J168">
            <v>0</v>
          </cell>
          <cell r="K168">
            <v>0</v>
          </cell>
          <cell r="L168">
            <v>0</v>
          </cell>
          <cell r="M168">
            <v>1.3</v>
          </cell>
          <cell r="N168">
            <v>38</v>
          </cell>
          <cell r="O168">
            <v>38</v>
          </cell>
          <cell r="P168">
            <v>96.692111959287544</v>
          </cell>
        </row>
        <row r="169">
          <cell r="B169" t="str">
            <v>202L732</v>
          </cell>
          <cell r="C169">
            <v>39.299999999999997</v>
          </cell>
          <cell r="D169">
            <v>4</v>
          </cell>
          <cell r="E169">
            <v>157.19999999999999</v>
          </cell>
          <cell r="F169">
            <v>1.3</v>
          </cell>
          <cell r="G169">
            <v>5.2</v>
          </cell>
          <cell r="H169">
            <v>0</v>
          </cell>
          <cell r="I169">
            <v>0</v>
          </cell>
          <cell r="J169">
            <v>0</v>
          </cell>
          <cell r="K169">
            <v>0</v>
          </cell>
          <cell r="L169">
            <v>0</v>
          </cell>
          <cell r="M169">
            <v>5.2</v>
          </cell>
          <cell r="N169">
            <v>38</v>
          </cell>
          <cell r="O169">
            <v>152</v>
          </cell>
          <cell r="P169">
            <v>96.692111959287544</v>
          </cell>
        </row>
        <row r="170">
          <cell r="B170" t="str">
            <v>202L737</v>
          </cell>
          <cell r="C170">
            <v>39.300000000000004</v>
          </cell>
          <cell r="D170">
            <v>24</v>
          </cell>
          <cell r="E170">
            <v>943.2</v>
          </cell>
          <cell r="F170">
            <v>1.3</v>
          </cell>
          <cell r="G170">
            <v>31.200000000000003</v>
          </cell>
          <cell r="H170">
            <v>0</v>
          </cell>
          <cell r="I170">
            <v>0</v>
          </cell>
          <cell r="J170">
            <v>0</v>
          </cell>
          <cell r="K170">
            <v>0</v>
          </cell>
          <cell r="L170">
            <v>0</v>
          </cell>
          <cell r="M170">
            <v>31.200000000000003</v>
          </cell>
          <cell r="N170">
            <v>38</v>
          </cell>
          <cell r="O170">
            <v>912</v>
          </cell>
          <cell r="P170">
            <v>96.692111959287516</v>
          </cell>
        </row>
        <row r="171">
          <cell r="B171" t="str">
            <v>202L762</v>
          </cell>
          <cell r="C171">
            <v>39.299999999999997</v>
          </cell>
          <cell r="D171">
            <v>27</v>
          </cell>
          <cell r="E171">
            <v>1061.0999999999999</v>
          </cell>
          <cell r="F171">
            <v>1.3</v>
          </cell>
          <cell r="G171">
            <v>35.1</v>
          </cell>
          <cell r="H171">
            <v>0</v>
          </cell>
          <cell r="I171">
            <v>0</v>
          </cell>
          <cell r="J171">
            <v>0</v>
          </cell>
          <cell r="K171">
            <v>0</v>
          </cell>
          <cell r="L171">
            <v>0</v>
          </cell>
          <cell r="M171">
            <v>35.1</v>
          </cell>
          <cell r="N171">
            <v>38</v>
          </cell>
          <cell r="O171">
            <v>1026</v>
          </cell>
          <cell r="P171">
            <v>96.692111959287544</v>
          </cell>
        </row>
        <row r="172">
          <cell r="B172" t="str">
            <v>202L804</v>
          </cell>
          <cell r="C172">
            <v>39.299999999999997</v>
          </cell>
          <cell r="D172">
            <v>45</v>
          </cell>
          <cell r="E172">
            <v>1768.5</v>
          </cell>
          <cell r="F172">
            <v>1.3</v>
          </cell>
          <cell r="G172">
            <v>58.5</v>
          </cell>
          <cell r="H172">
            <v>0</v>
          </cell>
          <cell r="I172">
            <v>0</v>
          </cell>
          <cell r="J172">
            <v>0</v>
          </cell>
          <cell r="K172">
            <v>0</v>
          </cell>
          <cell r="L172">
            <v>0</v>
          </cell>
          <cell r="M172">
            <v>58.5</v>
          </cell>
          <cell r="N172">
            <v>38</v>
          </cell>
          <cell r="O172">
            <v>1710</v>
          </cell>
          <cell r="P172">
            <v>96.692111959287544</v>
          </cell>
        </row>
        <row r="173">
          <cell r="B173" t="str">
            <v>202L819</v>
          </cell>
          <cell r="C173">
            <v>39.300000000000004</v>
          </cell>
          <cell r="D173">
            <v>22</v>
          </cell>
          <cell r="E173">
            <v>864.6</v>
          </cell>
          <cell r="F173">
            <v>1.3</v>
          </cell>
          <cell r="G173">
            <v>28.6</v>
          </cell>
          <cell r="H173">
            <v>0</v>
          </cell>
          <cell r="I173">
            <v>0</v>
          </cell>
          <cell r="J173">
            <v>0</v>
          </cell>
          <cell r="K173">
            <v>0</v>
          </cell>
          <cell r="L173">
            <v>0</v>
          </cell>
          <cell r="M173">
            <v>28.6</v>
          </cell>
          <cell r="N173">
            <v>38</v>
          </cell>
          <cell r="O173">
            <v>836</v>
          </cell>
          <cell r="P173">
            <v>96.692111959287516</v>
          </cell>
        </row>
        <row r="174">
          <cell r="B174" t="str">
            <v>205-252</v>
          </cell>
          <cell r="C174">
            <v>39.300000000000004</v>
          </cell>
          <cell r="D174">
            <v>24</v>
          </cell>
          <cell r="E174">
            <v>943.2</v>
          </cell>
          <cell r="F174">
            <v>1.3</v>
          </cell>
          <cell r="G174">
            <v>31.200000000000003</v>
          </cell>
          <cell r="H174">
            <v>0</v>
          </cell>
          <cell r="I174">
            <v>0</v>
          </cell>
          <cell r="J174">
            <v>0</v>
          </cell>
          <cell r="K174">
            <v>0</v>
          </cell>
          <cell r="L174">
            <v>0</v>
          </cell>
          <cell r="M174">
            <v>31.200000000000003</v>
          </cell>
          <cell r="N174">
            <v>38</v>
          </cell>
          <cell r="O174">
            <v>912</v>
          </cell>
          <cell r="P174">
            <v>96.692111959287516</v>
          </cell>
        </row>
        <row r="175">
          <cell r="B175" t="str">
            <v>205-709</v>
          </cell>
          <cell r="C175">
            <v>39.299999999999997</v>
          </cell>
          <cell r="D175">
            <v>1</v>
          </cell>
          <cell r="E175">
            <v>39.299999999999997</v>
          </cell>
          <cell r="F175">
            <v>1.3</v>
          </cell>
          <cell r="G175">
            <v>1.3</v>
          </cell>
          <cell r="H175">
            <v>0</v>
          </cell>
          <cell r="I175">
            <v>0</v>
          </cell>
          <cell r="J175">
            <v>0</v>
          </cell>
          <cell r="K175">
            <v>0</v>
          </cell>
          <cell r="L175">
            <v>0</v>
          </cell>
          <cell r="M175">
            <v>1.3</v>
          </cell>
          <cell r="N175">
            <v>38</v>
          </cell>
          <cell r="O175">
            <v>38</v>
          </cell>
          <cell r="P175">
            <v>96.692111959287544</v>
          </cell>
        </row>
        <row r="176">
          <cell r="B176" t="str">
            <v>205-785</v>
          </cell>
          <cell r="C176">
            <v>39.299999999999997</v>
          </cell>
          <cell r="D176">
            <v>1</v>
          </cell>
          <cell r="E176">
            <v>39.299999999999997</v>
          </cell>
          <cell r="F176">
            <v>1.3</v>
          </cell>
          <cell r="G176">
            <v>1.3</v>
          </cell>
          <cell r="H176">
            <v>0</v>
          </cell>
          <cell r="I176">
            <v>0</v>
          </cell>
          <cell r="J176">
            <v>0</v>
          </cell>
          <cell r="K176">
            <v>0</v>
          </cell>
          <cell r="L176">
            <v>0</v>
          </cell>
          <cell r="M176">
            <v>1.3</v>
          </cell>
          <cell r="N176">
            <v>38</v>
          </cell>
          <cell r="O176">
            <v>38</v>
          </cell>
          <cell r="P176">
            <v>96.692111959287544</v>
          </cell>
        </row>
        <row r="177">
          <cell r="B177" t="str">
            <v>205-811</v>
          </cell>
          <cell r="C177">
            <v>39.300000000000004</v>
          </cell>
          <cell r="D177">
            <v>91</v>
          </cell>
          <cell r="E177">
            <v>3576.3</v>
          </cell>
          <cell r="F177">
            <v>1.3</v>
          </cell>
          <cell r="G177">
            <v>118.3</v>
          </cell>
          <cell r="H177">
            <v>0</v>
          </cell>
          <cell r="I177">
            <v>0</v>
          </cell>
          <cell r="J177">
            <v>0</v>
          </cell>
          <cell r="K177">
            <v>0</v>
          </cell>
          <cell r="L177">
            <v>0</v>
          </cell>
          <cell r="M177">
            <v>118.3</v>
          </cell>
          <cell r="N177">
            <v>38</v>
          </cell>
          <cell r="O177">
            <v>3458</v>
          </cell>
          <cell r="P177">
            <v>96.692111959287516</v>
          </cell>
        </row>
        <row r="178">
          <cell r="B178" t="str">
            <v>205-827</v>
          </cell>
          <cell r="C178">
            <v>115.76</v>
          </cell>
          <cell r="D178">
            <v>1</v>
          </cell>
          <cell r="E178">
            <v>115.76</v>
          </cell>
          <cell r="F178">
            <v>1.3</v>
          </cell>
          <cell r="G178">
            <v>1.3</v>
          </cell>
          <cell r="H178">
            <v>0</v>
          </cell>
          <cell r="I178">
            <v>0</v>
          </cell>
          <cell r="J178">
            <v>0</v>
          </cell>
          <cell r="K178">
            <v>0</v>
          </cell>
          <cell r="L178">
            <v>0</v>
          </cell>
          <cell r="M178">
            <v>1.3</v>
          </cell>
          <cell r="N178">
            <v>114.46000000000001</v>
          </cell>
          <cell r="O178">
            <v>114.46000000000001</v>
          </cell>
          <cell r="P178">
            <v>98.876986869384936</v>
          </cell>
        </row>
        <row r="179">
          <cell r="B179" t="str">
            <v>205-917</v>
          </cell>
          <cell r="C179">
            <v>39.299999999999997</v>
          </cell>
          <cell r="D179">
            <v>1</v>
          </cell>
          <cell r="E179">
            <v>39.299999999999997</v>
          </cell>
          <cell r="F179">
            <v>1.3</v>
          </cell>
          <cell r="G179">
            <v>1.3</v>
          </cell>
          <cell r="H179">
            <v>0</v>
          </cell>
          <cell r="I179">
            <v>0</v>
          </cell>
          <cell r="J179">
            <v>0</v>
          </cell>
          <cell r="K179">
            <v>0</v>
          </cell>
          <cell r="L179">
            <v>0</v>
          </cell>
          <cell r="M179">
            <v>1.3</v>
          </cell>
          <cell r="N179">
            <v>38</v>
          </cell>
          <cell r="O179">
            <v>38</v>
          </cell>
          <cell r="P179">
            <v>96.692111959287544</v>
          </cell>
        </row>
        <row r="180">
          <cell r="B180" t="str">
            <v>205D424</v>
          </cell>
          <cell r="C180">
            <v>39.299999999999997</v>
          </cell>
          <cell r="D180">
            <v>1</v>
          </cell>
          <cell r="E180">
            <v>39.299999999999997</v>
          </cell>
          <cell r="F180">
            <v>1.3</v>
          </cell>
          <cell r="G180">
            <v>1.3</v>
          </cell>
          <cell r="H180">
            <v>0</v>
          </cell>
          <cell r="I180">
            <v>0</v>
          </cell>
          <cell r="J180">
            <v>0</v>
          </cell>
          <cell r="K180">
            <v>0</v>
          </cell>
          <cell r="L180">
            <v>0</v>
          </cell>
          <cell r="M180">
            <v>1.3</v>
          </cell>
          <cell r="N180">
            <v>38</v>
          </cell>
          <cell r="O180">
            <v>38</v>
          </cell>
          <cell r="P180">
            <v>96.692111959287544</v>
          </cell>
        </row>
        <row r="181">
          <cell r="B181" t="str">
            <v>205D827</v>
          </cell>
          <cell r="C181">
            <v>39.299999999999997</v>
          </cell>
          <cell r="D181">
            <v>1</v>
          </cell>
          <cell r="E181">
            <v>39.299999999999997</v>
          </cell>
          <cell r="F181">
            <v>1.3</v>
          </cell>
          <cell r="G181">
            <v>1.3</v>
          </cell>
          <cell r="H181">
            <v>0</v>
          </cell>
          <cell r="I181">
            <v>0</v>
          </cell>
          <cell r="J181">
            <v>0</v>
          </cell>
          <cell r="K181">
            <v>0</v>
          </cell>
          <cell r="L181">
            <v>0</v>
          </cell>
          <cell r="M181">
            <v>1.3</v>
          </cell>
          <cell r="N181">
            <v>38</v>
          </cell>
          <cell r="O181">
            <v>38</v>
          </cell>
          <cell r="P181">
            <v>96.692111959287544</v>
          </cell>
        </row>
        <row r="182">
          <cell r="B182" t="str">
            <v>205L216</v>
          </cell>
          <cell r="C182">
            <v>39.299999999999997</v>
          </cell>
          <cell r="D182">
            <v>1</v>
          </cell>
          <cell r="E182">
            <v>39.299999999999997</v>
          </cell>
          <cell r="F182">
            <v>1.3</v>
          </cell>
          <cell r="G182">
            <v>1.3</v>
          </cell>
          <cell r="H182">
            <v>0</v>
          </cell>
          <cell r="I182">
            <v>0</v>
          </cell>
          <cell r="J182">
            <v>0</v>
          </cell>
          <cell r="K182">
            <v>0</v>
          </cell>
          <cell r="L182">
            <v>0</v>
          </cell>
          <cell r="M182">
            <v>1.3</v>
          </cell>
          <cell r="N182">
            <v>38</v>
          </cell>
          <cell r="O182">
            <v>38</v>
          </cell>
          <cell r="P182">
            <v>96.692111959287544</v>
          </cell>
        </row>
        <row r="183">
          <cell r="B183" t="str">
            <v>205L252</v>
          </cell>
          <cell r="C183">
            <v>39.299999999999997</v>
          </cell>
          <cell r="D183">
            <v>5</v>
          </cell>
          <cell r="E183">
            <v>196.5</v>
          </cell>
          <cell r="F183">
            <v>1.3</v>
          </cell>
          <cell r="G183">
            <v>6.5</v>
          </cell>
          <cell r="H183">
            <v>0</v>
          </cell>
          <cell r="I183">
            <v>0</v>
          </cell>
          <cell r="J183">
            <v>0</v>
          </cell>
          <cell r="K183">
            <v>0</v>
          </cell>
          <cell r="L183">
            <v>0</v>
          </cell>
          <cell r="M183">
            <v>6.5</v>
          </cell>
          <cell r="N183">
            <v>38</v>
          </cell>
          <cell r="O183">
            <v>190</v>
          </cell>
          <cell r="P183">
            <v>96.692111959287544</v>
          </cell>
        </row>
        <row r="184">
          <cell r="B184" t="str">
            <v>205L449</v>
          </cell>
          <cell r="C184">
            <v>39.299999999999997</v>
          </cell>
          <cell r="D184">
            <v>2</v>
          </cell>
          <cell r="E184">
            <v>78.599999999999994</v>
          </cell>
          <cell r="F184">
            <v>1.3</v>
          </cell>
          <cell r="G184">
            <v>2.6</v>
          </cell>
          <cell r="H184">
            <v>0</v>
          </cell>
          <cell r="I184">
            <v>0</v>
          </cell>
          <cell r="J184">
            <v>0</v>
          </cell>
          <cell r="K184">
            <v>0</v>
          </cell>
          <cell r="L184">
            <v>0</v>
          </cell>
          <cell r="M184">
            <v>2.6</v>
          </cell>
          <cell r="N184">
            <v>38</v>
          </cell>
          <cell r="O184">
            <v>76</v>
          </cell>
          <cell r="P184">
            <v>96.692111959287544</v>
          </cell>
        </row>
        <row r="185">
          <cell r="B185" t="str">
            <v>205L526</v>
          </cell>
          <cell r="C185">
            <v>39.300000000000004</v>
          </cell>
          <cell r="D185">
            <v>3</v>
          </cell>
          <cell r="E185">
            <v>117.9</v>
          </cell>
          <cell r="F185">
            <v>1.3</v>
          </cell>
          <cell r="G185">
            <v>3.9000000000000004</v>
          </cell>
          <cell r="H185">
            <v>0</v>
          </cell>
          <cell r="I185">
            <v>0</v>
          </cell>
          <cell r="J185">
            <v>0</v>
          </cell>
          <cell r="K185">
            <v>0</v>
          </cell>
          <cell r="L185">
            <v>0</v>
          </cell>
          <cell r="M185">
            <v>3.9000000000000004</v>
          </cell>
          <cell r="N185">
            <v>38</v>
          </cell>
          <cell r="O185">
            <v>114</v>
          </cell>
          <cell r="P185">
            <v>96.692111959287516</v>
          </cell>
        </row>
        <row r="186">
          <cell r="B186" t="str">
            <v>205L538</v>
          </cell>
          <cell r="C186">
            <v>39.299999999999997</v>
          </cell>
          <cell r="D186">
            <v>13</v>
          </cell>
          <cell r="E186">
            <v>510.9</v>
          </cell>
          <cell r="F186">
            <v>1.3000000000000003</v>
          </cell>
          <cell r="G186">
            <v>16.900000000000002</v>
          </cell>
          <cell r="H186">
            <v>0</v>
          </cell>
          <cell r="I186">
            <v>0</v>
          </cell>
          <cell r="J186">
            <v>0</v>
          </cell>
          <cell r="K186">
            <v>0</v>
          </cell>
          <cell r="L186">
            <v>0</v>
          </cell>
          <cell r="M186">
            <v>16.900000000000002</v>
          </cell>
          <cell r="N186">
            <v>38</v>
          </cell>
          <cell r="O186">
            <v>494</v>
          </cell>
          <cell r="P186">
            <v>96.692111959287544</v>
          </cell>
        </row>
        <row r="187">
          <cell r="B187" t="str">
            <v>205L652</v>
          </cell>
          <cell r="C187">
            <v>39.299999999999997</v>
          </cell>
          <cell r="D187">
            <v>4</v>
          </cell>
          <cell r="E187">
            <v>157.19999999999999</v>
          </cell>
          <cell r="F187">
            <v>1.3</v>
          </cell>
          <cell r="G187">
            <v>5.2</v>
          </cell>
          <cell r="H187">
            <v>0</v>
          </cell>
          <cell r="I187">
            <v>0</v>
          </cell>
          <cell r="J187">
            <v>0</v>
          </cell>
          <cell r="K187">
            <v>0</v>
          </cell>
          <cell r="L187">
            <v>0</v>
          </cell>
          <cell r="M187">
            <v>5.2</v>
          </cell>
          <cell r="N187">
            <v>38</v>
          </cell>
          <cell r="O187">
            <v>152</v>
          </cell>
          <cell r="P187">
            <v>96.692111959287544</v>
          </cell>
        </row>
        <row r="188">
          <cell r="B188" t="str">
            <v>205L747</v>
          </cell>
          <cell r="C188">
            <v>39.299999999999997</v>
          </cell>
          <cell r="D188">
            <v>23</v>
          </cell>
          <cell r="E188">
            <v>903.9</v>
          </cell>
          <cell r="F188">
            <v>1.3</v>
          </cell>
          <cell r="G188">
            <v>29.900000000000002</v>
          </cell>
          <cell r="H188">
            <v>0</v>
          </cell>
          <cell r="I188">
            <v>0</v>
          </cell>
          <cell r="J188">
            <v>0</v>
          </cell>
          <cell r="K188">
            <v>0</v>
          </cell>
          <cell r="L188">
            <v>0</v>
          </cell>
          <cell r="M188">
            <v>29.900000000000002</v>
          </cell>
          <cell r="N188">
            <v>38</v>
          </cell>
          <cell r="O188">
            <v>874</v>
          </cell>
          <cell r="P188">
            <v>96.692111959287544</v>
          </cell>
        </row>
        <row r="189">
          <cell r="B189" t="str">
            <v>205L816</v>
          </cell>
          <cell r="C189">
            <v>39.300000000000004</v>
          </cell>
          <cell r="D189">
            <v>43</v>
          </cell>
          <cell r="E189">
            <v>1689.9</v>
          </cell>
          <cell r="F189">
            <v>1.3</v>
          </cell>
          <cell r="G189">
            <v>55.9</v>
          </cell>
          <cell r="H189">
            <v>0</v>
          </cell>
          <cell r="I189">
            <v>0</v>
          </cell>
          <cell r="J189">
            <v>0</v>
          </cell>
          <cell r="K189">
            <v>0</v>
          </cell>
          <cell r="L189">
            <v>0</v>
          </cell>
          <cell r="M189">
            <v>55.9</v>
          </cell>
          <cell r="N189">
            <v>38</v>
          </cell>
          <cell r="O189">
            <v>1634</v>
          </cell>
          <cell r="P189">
            <v>96.692111959287516</v>
          </cell>
        </row>
        <row r="190">
          <cell r="B190" t="str">
            <v>205L818</v>
          </cell>
          <cell r="C190">
            <v>39.299999999999997</v>
          </cell>
          <cell r="D190">
            <v>74</v>
          </cell>
          <cell r="E190">
            <v>2908.2</v>
          </cell>
          <cell r="F190">
            <v>1.3</v>
          </cell>
          <cell r="G190">
            <v>96.2</v>
          </cell>
          <cell r="H190">
            <v>0</v>
          </cell>
          <cell r="I190">
            <v>0</v>
          </cell>
          <cell r="J190">
            <v>0</v>
          </cell>
          <cell r="K190">
            <v>0</v>
          </cell>
          <cell r="L190">
            <v>0</v>
          </cell>
          <cell r="M190">
            <v>96.2</v>
          </cell>
          <cell r="N190">
            <v>38</v>
          </cell>
          <cell r="O190">
            <v>2812</v>
          </cell>
          <cell r="P190">
            <v>96.692111959287544</v>
          </cell>
        </row>
        <row r="191">
          <cell r="B191" t="str">
            <v>205L902</v>
          </cell>
          <cell r="C191">
            <v>39.299999999999997</v>
          </cell>
          <cell r="D191">
            <v>9</v>
          </cell>
          <cell r="E191">
            <v>353.7</v>
          </cell>
          <cell r="F191">
            <v>1.3</v>
          </cell>
          <cell r="G191">
            <v>11.700000000000001</v>
          </cell>
          <cell r="H191">
            <v>0</v>
          </cell>
          <cell r="I191">
            <v>0</v>
          </cell>
          <cell r="J191">
            <v>0</v>
          </cell>
          <cell r="K191">
            <v>0</v>
          </cell>
          <cell r="L191">
            <v>0</v>
          </cell>
          <cell r="M191">
            <v>11.700000000000001</v>
          </cell>
          <cell r="N191">
            <v>38</v>
          </cell>
          <cell r="O191">
            <v>342</v>
          </cell>
          <cell r="P191">
            <v>96.692111959287544</v>
          </cell>
        </row>
        <row r="192">
          <cell r="B192" t="str">
            <v>206-164</v>
          </cell>
          <cell r="C192">
            <v>94.32</v>
          </cell>
          <cell r="D192">
            <v>3</v>
          </cell>
          <cell r="E192">
            <v>282.95999999999998</v>
          </cell>
          <cell r="F192">
            <v>1.3</v>
          </cell>
          <cell r="G192">
            <v>3.9000000000000004</v>
          </cell>
          <cell r="H192">
            <v>116.67</v>
          </cell>
          <cell r="I192">
            <v>350.01</v>
          </cell>
          <cell r="J192">
            <v>16.000000000000004</v>
          </cell>
          <cell r="K192">
            <v>12.800000000000002</v>
          </cell>
          <cell r="L192">
            <v>38.400000000000006</v>
          </cell>
          <cell r="M192">
            <v>392.30999999999995</v>
          </cell>
          <cell r="N192">
            <v>-36.449999999999989</v>
          </cell>
          <cell r="O192">
            <v>-109.34999999999997</v>
          </cell>
          <cell r="P192">
            <v>-38.645038167938921</v>
          </cell>
        </row>
        <row r="193">
          <cell r="B193" t="str">
            <v>206L158</v>
          </cell>
          <cell r="C193">
            <v>39.299999999999997</v>
          </cell>
          <cell r="D193">
            <v>62</v>
          </cell>
          <cell r="E193">
            <v>2436.6</v>
          </cell>
          <cell r="F193">
            <v>1.3</v>
          </cell>
          <cell r="G193">
            <v>80.600000000000009</v>
          </cell>
          <cell r="H193">
            <v>0</v>
          </cell>
          <cell r="I193">
            <v>0</v>
          </cell>
          <cell r="J193">
            <v>0</v>
          </cell>
          <cell r="K193">
            <v>0</v>
          </cell>
          <cell r="L193">
            <v>0</v>
          </cell>
          <cell r="M193">
            <v>80.600000000000009</v>
          </cell>
          <cell r="N193">
            <v>38</v>
          </cell>
          <cell r="O193">
            <v>2356</v>
          </cell>
          <cell r="P193">
            <v>96.692111959287544</v>
          </cell>
        </row>
        <row r="194">
          <cell r="B194" t="str">
            <v>209-078</v>
          </cell>
          <cell r="C194">
            <v>39.299999999999997</v>
          </cell>
          <cell r="D194">
            <v>1</v>
          </cell>
          <cell r="E194">
            <v>39.299999999999997</v>
          </cell>
          <cell r="F194">
            <v>1.3</v>
          </cell>
          <cell r="G194">
            <v>1.3</v>
          </cell>
          <cell r="H194">
            <v>0</v>
          </cell>
          <cell r="I194">
            <v>0</v>
          </cell>
          <cell r="J194">
            <v>0</v>
          </cell>
          <cell r="K194">
            <v>0</v>
          </cell>
          <cell r="L194">
            <v>0</v>
          </cell>
          <cell r="M194">
            <v>1.3</v>
          </cell>
          <cell r="N194">
            <v>38</v>
          </cell>
          <cell r="O194">
            <v>38</v>
          </cell>
          <cell r="P194">
            <v>96.692111959287544</v>
          </cell>
        </row>
        <row r="195">
          <cell r="B195" t="str">
            <v>209-192</v>
          </cell>
          <cell r="C195">
            <v>39.4</v>
          </cell>
          <cell r="D195">
            <v>3</v>
          </cell>
          <cell r="E195">
            <v>118.2</v>
          </cell>
          <cell r="F195">
            <v>1.3</v>
          </cell>
          <cell r="G195">
            <v>3.9000000000000004</v>
          </cell>
          <cell r="H195">
            <v>0</v>
          </cell>
          <cell r="I195">
            <v>0</v>
          </cell>
          <cell r="J195">
            <v>0</v>
          </cell>
          <cell r="K195">
            <v>0</v>
          </cell>
          <cell r="L195">
            <v>0</v>
          </cell>
          <cell r="M195">
            <v>3.9000000000000004</v>
          </cell>
          <cell r="N195">
            <v>38.1</v>
          </cell>
          <cell r="O195">
            <v>114.3</v>
          </cell>
          <cell r="P195">
            <v>96.700507614213208</v>
          </cell>
        </row>
        <row r="196">
          <cell r="B196" t="str">
            <v>209-335</v>
          </cell>
          <cell r="C196">
            <v>39.299999999999997</v>
          </cell>
          <cell r="D196">
            <v>100</v>
          </cell>
          <cell r="E196">
            <v>3930</v>
          </cell>
          <cell r="F196">
            <v>1.3</v>
          </cell>
          <cell r="G196">
            <v>130</v>
          </cell>
          <cell r="H196">
            <v>0</v>
          </cell>
          <cell r="I196">
            <v>0</v>
          </cell>
          <cell r="J196">
            <v>0</v>
          </cell>
          <cell r="K196">
            <v>0</v>
          </cell>
          <cell r="L196">
            <v>0</v>
          </cell>
          <cell r="M196">
            <v>130</v>
          </cell>
          <cell r="N196">
            <v>38</v>
          </cell>
          <cell r="O196">
            <v>3800</v>
          </cell>
          <cell r="P196">
            <v>96.692111959287544</v>
          </cell>
        </row>
        <row r="197">
          <cell r="B197" t="str">
            <v>209-459</v>
          </cell>
          <cell r="C197">
            <v>39.299999999999997</v>
          </cell>
          <cell r="D197">
            <v>1</v>
          </cell>
          <cell r="E197">
            <v>39.299999999999997</v>
          </cell>
          <cell r="F197">
            <v>1.3</v>
          </cell>
          <cell r="G197">
            <v>1.3</v>
          </cell>
          <cell r="H197">
            <v>0</v>
          </cell>
          <cell r="I197">
            <v>0</v>
          </cell>
          <cell r="J197">
            <v>0</v>
          </cell>
          <cell r="K197">
            <v>0</v>
          </cell>
          <cell r="L197">
            <v>0</v>
          </cell>
          <cell r="M197">
            <v>1.3</v>
          </cell>
          <cell r="N197">
            <v>38</v>
          </cell>
          <cell r="O197">
            <v>38</v>
          </cell>
          <cell r="P197">
            <v>96.692111959287544</v>
          </cell>
        </row>
        <row r="198">
          <cell r="B198" t="str">
            <v>209-468</v>
          </cell>
          <cell r="C198">
            <v>39.299999999999997</v>
          </cell>
          <cell r="D198">
            <v>1</v>
          </cell>
          <cell r="E198">
            <v>39.299999999999997</v>
          </cell>
          <cell r="F198">
            <v>1.3</v>
          </cell>
          <cell r="G198">
            <v>1.3</v>
          </cell>
          <cell r="H198">
            <v>0</v>
          </cell>
          <cell r="I198">
            <v>0</v>
          </cell>
          <cell r="J198">
            <v>0</v>
          </cell>
          <cell r="K198">
            <v>0</v>
          </cell>
          <cell r="L198">
            <v>0</v>
          </cell>
          <cell r="M198">
            <v>1.3</v>
          </cell>
          <cell r="N198">
            <v>38</v>
          </cell>
          <cell r="O198">
            <v>38</v>
          </cell>
          <cell r="P198">
            <v>96.692111959287544</v>
          </cell>
        </row>
        <row r="199">
          <cell r="B199" t="str">
            <v>209-473</v>
          </cell>
          <cell r="C199">
            <v>39.299999999999997</v>
          </cell>
          <cell r="D199">
            <v>1</v>
          </cell>
          <cell r="E199">
            <v>39.299999999999997</v>
          </cell>
          <cell r="F199">
            <v>1.3</v>
          </cell>
          <cell r="G199">
            <v>1.3</v>
          </cell>
          <cell r="H199">
            <v>0</v>
          </cell>
          <cell r="I199">
            <v>0</v>
          </cell>
          <cell r="J199">
            <v>0</v>
          </cell>
          <cell r="K199">
            <v>0</v>
          </cell>
          <cell r="L199">
            <v>0</v>
          </cell>
          <cell r="M199">
            <v>1.3</v>
          </cell>
          <cell r="N199">
            <v>38</v>
          </cell>
          <cell r="O199">
            <v>38</v>
          </cell>
          <cell r="P199">
            <v>96.692111959287544</v>
          </cell>
        </row>
        <row r="200">
          <cell r="B200" t="str">
            <v>209-522</v>
          </cell>
          <cell r="C200">
            <v>39.299999999999997</v>
          </cell>
          <cell r="D200">
            <v>10</v>
          </cell>
          <cell r="E200">
            <v>393</v>
          </cell>
          <cell r="F200">
            <v>1.3</v>
          </cell>
          <cell r="G200">
            <v>13</v>
          </cell>
          <cell r="H200">
            <v>0</v>
          </cell>
          <cell r="I200">
            <v>0</v>
          </cell>
          <cell r="J200">
            <v>0</v>
          </cell>
          <cell r="K200">
            <v>0</v>
          </cell>
          <cell r="L200">
            <v>0</v>
          </cell>
          <cell r="M200">
            <v>13</v>
          </cell>
          <cell r="N200">
            <v>38</v>
          </cell>
          <cell r="O200">
            <v>380</v>
          </cell>
          <cell r="P200">
            <v>96.692111959287544</v>
          </cell>
        </row>
        <row r="201">
          <cell r="B201" t="str">
            <v>209-533</v>
          </cell>
          <cell r="C201">
            <v>39.299999999999997</v>
          </cell>
          <cell r="D201">
            <v>1</v>
          </cell>
          <cell r="E201">
            <v>39.299999999999997</v>
          </cell>
          <cell r="F201">
            <v>1.3</v>
          </cell>
          <cell r="G201">
            <v>1.3</v>
          </cell>
          <cell r="H201">
            <v>0</v>
          </cell>
          <cell r="I201">
            <v>0</v>
          </cell>
          <cell r="J201">
            <v>0</v>
          </cell>
          <cell r="K201">
            <v>0</v>
          </cell>
          <cell r="L201">
            <v>0</v>
          </cell>
          <cell r="M201">
            <v>1.3</v>
          </cell>
          <cell r="N201">
            <v>38</v>
          </cell>
          <cell r="O201">
            <v>38</v>
          </cell>
          <cell r="P201">
            <v>96.692111959287544</v>
          </cell>
        </row>
        <row r="202">
          <cell r="B202" t="str">
            <v>209-545</v>
          </cell>
          <cell r="C202">
            <v>39.299999999999997</v>
          </cell>
          <cell r="D202">
            <v>69</v>
          </cell>
          <cell r="E202">
            <v>2711.7</v>
          </cell>
          <cell r="F202">
            <v>1.3</v>
          </cell>
          <cell r="G202">
            <v>89.7</v>
          </cell>
          <cell r="H202">
            <v>0</v>
          </cell>
          <cell r="I202">
            <v>0</v>
          </cell>
          <cell r="J202">
            <v>0</v>
          </cell>
          <cell r="K202">
            <v>0</v>
          </cell>
          <cell r="L202">
            <v>0</v>
          </cell>
          <cell r="M202">
            <v>89.7</v>
          </cell>
          <cell r="N202">
            <v>38</v>
          </cell>
          <cell r="O202">
            <v>2622</v>
          </cell>
          <cell r="P202">
            <v>96.692111959287544</v>
          </cell>
        </row>
        <row r="203">
          <cell r="B203" t="str">
            <v>209-549</v>
          </cell>
          <cell r="C203">
            <v>39.299999999999997</v>
          </cell>
          <cell r="D203">
            <v>133</v>
          </cell>
          <cell r="E203">
            <v>5226.8999999999996</v>
          </cell>
          <cell r="F203">
            <v>1.3</v>
          </cell>
          <cell r="G203">
            <v>172.9</v>
          </cell>
          <cell r="H203">
            <v>0</v>
          </cell>
          <cell r="I203">
            <v>0</v>
          </cell>
          <cell r="J203">
            <v>0</v>
          </cell>
          <cell r="K203">
            <v>0</v>
          </cell>
          <cell r="L203">
            <v>0</v>
          </cell>
          <cell r="M203">
            <v>172.9</v>
          </cell>
          <cell r="N203">
            <v>38</v>
          </cell>
          <cell r="O203">
            <v>5054</v>
          </cell>
          <cell r="P203">
            <v>96.692111959287544</v>
          </cell>
        </row>
        <row r="204">
          <cell r="B204" t="str">
            <v>209-585</v>
          </cell>
          <cell r="C204">
            <v>39.300000000000004</v>
          </cell>
          <cell r="D204">
            <v>29</v>
          </cell>
          <cell r="E204">
            <v>1139.7</v>
          </cell>
          <cell r="F204">
            <v>1.3</v>
          </cell>
          <cell r="G204">
            <v>37.700000000000003</v>
          </cell>
          <cell r="H204">
            <v>0</v>
          </cell>
          <cell r="I204">
            <v>0</v>
          </cell>
          <cell r="J204">
            <v>0</v>
          </cell>
          <cell r="K204">
            <v>0</v>
          </cell>
          <cell r="L204">
            <v>0</v>
          </cell>
          <cell r="M204">
            <v>37.700000000000003</v>
          </cell>
          <cell r="N204">
            <v>38</v>
          </cell>
          <cell r="O204">
            <v>1102</v>
          </cell>
          <cell r="P204">
            <v>96.692111959287516</v>
          </cell>
        </row>
        <row r="205">
          <cell r="B205" t="str">
            <v>209-638</v>
          </cell>
          <cell r="C205">
            <v>39.300000000000004</v>
          </cell>
          <cell r="D205">
            <v>799</v>
          </cell>
          <cell r="E205">
            <v>31400.7</v>
          </cell>
          <cell r="F205">
            <v>1.3</v>
          </cell>
          <cell r="G205">
            <v>1038.7</v>
          </cell>
          <cell r="H205">
            <v>0</v>
          </cell>
          <cell r="I205">
            <v>0</v>
          </cell>
          <cell r="J205">
            <v>0</v>
          </cell>
          <cell r="K205">
            <v>0</v>
          </cell>
          <cell r="L205">
            <v>0</v>
          </cell>
          <cell r="M205">
            <v>1038.7</v>
          </cell>
          <cell r="N205">
            <v>38</v>
          </cell>
          <cell r="O205">
            <v>30362</v>
          </cell>
          <cell r="P205">
            <v>96.692111959287516</v>
          </cell>
        </row>
        <row r="206">
          <cell r="B206" t="str">
            <v>209A340</v>
          </cell>
          <cell r="C206">
            <v>51.477499999999999</v>
          </cell>
          <cell r="D206">
            <v>60</v>
          </cell>
          <cell r="E206">
            <v>3088.65</v>
          </cell>
          <cell r="F206">
            <v>1.3</v>
          </cell>
          <cell r="G206">
            <v>78</v>
          </cell>
          <cell r="H206">
            <v>0</v>
          </cell>
          <cell r="I206">
            <v>0</v>
          </cell>
          <cell r="J206">
            <v>0</v>
          </cell>
          <cell r="K206">
            <v>0</v>
          </cell>
          <cell r="L206">
            <v>0</v>
          </cell>
          <cell r="M206">
            <v>78</v>
          </cell>
          <cell r="N206">
            <v>50.177500000000002</v>
          </cell>
          <cell r="O206">
            <v>3010.65</v>
          </cell>
          <cell r="P206">
            <v>97.474624836093454</v>
          </cell>
        </row>
        <row r="207">
          <cell r="B207" t="str">
            <v>209L042</v>
          </cell>
          <cell r="C207">
            <v>39.300000000000004</v>
          </cell>
          <cell r="D207">
            <v>63</v>
          </cell>
          <cell r="E207">
            <v>2475.9</v>
          </cell>
          <cell r="F207">
            <v>1.3</v>
          </cell>
          <cell r="G207">
            <v>81.900000000000006</v>
          </cell>
          <cell r="H207">
            <v>0</v>
          </cell>
          <cell r="I207">
            <v>0</v>
          </cell>
          <cell r="J207">
            <v>0</v>
          </cell>
          <cell r="K207">
            <v>0</v>
          </cell>
          <cell r="L207">
            <v>0</v>
          </cell>
          <cell r="M207">
            <v>81.900000000000006</v>
          </cell>
          <cell r="N207">
            <v>38</v>
          </cell>
          <cell r="O207">
            <v>2394</v>
          </cell>
          <cell r="P207">
            <v>96.692111959287516</v>
          </cell>
        </row>
        <row r="208">
          <cell r="B208" t="str">
            <v>210L260</v>
          </cell>
          <cell r="C208">
            <v>39.299999999999997</v>
          </cell>
          <cell r="D208">
            <v>120</v>
          </cell>
          <cell r="E208">
            <v>4716</v>
          </cell>
          <cell r="F208">
            <v>1.3</v>
          </cell>
          <cell r="G208">
            <v>156</v>
          </cell>
          <cell r="H208">
            <v>60.3</v>
          </cell>
          <cell r="I208">
            <v>7236</v>
          </cell>
          <cell r="J208">
            <v>8.31</v>
          </cell>
          <cell r="K208">
            <v>6.6480000000000006</v>
          </cell>
          <cell r="L208">
            <v>797.7600000000001</v>
          </cell>
          <cell r="M208">
            <v>8189.76</v>
          </cell>
          <cell r="N208">
            <v>-28.948</v>
          </cell>
          <cell r="O208">
            <v>-3473.76</v>
          </cell>
          <cell r="P208">
            <v>-73.659033078880412</v>
          </cell>
        </row>
        <row r="209">
          <cell r="B209" t="str">
            <v>210L585</v>
          </cell>
          <cell r="C209">
            <v>39.300000000000004</v>
          </cell>
          <cell r="D209">
            <v>14</v>
          </cell>
          <cell r="E209">
            <v>550.20000000000005</v>
          </cell>
          <cell r="F209">
            <v>1.3</v>
          </cell>
          <cell r="G209">
            <v>18.2</v>
          </cell>
          <cell r="H209">
            <v>0</v>
          </cell>
          <cell r="I209">
            <v>0</v>
          </cell>
          <cell r="J209">
            <v>0</v>
          </cell>
          <cell r="K209">
            <v>0</v>
          </cell>
          <cell r="L209">
            <v>0</v>
          </cell>
          <cell r="M209">
            <v>18.2</v>
          </cell>
          <cell r="N209">
            <v>38</v>
          </cell>
          <cell r="O209">
            <v>532</v>
          </cell>
          <cell r="P209">
            <v>96.692111959287516</v>
          </cell>
        </row>
        <row r="210">
          <cell r="B210" t="str">
            <v>216-148</v>
          </cell>
          <cell r="C210">
            <v>39.299999999999997</v>
          </cell>
          <cell r="D210">
            <v>105</v>
          </cell>
          <cell r="E210">
            <v>4126.5</v>
          </cell>
          <cell r="F210">
            <v>1.3</v>
          </cell>
          <cell r="G210">
            <v>136.5</v>
          </cell>
          <cell r="H210">
            <v>0</v>
          </cell>
          <cell r="I210">
            <v>0</v>
          </cell>
          <cell r="J210">
            <v>0</v>
          </cell>
          <cell r="K210">
            <v>0</v>
          </cell>
          <cell r="L210">
            <v>0</v>
          </cell>
          <cell r="M210">
            <v>136.5</v>
          </cell>
          <cell r="N210">
            <v>38</v>
          </cell>
          <cell r="O210">
            <v>3990</v>
          </cell>
          <cell r="P210">
            <v>96.692111959287544</v>
          </cell>
        </row>
        <row r="211">
          <cell r="B211" t="str">
            <v>216L120</v>
          </cell>
          <cell r="C211">
            <v>39.299999999999997</v>
          </cell>
          <cell r="D211">
            <v>1</v>
          </cell>
          <cell r="E211">
            <v>39.299999999999997</v>
          </cell>
          <cell r="F211">
            <v>1.3</v>
          </cell>
          <cell r="G211">
            <v>1.3</v>
          </cell>
          <cell r="H211">
            <v>0</v>
          </cell>
          <cell r="I211">
            <v>0</v>
          </cell>
          <cell r="J211">
            <v>0</v>
          </cell>
          <cell r="K211">
            <v>0</v>
          </cell>
          <cell r="L211">
            <v>0</v>
          </cell>
          <cell r="M211">
            <v>1.3</v>
          </cell>
          <cell r="N211">
            <v>38</v>
          </cell>
          <cell r="O211">
            <v>38</v>
          </cell>
          <cell r="P211">
            <v>96.692111959287544</v>
          </cell>
        </row>
        <row r="212">
          <cell r="B212" t="str">
            <v>217-214</v>
          </cell>
          <cell r="C212">
            <v>39.299999999999997</v>
          </cell>
          <cell r="D212">
            <v>16</v>
          </cell>
          <cell r="E212">
            <v>628.79999999999995</v>
          </cell>
          <cell r="F212">
            <v>1.3</v>
          </cell>
          <cell r="G212">
            <v>20.8</v>
          </cell>
          <cell r="H212">
            <v>0</v>
          </cell>
          <cell r="I212">
            <v>0</v>
          </cell>
          <cell r="J212">
            <v>0</v>
          </cell>
          <cell r="K212">
            <v>0</v>
          </cell>
          <cell r="L212">
            <v>0</v>
          </cell>
          <cell r="M212">
            <v>20.8</v>
          </cell>
          <cell r="N212">
            <v>38</v>
          </cell>
          <cell r="O212">
            <v>608</v>
          </cell>
          <cell r="P212">
            <v>96.692111959287544</v>
          </cell>
        </row>
        <row r="213">
          <cell r="B213" t="str">
            <v>217-417</v>
          </cell>
          <cell r="C213">
            <v>39.299999999999997</v>
          </cell>
          <cell r="D213">
            <v>1</v>
          </cell>
          <cell r="E213">
            <v>39.299999999999997</v>
          </cell>
          <cell r="F213">
            <v>1.3</v>
          </cell>
          <cell r="G213">
            <v>1.3</v>
          </cell>
          <cell r="H213">
            <v>0</v>
          </cell>
          <cell r="I213">
            <v>0</v>
          </cell>
          <cell r="J213">
            <v>0</v>
          </cell>
          <cell r="K213">
            <v>0</v>
          </cell>
          <cell r="L213">
            <v>0</v>
          </cell>
          <cell r="M213">
            <v>1.3</v>
          </cell>
          <cell r="N213">
            <v>38</v>
          </cell>
          <cell r="O213">
            <v>38</v>
          </cell>
          <cell r="P213">
            <v>96.692111959287544</v>
          </cell>
        </row>
        <row r="214">
          <cell r="B214" t="str">
            <v>217-428</v>
          </cell>
          <cell r="C214">
            <v>39.300000000000004</v>
          </cell>
          <cell r="D214">
            <v>429</v>
          </cell>
          <cell r="E214">
            <v>16859.7</v>
          </cell>
          <cell r="F214">
            <v>1.3</v>
          </cell>
          <cell r="G214">
            <v>557.70000000000005</v>
          </cell>
          <cell r="H214">
            <v>0</v>
          </cell>
          <cell r="I214">
            <v>0</v>
          </cell>
          <cell r="J214">
            <v>0</v>
          </cell>
          <cell r="K214">
            <v>0</v>
          </cell>
          <cell r="L214">
            <v>0</v>
          </cell>
          <cell r="M214">
            <v>557.70000000000005</v>
          </cell>
          <cell r="N214">
            <v>38</v>
          </cell>
          <cell r="O214">
            <v>16302</v>
          </cell>
          <cell r="P214">
            <v>96.692111959287516</v>
          </cell>
        </row>
        <row r="215">
          <cell r="B215" t="str">
            <v>217-431</v>
          </cell>
          <cell r="C215">
            <v>39.299999999999997</v>
          </cell>
          <cell r="D215">
            <v>1</v>
          </cell>
          <cell r="E215">
            <v>39.299999999999997</v>
          </cell>
          <cell r="F215">
            <v>1.3</v>
          </cell>
          <cell r="G215">
            <v>1.3</v>
          </cell>
          <cell r="H215">
            <v>0</v>
          </cell>
          <cell r="I215">
            <v>0</v>
          </cell>
          <cell r="J215">
            <v>0</v>
          </cell>
          <cell r="K215">
            <v>0</v>
          </cell>
          <cell r="L215">
            <v>0</v>
          </cell>
          <cell r="M215">
            <v>1.3</v>
          </cell>
          <cell r="N215">
            <v>38</v>
          </cell>
          <cell r="O215">
            <v>38</v>
          </cell>
          <cell r="P215">
            <v>96.692111959287544</v>
          </cell>
        </row>
        <row r="216">
          <cell r="B216" t="str">
            <v>217-436</v>
          </cell>
          <cell r="C216">
            <v>39.299999999999997</v>
          </cell>
          <cell r="D216">
            <v>1</v>
          </cell>
          <cell r="E216">
            <v>39.299999999999997</v>
          </cell>
          <cell r="F216">
            <v>1.3</v>
          </cell>
          <cell r="G216">
            <v>1.3</v>
          </cell>
          <cell r="H216">
            <v>0</v>
          </cell>
          <cell r="I216">
            <v>0</v>
          </cell>
          <cell r="J216">
            <v>0</v>
          </cell>
          <cell r="K216">
            <v>0</v>
          </cell>
          <cell r="L216">
            <v>0</v>
          </cell>
          <cell r="M216">
            <v>1.3</v>
          </cell>
          <cell r="N216">
            <v>38</v>
          </cell>
          <cell r="O216">
            <v>38</v>
          </cell>
          <cell r="P216">
            <v>96.692111959287544</v>
          </cell>
        </row>
        <row r="217">
          <cell r="B217" t="str">
            <v>217-482</v>
          </cell>
          <cell r="C217">
            <v>39.299999999999997</v>
          </cell>
          <cell r="D217">
            <v>1</v>
          </cell>
          <cell r="E217">
            <v>39.299999999999997</v>
          </cell>
          <cell r="F217">
            <v>1.3</v>
          </cell>
          <cell r="G217">
            <v>1.3</v>
          </cell>
          <cell r="H217">
            <v>0</v>
          </cell>
          <cell r="I217">
            <v>0</v>
          </cell>
          <cell r="J217">
            <v>0</v>
          </cell>
          <cell r="K217">
            <v>0</v>
          </cell>
          <cell r="L217">
            <v>0</v>
          </cell>
          <cell r="M217">
            <v>1.3</v>
          </cell>
          <cell r="N217">
            <v>38</v>
          </cell>
          <cell r="O217">
            <v>38</v>
          </cell>
          <cell r="P217">
            <v>96.692111959287544</v>
          </cell>
        </row>
        <row r="218">
          <cell r="B218" t="str">
            <v>217-519</v>
          </cell>
          <cell r="C218">
            <v>39.300000000000004</v>
          </cell>
          <cell r="D218">
            <v>294</v>
          </cell>
          <cell r="E218">
            <v>11554.2</v>
          </cell>
          <cell r="F218">
            <v>1.3</v>
          </cell>
          <cell r="G218">
            <v>382.2</v>
          </cell>
          <cell r="H218">
            <v>0</v>
          </cell>
          <cell r="I218">
            <v>0</v>
          </cell>
          <cell r="J218">
            <v>0</v>
          </cell>
          <cell r="K218">
            <v>0</v>
          </cell>
          <cell r="L218">
            <v>0</v>
          </cell>
          <cell r="M218">
            <v>382.2</v>
          </cell>
          <cell r="N218">
            <v>38</v>
          </cell>
          <cell r="O218">
            <v>11172</v>
          </cell>
          <cell r="P218">
            <v>96.692111959287516</v>
          </cell>
        </row>
        <row r="219">
          <cell r="B219" t="str">
            <v>217-540</v>
          </cell>
          <cell r="C219">
            <v>39.299999999999997</v>
          </cell>
          <cell r="D219">
            <v>1</v>
          </cell>
          <cell r="E219">
            <v>39.299999999999997</v>
          </cell>
          <cell r="F219">
            <v>1.3</v>
          </cell>
          <cell r="G219">
            <v>1.3</v>
          </cell>
          <cell r="H219">
            <v>0</v>
          </cell>
          <cell r="I219">
            <v>0</v>
          </cell>
          <cell r="J219">
            <v>0</v>
          </cell>
          <cell r="K219">
            <v>0</v>
          </cell>
          <cell r="L219">
            <v>0</v>
          </cell>
          <cell r="M219">
            <v>1.3</v>
          </cell>
          <cell r="N219">
            <v>38</v>
          </cell>
          <cell r="O219">
            <v>38</v>
          </cell>
          <cell r="P219">
            <v>96.692111959287544</v>
          </cell>
        </row>
        <row r="220">
          <cell r="B220" t="str">
            <v>217-579</v>
          </cell>
          <cell r="C220">
            <v>39.299999999999997</v>
          </cell>
          <cell r="D220">
            <v>51</v>
          </cell>
          <cell r="E220">
            <v>2004.3</v>
          </cell>
          <cell r="F220">
            <v>1.3</v>
          </cell>
          <cell r="G220">
            <v>66.3</v>
          </cell>
          <cell r="H220">
            <v>0</v>
          </cell>
          <cell r="I220">
            <v>0</v>
          </cell>
          <cell r="J220">
            <v>0</v>
          </cell>
          <cell r="K220">
            <v>0</v>
          </cell>
          <cell r="L220">
            <v>0</v>
          </cell>
          <cell r="M220">
            <v>66.3</v>
          </cell>
          <cell r="N220">
            <v>38</v>
          </cell>
          <cell r="O220">
            <v>1938</v>
          </cell>
          <cell r="P220">
            <v>96.692111959287544</v>
          </cell>
        </row>
        <row r="221">
          <cell r="B221" t="str">
            <v>217-661</v>
          </cell>
          <cell r="C221">
            <v>39.299999999999997</v>
          </cell>
          <cell r="D221">
            <v>105</v>
          </cell>
          <cell r="E221">
            <v>4126.5</v>
          </cell>
          <cell r="F221">
            <v>1.3</v>
          </cell>
          <cell r="G221">
            <v>136.5</v>
          </cell>
          <cell r="H221">
            <v>0</v>
          </cell>
          <cell r="I221">
            <v>0</v>
          </cell>
          <cell r="J221">
            <v>0</v>
          </cell>
          <cell r="K221">
            <v>0</v>
          </cell>
          <cell r="L221">
            <v>0</v>
          </cell>
          <cell r="M221">
            <v>136.5</v>
          </cell>
          <cell r="N221">
            <v>38</v>
          </cell>
          <cell r="O221">
            <v>3990</v>
          </cell>
          <cell r="P221">
            <v>96.692111959287544</v>
          </cell>
        </row>
        <row r="222">
          <cell r="B222" t="str">
            <v>217-723</v>
          </cell>
          <cell r="C222">
            <v>39.299999999999997</v>
          </cell>
          <cell r="D222">
            <v>1</v>
          </cell>
          <cell r="E222">
            <v>39.299999999999997</v>
          </cell>
          <cell r="F222">
            <v>1.3</v>
          </cell>
          <cell r="G222">
            <v>1.3</v>
          </cell>
          <cell r="H222">
            <v>0</v>
          </cell>
          <cell r="I222">
            <v>0</v>
          </cell>
          <cell r="J222">
            <v>0</v>
          </cell>
          <cell r="K222">
            <v>0</v>
          </cell>
          <cell r="L222">
            <v>0</v>
          </cell>
          <cell r="M222">
            <v>1.3</v>
          </cell>
          <cell r="N222">
            <v>38</v>
          </cell>
          <cell r="O222">
            <v>38</v>
          </cell>
          <cell r="P222">
            <v>96.692111959287544</v>
          </cell>
        </row>
        <row r="223">
          <cell r="B223" t="str">
            <v>217-781</v>
          </cell>
          <cell r="C223">
            <v>39.299999999999997</v>
          </cell>
          <cell r="D223">
            <v>194</v>
          </cell>
          <cell r="E223">
            <v>7624.2</v>
          </cell>
          <cell r="F223">
            <v>1.3</v>
          </cell>
          <cell r="G223">
            <v>252.20000000000002</v>
          </cell>
          <cell r="H223">
            <v>0</v>
          </cell>
          <cell r="I223">
            <v>0</v>
          </cell>
          <cell r="J223">
            <v>0</v>
          </cell>
          <cell r="K223">
            <v>0</v>
          </cell>
          <cell r="L223">
            <v>0</v>
          </cell>
          <cell r="M223">
            <v>252.20000000000002</v>
          </cell>
          <cell r="N223">
            <v>38</v>
          </cell>
          <cell r="O223">
            <v>7372</v>
          </cell>
          <cell r="P223">
            <v>96.692111959287544</v>
          </cell>
        </row>
        <row r="224">
          <cell r="B224" t="str">
            <v>217-783</v>
          </cell>
          <cell r="C224">
            <v>39.299999999999997</v>
          </cell>
          <cell r="D224">
            <v>291</v>
          </cell>
          <cell r="E224">
            <v>11436.3</v>
          </cell>
          <cell r="F224">
            <v>1.3</v>
          </cell>
          <cell r="G224">
            <v>378.3</v>
          </cell>
          <cell r="H224">
            <v>0</v>
          </cell>
          <cell r="I224">
            <v>0</v>
          </cell>
          <cell r="J224">
            <v>0</v>
          </cell>
          <cell r="K224">
            <v>0</v>
          </cell>
          <cell r="L224">
            <v>0</v>
          </cell>
          <cell r="M224">
            <v>378.3</v>
          </cell>
          <cell r="N224">
            <v>38</v>
          </cell>
          <cell r="O224">
            <v>11058</v>
          </cell>
          <cell r="P224">
            <v>96.692111959287544</v>
          </cell>
        </row>
        <row r="225">
          <cell r="B225" t="str">
            <v>217-792</v>
          </cell>
          <cell r="C225">
            <v>39.299999999999997</v>
          </cell>
          <cell r="D225">
            <v>51</v>
          </cell>
          <cell r="E225">
            <v>2004.3</v>
          </cell>
          <cell r="F225">
            <v>1.3</v>
          </cell>
          <cell r="G225">
            <v>66.3</v>
          </cell>
          <cell r="H225">
            <v>0</v>
          </cell>
          <cell r="I225">
            <v>0</v>
          </cell>
          <cell r="J225">
            <v>0</v>
          </cell>
          <cell r="K225">
            <v>0</v>
          </cell>
          <cell r="L225">
            <v>0</v>
          </cell>
          <cell r="M225">
            <v>66.3</v>
          </cell>
          <cell r="N225">
            <v>38</v>
          </cell>
          <cell r="O225">
            <v>1938</v>
          </cell>
          <cell r="P225">
            <v>96.692111959287544</v>
          </cell>
        </row>
        <row r="226">
          <cell r="B226" t="str">
            <v>217-797</v>
          </cell>
          <cell r="C226">
            <v>39.300000000000004</v>
          </cell>
          <cell r="D226">
            <v>1892</v>
          </cell>
          <cell r="E226">
            <v>74355.600000000006</v>
          </cell>
          <cell r="F226">
            <v>1.3</v>
          </cell>
          <cell r="G226">
            <v>2459.6</v>
          </cell>
          <cell r="H226">
            <v>0</v>
          </cell>
          <cell r="I226">
            <v>0</v>
          </cell>
          <cell r="J226">
            <v>0</v>
          </cell>
          <cell r="K226">
            <v>0</v>
          </cell>
          <cell r="L226">
            <v>0</v>
          </cell>
          <cell r="M226">
            <v>2459.6</v>
          </cell>
          <cell r="N226">
            <v>38</v>
          </cell>
          <cell r="O226">
            <v>71896</v>
          </cell>
          <cell r="P226">
            <v>96.692111959287516</v>
          </cell>
        </row>
        <row r="227">
          <cell r="B227" t="str">
            <v>217-807</v>
          </cell>
          <cell r="C227">
            <v>39.300000000000004</v>
          </cell>
          <cell r="D227">
            <v>254</v>
          </cell>
          <cell r="E227">
            <v>9982.2000000000007</v>
          </cell>
          <cell r="F227">
            <v>1.3</v>
          </cell>
          <cell r="G227">
            <v>330.2</v>
          </cell>
          <cell r="H227">
            <v>0</v>
          </cell>
          <cell r="I227">
            <v>0</v>
          </cell>
          <cell r="J227">
            <v>0</v>
          </cell>
          <cell r="K227">
            <v>0</v>
          </cell>
          <cell r="L227">
            <v>0</v>
          </cell>
          <cell r="M227">
            <v>330.2</v>
          </cell>
          <cell r="N227">
            <v>38</v>
          </cell>
          <cell r="O227">
            <v>9652</v>
          </cell>
          <cell r="P227">
            <v>96.692111959287516</v>
          </cell>
        </row>
        <row r="228">
          <cell r="B228" t="str">
            <v>217A428</v>
          </cell>
          <cell r="C228">
            <v>39.300000000000004</v>
          </cell>
          <cell r="D228">
            <v>39</v>
          </cell>
          <cell r="E228">
            <v>1532.7</v>
          </cell>
          <cell r="F228">
            <v>1.3</v>
          </cell>
          <cell r="G228">
            <v>50.7</v>
          </cell>
          <cell r="H228">
            <v>0</v>
          </cell>
          <cell r="I228">
            <v>0</v>
          </cell>
          <cell r="J228">
            <v>0</v>
          </cell>
          <cell r="K228">
            <v>0</v>
          </cell>
          <cell r="L228">
            <v>0</v>
          </cell>
          <cell r="M228">
            <v>50.7</v>
          </cell>
          <cell r="N228">
            <v>38</v>
          </cell>
          <cell r="O228">
            <v>1482</v>
          </cell>
          <cell r="P228">
            <v>96.692111959287516</v>
          </cell>
        </row>
        <row r="229">
          <cell r="B229" t="str">
            <v>217A797</v>
          </cell>
          <cell r="C229">
            <v>39.300000000000004</v>
          </cell>
          <cell r="D229">
            <v>284</v>
          </cell>
          <cell r="E229">
            <v>11161.2</v>
          </cell>
          <cell r="F229">
            <v>1.3</v>
          </cell>
          <cell r="G229">
            <v>369.2</v>
          </cell>
          <cell r="H229">
            <v>0</v>
          </cell>
          <cell r="I229">
            <v>0</v>
          </cell>
          <cell r="J229">
            <v>0</v>
          </cell>
          <cell r="K229">
            <v>0</v>
          </cell>
          <cell r="L229">
            <v>0</v>
          </cell>
          <cell r="M229">
            <v>369.2</v>
          </cell>
          <cell r="N229">
            <v>38</v>
          </cell>
          <cell r="O229">
            <v>10792</v>
          </cell>
          <cell r="P229">
            <v>96.692111959287516</v>
          </cell>
        </row>
        <row r="230">
          <cell r="B230" t="str">
            <v>217B428</v>
          </cell>
          <cell r="C230">
            <v>39.299999999999997</v>
          </cell>
          <cell r="D230">
            <v>62</v>
          </cell>
          <cell r="E230">
            <v>2436.6</v>
          </cell>
          <cell r="F230">
            <v>1.3</v>
          </cell>
          <cell r="G230">
            <v>80.600000000000009</v>
          </cell>
          <cell r="H230">
            <v>0</v>
          </cell>
          <cell r="I230">
            <v>0</v>
          </cell>
          <cell r="J230">
            <v>0</v>
          </cell>
          <cell r="K230">
            <v>0</v>
          </cell>
          <cell r="L230">
            <v>0</v>
          </cell>
          <cell r="M230">
            <v>80.600000000000009</v>
          </cell>
          <cell r="N230">
            <v>38</v>
          </cell>
          <cell r="O230">
            <v>2356</v>
          </cell>
          <cell r="P230">
            <v>96.692111959287544</v>
          </cell>
        </row>
        <row r="231">
          <cell r="B231" t="str">
            <v>217L214</v>
          </cell>
          <cell r="C231">
            <v>39.299999999999997</v>
          </cell>
          <cell r="D231">
            <v>13</v>
          </cell>
          <cell r="E231">
            <v>510.9</v>
          </cell>
          <cell r="F231">
            <v>1.3000000000000003</v>
          </cell>
          <cell r="G231">
            <v>16.900000000000002</v>
          </cell>
          <cell r="H231">
            <v>0</v>
          </cell>
          <cell r="I231">
            <v>0</v>
          </cell>
          <cell r="J231">
            <v>0</v>
          </cell>
          <cell r="K231">
            <v>0</v>
          </cell>
          <cell r="L231">
            <v>0</v>
          </cell>
          <cell r="M231">
            <v>16.900000000000002</v>
          </cell>
          <cell r="N231">
            <v>38</v>
          </cell>
          <cell r="O231">
            <v>494</v>
          </cell>
          <cell r="P231">
            <v>96.692111959287544</v>
          </cell>
        </row>
        <row r="232">
          <cell r="B232" t="str">
            <v>21L872</v>
          </cell>
          <cell r="C232">
            <v>39.299999999999997</v>
          </cell>
          <cell r="D232">
            <v>1</v>
          </cell>
          <cell r="E232">
            <v>39.299999999999997</v>
          </cell>
          <cell r="F232">
            <v>1.3</v>
          </cell>
          <cell r="G232">
            <v>1.3</v>
          </cell>
          <cell r="H232">
            <v>0</v>
          </cell>
          <cell r="I232">
            <v>0</v>
          </cell>
          <cell r="J232">
            <v>0</v>
          </cell>
          <cell r="K232">
            <v>0</v>
          </cell>
          <cell r="L232">
            <v>0</v>
          </cell>
          <cell r="M232">
            <v>1.3</v>
          </cell>
          <cell r="N232">
            <v>38</v>
          </cell>
          <cell r="O232">
            <v>38</v>
          </cell>
          <cell r="P232">
            <v>96.692111959287544</v>
          </cell>
        </row>
        <row r="233">
          <cell r="B233" t="str">
            <v>237-113</v>
          </cell>
          <cell r="C233">
            <v>39.300000000000004</v>
          </cell>
          <cell r="D233">
            <v>7</v>
          </cell>
          <cell r="E233">
            <v>275.10000000000002</v>
          </cell>
          <cell r="F233">
            <v>1.3</v>
          </cell>
          <cell r="G233">
            <v>9.1</v>
          </cell>
          <cell r="H233">
            <v>0</v>
          </cell>
          <cell r="I233">
            <v>0</v>
          </cell>
          <cell r="J233">
            <v>0</v>
          </cell>
          <cell r="K233">
            <v>0</v>
          </cell>
          <cell r="L233">
            <v>0</v>
          </cell>
          <cell r="M233">
            <v>9.1</v>
          </cell>
          <cell r="N233">
            <v>38</v>
          </cell>
          <cell r="O233">
            <v>266</v>
          </cell>
          <cell r="P233">
            <v>96.692111959287516</v>
          </cell>
        </row>
        <row r="234">
          <cell r="B234" t="str">
            <v>237L063</v>
          </cell>
          <cell r="C234">
            <v>41.782065217391299</v>
          </cell>
          <cell r="D234">
            <v>92</v>
          </cell>
          <cell r="E234">
            <v>3843.95</v>
          </cell>
          <cell r="F234">
            <v>1.3</v>
          </cell>
          <cell r="G234">
            <v>119.60000000000001</v>
          </cell>
          <cell r="H234">
            <v>0</v>
          </cell>
          <cell r="I234">
            <v>0</v>
          </cell>
          <cell r="J234">
            <v>0</v>
          </cell>
          <cell r="K234">
            <v>0</v>
          </cell>
          <cell r="L234">
            <v>0</v>
          </cell>
          <cell r="M234">
            <v>119.60000000000001</v>
          </cell>
          <cell r="N234">
            <v>40.482065217391302</v>
          </cell>
          <cell r="O234">
            <v>3724.35</v>
          </cell>
          <cell r="P234">
            <v>96.8886171776428</v>
          </cell>
        </row>
        <row r="235">
          <cell r="B235" t="str">
            <v>300L221</v>
          </cell>
          <cell r="C235">
            <v>26.2</v>
          </cell>
          <cell r="D235">
            <v>3</v>
          </cell>
          <cell r="E235">
            <v>78.599999999999994</v>
          </cell>
          <cell r="F235">
            <v>1.3</v>
          </cell>
          <cell r="G235">
            <v>3.9000000000000004</v>
          </cell>
          <cell r="H235">
            <v>0</v>
          </cell>
          <cell r="I235">
            <v>0</v>
          </cell>
          <cell r="J235">
            <v>0</v>
          </cell>
          <cell r="K235">
            <v>0</v>
          </cell>
          <cell r="L235">
            <v>0</v>
          </cell>
          <cell r="M235">
            <v>3.9000000000000004</v>
          </cell>
          <cell r="N235">
            <v>24.899999999999995</v>
          </cell>
          <cell r="O235">
            <v>74.699999999999989</v>
          </cell>
          <cell r="P235">
            <v>95.038167938931281</v>
          </cell>
        </row>
        <row r="236">
          <cell r="B236" t="str">
            <v>317-018</v>
          </cell>
          <cell r="C236">
            <v>26.2</v>
          </cell>
          <cell r="D236">
            <v>1</v>
          </cell>
          <cell r="E236">
            <v>26.2</v>
          </cell>
          <cell r="F236">
            <v>1.3</v>
          </cell>
          <cell r="G236">
            <v>1.3</v>
          </cell>
          <cell r="H236">
            <v>0</v>
          </cell>
          <cell r="I236">
            <v>0</v>
          </cell>
          <cell r="J236">
            <v>0</v>
          </cell>
          <cell r="K236">
            <v>0</v>
          </cell>
          <cell r="L236">
            <v>0</v>
          </cell>
          <cell r="M236">
            <v>1.3</v>
          </cell>
          <cell r="N236">
            <v>24.9</v>
          </cell>
          <cell r="O236">
            <v>24.9</v>
          </cell>
          <cell r="P236">
            <v>95.038167938931295</v>
          </cell>
        </row>
        <row r="237">
          <cell r="B237" t="str">
            <v>401L047</v>
          </cell>
          <cell r="C237">
            <v>26.2</v>
          </cell>
          <cell r="D237">
            <v>6</v>
          </cell>
          <cell r="E237">
            <v>157.19999999999999</v>
          </cell>
          <cell r="F237">
            <v>1.3</v>
          </cell>
          <cell r="G237">
            <v>7.8000000000000007</v>
          </cell>
          <cell r="H237">
            <v>0</v>
          </cell>
          <cell r="I237">
            <v>0</v>
          </cell>
          <cell r="J237">
            <v>0</v>
          </cell>
          <cell r="K237">
            <v>0</v>
          </cell>
          <cell r="L237">
            <v>0</v>
          </cell>
          <cell r="M237">
            <v>7.8000000000000007</v>
          </cell>
          <cell r="N237">
            <v>24.899999999999995</v>
          </cell>
          <cell r="O237">
            <v>149.39999999999998</v>
          </cell>
          <cell r="P237">
            <v>95.038167938931281</v>
          </cell>
        </row>
        <row r="238">
          <cell r="B238" t="str">
            <v>401L152</v>
          </cell>
          <cell r="C238">
            <v>26.2</v>
          </cell>
          <cell r="D238">
            <v>32</v>
          </cell>
          <cell r="E238">
            <v>838.4</v>
          </cell>
          <cell r="F238">
            <v>1.3</v>
          </cell>
          <cell r="G238">
            <v>41.6</v>
          </cell>
          <cell r="H238">
            <v>0</v>
          </cell>
          <cell r="I238">
            <v>0</v>
          </cell>
          <cell r="J238">
            <v>0</v>
          </cell>
          <cell r="K238">
            <v>0</v>
          </cell>
          <cell r="L238">
            <v>0</v>
          </cell>
          <cell r="M238">
            <v>41.6</v>
          </cell>
          <cell r="N238">
            <v>24.9</v>
          </cell>
          <cell r="O238">
            <v>796.8</v>
          </cell>
          <cell r="P238">
            <v>95.038167938931295</v>
          </cell>
        </row>
        <row r="239">
          <cell r="B239" t="str">
            <v>49X036</v>
          </cell>
          <cell r="C239">
            <v>26.2</v>
          </cell>
          <cell r="D239">
            <v>1</v>
          </cell>
          <cell r="E239">
            <v>26.2</v>
          </cell>
          <cell r="F239">
            <v>1.3</v>
          </cell>
          <cell r="G239">
            <v>1.3</v>
          </cell>
          <cell r="H239">
            <v>0</v>
          </cell>
          <cell r="I239">
            <v>0</v>
          </cell>
          <cell r="J239">
            <v>0</v>
          </cell>
          <cell r="K239">
            <v>0</v>
          </cell>
          <cell r="L239">
            <v>0</v>
          </cell>
          <cell r="M239">
            <v>1.3</v>
          </cell>
          <cell r="N239">
            <v>24.9</v>
          </cell>
          <cell r="O239">
            <v>24.9</v>
          </cell>
          <cell r="P239">
            <v>95.038167938931295</v>
          </cell>
        </row>
        <row r="240">
          <cell r="B240" t="str">
            <v>70-683</v>
          </cell>
          <cell r="C240">
            <v>62.72</v>
          </cell>
          <cell r="D240">
            <v>3</v>
          </cell>
          <cell r="E240">
            <v>188.16</v>
          </cell>
          <cell r="F240">
            <v>1.3</v>
          </cell>
          <cell r="G240">
            <v>3.9000000000000004</v>
          </cell>
          <cell r="H240">
            <v>47.79999999999999</v>
          </cell>
          <cell r="I240">
            <v>143.39999999999998</v>
          </cell>
          <cell r="J240">
            <v>5.2</v>
          </cell>
          <cell r="K240">
            <v>4.16</v>
          </cell>
          <cell r="L240">
            <v>12.48</v>
          </cell>
          <cell r="M240">
            <v>159.77999999999997</v>
          </cell>
          <cell r="N240">
            <v>9.460000000000008</v>
          </cell>
          <cell r="O240">
            <v>28.380000000000024</v>
          </cell>
          <cell r="P240">
            <v>15.082908163265319</v>
          </cell>
        </row>
        <row r="241">
          <cell r="B241" t="str">
            <v>70-696</v>
          </cell>
          <cell r="C241">
            <v>65.13</v>
          </cell>
          <cell r="D241">
            <v>1</v>
          </cell>
          <cell r="E241">
            <v>65.13</v>
          </cell>
          <cell r="F241">
            <v>1.3</v>
          </cell>
          <cell r="G241">
            <v>1.3</v>
          </cell>
          <cell r="H241">
            <v>86.18</v>
          </cell>
          <cell r="I241">
            <v>86.18</v>
          </cell>
          <cell r="J241">
            <v>5.1499999999999995</v>
          </cell>
          <cell r="K241">
            <v>4.12</v>
          </cell>
          <cell r="L241">
            <v>4.12</v>
          </cell>
          <cell r="M241">
            <v>91.600000000000009</v>
          </cell>
          <cell r="N241">
            <v>-26.470000000000013</v>
          </cell>
          <cell r="O241">
            <v>-26.470000000000013</v>
          </cell>
          <cell r="P241">
            <v>-40.641793336404135</v>
          </cell>
        </row>
        <row r="242">
          <cell r="B242" t="str">
            <v>70-734</v>
          </cell>
          <cell r="C242">
            <v>26.2</v>
          </cell>
          <cell r="D242">
            <v>7</v>
          </cell>
          <cell r="E242">
            <v>183.4</v>
          </cell>
          <cell r="F242">
            <v>1.3</v>
          </cell>
          <cell r="G242">
            <v>9.1</v>
          </cell>
          <cell r="H242">
            <v>59.43</v>
          </cell>
          <cell r="I242">
            <v>416.01</v>
          </cell>
          <cell r="J242">
            <v>4.83</v>
          </cell>
          <cell r="K242">
            <v>3.8640000000000003</v>
          </cell>
          <cell r="L242">
            <v>27.048000000000002</v>
          </cell>
          <cell r="M242">
            <v>452.15800000000002</v>
          </cell>
          <cell r="N242">
            <v>-38.394000000000005</v>
          </cell>
          <cell r="O242">
            <v>-268.75800000000004</v>
          </cell>
          <cell r="P242">
            <v>-146.54198473282446</v>
          </cell>
        </row>
        <row r="243">
          <cell r="B243" t="str">
            <v>751-417</v>
          </cell>
          <cell r="C243">
            <v>31.935489220563845</v>
          </cell>
          <cell r="D243">
            <v>603</v>
          </cell>
          <cell r="E243">
            <v>19257.099999999999</v>
          </cell>
          <cell r="F243">
            <v>1.3</v>
          </cell>
          <cell r="G243">
            <v>783.9</v>
          </cell>
          <cell r="H243">
            <v>0</v>
          </cell>
          <cell r="I243">
            <v>0</v>
          </cell>
          <cell r="J243">
            <v>0</v>
          </cell>
          <cell r="K243">
            <v>0</v>
          </cell>
          <cell r="L243">
            <v>0</v>
          </cell>
          <cell r="M243">
            <v>783.9</v>
          </cell>
          <cell r="N243">
            <v>30.635489220563844</v>
          </cell>
          <cell r="O243">
            <v>18473.199999999997</v>
          </cell>
          <cell r="P243">
            <v>95.92929361118756</v>
          </cell>
        </row>
        <row r="244">
          <cell r="B244" t="str">
            <v>751-786</v>
          </cell>
          <cell r="C244">
            <v>26.2</v>
          </cell>
          <cell r="D244">
            <v>5</v>
          </cell>
          <cell r="E244">
            <v>131</v>
          </cell>
          <cell r="F244">
            <v>1.3</v>
          </cell>
          <cell r="G244">
            <v>6.5</v>
          </cell>
          <cell r="H244">
            <v>0</v>
          </cell>
          <cell r="I244">
            <v>0</v>
          </cell>
          <cell r="J244">
            <v>0</v>
          </cell>
          <cell r="K244">
            <v>0</v>
          </cell>
          <cell r="L244">
            <v>0</v>
          </cell>
          <cell r="M244">
            <v>6.5</v>
          </cell>
          <cell r="N244">
            <v>24.9</v>
          </cell>
          <cell r="O244">
            <v>124.5</v>
          </cell>
          <cell r="P244">
            <v>95.038167938931295</v>
          </cell>
        </row>
        <row r="245">
          <cell r="B245" t="str">
            <v>751L077</v>
          </cell>
          <cell r="C245">
            <v>26.2</v>
          </cell>
          <cell r="D245">
            <v>1</v>
          </cell>
          <cell r="E245">
            <v>26.2</v>
          </cell>
          <cell r="F245">
            <v>1.3</v>
          </cell>
          <cell r="G245">
            <v>1.3</v>
          </cell>
          <cell r="H245">
            <v>0</v>
          </cell>
          <cell r="I245">
            <v>0</v>
          </cell>
          <cell r="J245">
            <v>0</v>
          </cell>
          <cell r="K245">
            <v>0</v>
          </cell>
          <cell r="L245">
            <v>0</v>
          </cell>
          <cell r="M245">
            <v>1.3</v>
          </cell>
          <cell r="N245">
            <v>24.9</v>
          </cell>
          <cell r="O245">
            <v>24.9</v>
          </cell>
          <cell r="P245">
            <v>95.038167938931295</v>
          </cell>
        </row>
        <row r="246">
          <cell r="B246" t="str">
            <v>751L095</v>
          </cell>
          <cell r="C246">
            <v>26.2</v>
          </cell>
          <cell r="D246">
            <v>1</v>
          </cell>
          <cell r="E246">
            <v>26.2</v>
          </cell>
          <cell r="F246">
            <v>1.3</v>
          </cell>
          <cell r="G246">
            <v>1.3</v>
          </cell>
          <cell r="H246">
            <v>0</v>
          </cell>
          <cell r="I246">
            <v>0</v>
          </cell>
          <cell r="J246">
            <v>0</v>
          </cell>
          <cell r="K246">
            <v>0</v>
          </cell>
          <cell r="L246">
            <v>0</v>
          </cell>
          <cell r="M246">
            <v>1.3</v>
          </cell>
          <cell r="N246">
            <v>24.9</v>
          </cell>
          <cell r="O246">
            <v>24.9</v>
          </cell>
          <cell r="P246">
            <v>95.038167938931295</v>
          </cell>
        </row>
        <row r="247">
          <cell r="B247" t="str">
            <v>751L417</v>
          </cell>
          <cell r="C247">
            <v>26.2</v>
          </cell>
          <cell r="D247">
            <v>1</v>
          </cell>
          <cell r="E247">
            <v>26.2</v>
          </cell>
          <cell r="F247">
            <v>1.3</v>
          </cell>
          <cell r="G247">
            <v>1.3</v>
          </cell>
          <cell r="H247">
            <v>0</v>
          </cell>
          <cell r="I247">
            <v>0</v>
          </cell>
          <cell r="J247">
            <v>0</v>
          </cell>
          <cell r="K247">
            <v>0</v>
          </cell>
          <cell r="L247">
            <v>0</v>
          </cell>
          <cell r="M247">
            <v>1.3</v>
          </cell>
          <cell r="N247">
            <v>24.9</v>
          </cell>
          <cell r="O247">
            <v>24.9</v>
          </cell>
          <cell r="P247">
            <v>95.038167938931295</v>
          </cell>
        </row>
        <row r="248">
          <cell r="B248" t="str">
            <v>751S021</v>
          </cell>
          <cell r="C248">
            <v>26.2</v>
          </cell>
          <cell r="D248">
            <v>1</v>
          </cell>
          <cell r="E248">
            <v>26.2</v>
          </cell>
          <cell r="F248">
            <v>1.3</v>
          </cell>
          <cell r="G248">
            <v>1.3</v>
          </cell>
          <cell r="H248">
            <v>0</v>
          </cell>
          <cell r="I248">
            <v>0</v>
          </cell>
          <cell r="J248">
            <v>0</v>
          </cell>
          <cell r="K248">
            <v>0</v>
          </cell>
          <cell r="L248">
            <v>0</v>
          </cell>
          <cell r="M248">
            <v>1.3</v>
          </cell>
          <cell r="N248">
            <v>24.9</v>
          </cell>
          <cell r="O248">
            <v>24.9</v>
          </cell>
          <cell r="P248">
            <v>95.038167938931295</v>
          </cell>
        </row>
        <row r="249">
          <cell r="B249" t="str">
            <v>751S250</v>
          </cell>
          <cell r="C249">
            <v>26.2</v>
          </cell>
          <cell r="D249">
            <v>1</v>
          </cell>
          <cell r="E249">
            <v>26.2</v>
          </cell>
          <cell r="F249">
            <v>1.3</v>
          </cell>
          <cell r="G249">
            <v>1.3</v>
          </cell>
          <cell r="H249">
            <v>0</v>
          </cell>
          <cell r="I249">
            <v>0</v>
          </cell>
          <cell r="J249">
            <v>0</v>
          </cell>
          <cell r="K249">
            <v>0</v>
          </cell>
          <cell r="L249">
            <v>0</v>
          </cell>
          <cell r="M249">
            <v>1.3</v>
          </cell>
          <cell r="N249">
            <v>24.9</v>
          </cell>
          <cell r="O249">
            <v>24.9</v>
          </cell>
          <cell r="P249">
            <v>95.038167938931295</v>
          </cell>
        </row>
        <row r="250">
          <cell r="B250" t="str">
            <v>751S390</v>
          </cell>
          <cell r="C250">
            <v>26.2</v>
          </cell>
          <cell r="D250">
            <v>1</v>
          </cell>
          <cell r="E250">
            <v>26.2</v>
          </cell>
          <cell r="F250">
            <v>1.3</v>
          </cell>
          <cell r="G250">
            <v>1.3</v>
          </cell>
          <cell r="H250">
            <v>0</v>
          </cell>
          <cell r="I250">
            <v>0</v>
          </cell>
          <cell r="J250">
            <v>0</v>
          </cell>
          <cell r="K250">
            <v>0</v>
          </cell>
          <cell r="L250">
            <v>0</v>
          </cell>
          <cell r="M250">
            <v>1.3</v>
          </cell>
          <cell r="N250">
            <v>24.9</v>
          </cell>
          <cell r="O250">
            <v>24.9</v>
          </cell>
          <cell r="P250">
            <v>95.038167938931295</v>
          </cell>
        </row>
        <row r="251">
          <cell r="B251" t="str">
            <v>751S448</v>
          </cell>
          <cell r="C251">
            <v>26.2</v>
          </cell>
          <cell r="D251">
            <v>1</v>
          </cell>
          <cell r="E251">
            <v>26.2</v>
          </cell>
          <cell r="F251">
            <v>1.3</v>
          </cell>
          <cell r="G251">
            <v>1.3</v>
          </cell>
          <cell r="H251">
            <v>0</v>
          </cell>
          <cell r="I251">
            <v>0</v>
          </cell>
          <cell r="J251">
            <v>0</v>
          </cell>
          <cell r="K251">
            <v>0</v>
          </cell>
          <cell r="L251">
            <v>0</v>
          </cell>
          <cell r="M251">
            <v>1.3</v>
          </cell>
          <cell r="N251">
            <v>24.9</v>
          </cell>
          <cell r="O251">
            <v>24.9</v>
          </cell>
          <cell r="P251">
            <v>95.038167938931295</v>
          </cell>
        </row>
        <row r="252">
          <cell r="B252" t="str">
            <v>751S689</v>
          </cell>
          <cell r="C252">
            <v>26.2</v>
          </cell>
          <cell r="D252">
            <v>1</v>
          </cell>
          <cell r="E252">
            <v>26.2</v>
          </cell>
          <cell r="F252">
            <v>1.3</v>
          </cell>
          <cell r="G252">
            <v>1.3</v>
          </cell>
          <cell r="H252">
            <v>0</v>
          </cell>
          <cell r="I252">
            <v>0</v>
          </cell>
          <cell r="J252">
            <v>0</v>
          </cell>
          <cell r="K252">
            <v>0</v>
          </cell>
          <cell r="L252">
            <v>0</v>
          </cell>
          <cell r="M252">
            <v>1.3</v>
          </cell>
          <cell r="N252">
            <v>24.9</v>
          </cell>
          <cell r="O252">
            <v>24.9</v>
          </cell>
          <cell r="P252">
            <v>95.038167938931295</v>
          </cell>
        </row>
        <row r="253">
          <cell r="B253" t="str">
            <v>751S742</v>
          </cell>
          <cell r="C253">
            <v>26.2</v>
          </cell>
          <cell r="D253">
            <v>1</v>
          </cell>
          <cell r="E253">
            <v>26.2</v>
          </cell>
          <cell r="F253">
            <v>1.3</v>
          </cell>
          <cell r="G253">
            <v>1.3</v>
          </cell>
          <cell r="H253">
            <v>0</v>
          </cell>
          <cell r="I253">
            <v>0</v>
          </cell>
          <cell r="J253">
            <v>0</v>
          </cell>
          <cell r="K253">
            <v>0</v>
          </cell>
          <cell r="L253">
            <v>0</v>
          </cell>
          <cell r="M253">
            <v>1.3</v>
          </cell>
          <cell r="N253">
            <v>24.9</v>
          </cell>
          <cell r="O253">
            <v>24.9</v>
          </cell>
          <cell r="P253">
            <v>95.038167938931295</v>
          </cell>
        </row>
        <row r="254">
          <cell r="B254" t="str">
            <v>752-015</v>
          </cell>
          <cell r="C254">
            <v>26.2</v>
          </cell>
          <cell r="D254">
            <v>1</v>
          </cell>
          <cell r="E254">
            <v>26.2</v>
          </cell>
          <cell r="F254">
            <v>1.3</v>
          </cell>
          <cell r="G254">
            <v>1.3</v>
          </cell>
          <cell r="H254">
            <v>0</v>
          </cell>
          <cell r="I254">
            <v>0</v>
          </cell>
          <cell r="J254">
            <v>0</v>
          </cell>
          <cell r="K254">
            <v>0</v>
          </cell>
          <cell r="L254">
            <v>0</v>
          </cell>
          <cell r="M254">
            <v>1.3</v>
          </cell>
          <cell r="N254">
            <v>24.9</v>
          </cell>
          <cell r="O254">
            <v>24.9</v>
          </cell>
          <cell r="P254">
            <v>95.038167938931295</v>
          </cell>
        </row>
        <row r="255">
          <cell r="B255" t="str">
            <v>760L002</v>
          </cell>
          <cell r="C255">
            <v>26.2</v>
          </cell>
          <cell r="D255">
            <v>22</v>
          </cell>
          <cell r="E255">
            <v>576.4</v>
          </cell>
          <cell r="F255">
            <v>1.3</v>
          </cell>
          <cell r="G255">
            <v>28.6</v>
          </cell>
          <cell r="H255">
            <v>0</v>
          </cell>
          <cell r="I255">
            <v>0</v>
          </cell>
          <cell r="J255">
            <v>0</v>
          </cell>
          <cell r="K255">
            <v>0</v>
          </cell>
          <cell r="L255">
            <v>0</v>
          </cell>
          <cell r="M255">
            <v>28.6</v>
          </cell>
          <cell r="N255">
            <v>24.9</v>
          </cell>
          <cell r="O255">
            <v>547.79999999999995</v>
          </cell>
          <cell r="P255">
            <v>95.038167938931295</v>
          </cell>
        </row>
        <row r="256">
          <cell r="B256" t="str">
            <v>79X194</v>
          </cell>
          <cell r="C256">
            <v>26.2</v>
          </cell>
          <cell r="D256">
            <v>2</v>
          </cell>
          <cell r="E256">
            <v>52.4</v>
          </cell>
          <cell r="F256">
            <v>1.3</v>
          </cell>
          <cell r="G256">
            <v>2.6</v>
          </cell>
          <cell r="H256">
            <v>0</v>
          </cell>
          <cell r="I256">
            <v>0</v>
          </cell>
          <cell r="J256">
            <v>0</v>
          </cell>
          <cell r="K256">
            <v>0</v>
          </cell>
          <cell r="L256">
            <v>0</v>
          </cell>
          <cell r="M256">
            <v>2.6</v>
          </cell>
          <cell r="N256">
            <v>24.9</v>
          </cell>
          <cell r="O256">
            <v>49.8</v>
          </cell>
          <cell r="P256">
            <v>95.038167938931295</v>
          </cell>
        </row>
        <row r="257">
          <cell r="B257" t="str">
            <v>79X217</v>
          </cell>
          <cell r="C257">
            <v>26.2</v>
          </cell>
          <cell r="D257">
            <v>61</v>
          </cell>
          <cell r="E257">
            <v>1598.2</v>
          </cell>
          <cell r="F257">
            <v>1.3</v>
          </cell>
          <cell r="G257">
            <v>79.3</v>
          </cell>
          <cell r="H257">
            <v>0</v>
          </cell>
          <cell r="I257">
            <v>0</v>
          </cell>
          <cell r="J257">
            <v>0</v>
          </cell>
          <cell r="K257">
            <v>0</v>
          </cell>
          <cell r="L257">
            <v>0</v>
          </cell>
          <cell r="M257">
            <v>79.3</v>
          </cell>
          <cell r="N257">
            <v>24.900000000000002</v>
          </cell>
          <cell r="O257">
            <v>1518.9</v>
          </cell>
          <cell r="P257">
            <v>95.038167938931309</v>
          </cell>
        </row>
        <row r="258">
          <cell r="B258" t="str">
            <v>79X481</v>
          </cell>
          <cell r="C258">
            <v>26.200000000000003</v>
          </cell>
          <cell r="D258">
            <v>77</v>
          </cell>
          <cell r="E258">
            <v>2017.4</v>
          </cell>
          <cell r="F258">
            <v>1.3</v>
          </cell>
          <cell r="G258">
            <v>100.10000000000001</v>
          </cell>
          <cell r="H258">
            <v>0</v>
          </cell>
          <cell r="I258">
            <v>0</v>
          </cell>
          <cell r="J258">
            <v>0</v>
          </cell>
          <cell r="K258">
            <v>0</v>
          </cell>
          <cell r="L258">
            <v>0</v>
          </cell>
          <cell r="M258">
            <v>100.10000000000001</v>
          </cell>
          <cell r="N258">
            <v>24.900000000000002</v>
          </cell>
          <cell r="O258">
            <v>1917.3000000000002</v>
          </cell>
          <cell r="P258">
            <v>95.038167938931295</v>
          </cell>
        </row>
        <row r="259">
          <cell r="B259" t="str">
            <v>79X482</v>
          </cell>
          <cell r="C259">
            <v>26.2</v>
          </cell>
          <cell r="D259">
            <v>142</v>
          </cell>
          <cell r="E259">
            <v>3720.4</v>
          </cell>
          <cell r="F259">
            <v>1.3</v>
          </cell>
          <cell r="G259">
            <v>184.6</v>
          </cell>
          <cell r="H259">
            <v>0</v>
          </cell>
          <cell r="I259">
            <v>0</v>
          </cell>
          <cell r="J259">
            <v>0</v>
          </cell>
          <cell r="K259">
            <v>0</v>
          </cell>
          <cell r="L259">
            <v>0</v>
          </cell>
          <cell r="M259">
            <v>184.6</v>
          </cell>
          <cell r="N259">
            <v>24.900000000000002</v>
          </cell>
          <cell r="O259">
            <v>3535.8</v>
          </cell>
          <cell r="P259">
            <v>95.038167938931309</v>
          </cell>
        </row>
        <row r="260">
          <cell r="B260" t="str">
            <v>79X484</v>
          </cell>
          <cell r="C260">
            <v>26.2</v>
          </cell>
          <cell r="D260">
            <v>98</v>
          </cell>
          <cell r="E260">
            <v>2567.6</v>
          </cell>
          <cell r="F260">
            <v>1.3</v>
          </cell>
          <cell r="G260">
            <v>127.4</v>
          </cell>
          <cell r="H260">
            <v>0</v>
          </cell>
          <cell r="I260">
            <v>0</v>
          </cell>
          <cell r="J260">
            <v>0</v>
          </cell>
          <cell r="K260">
            <v>0</v>
          </cell>
          <cell r="L260">
            <v>0</v>
          </cell>
          <cell r="M260">
            <v>127.4</v>
          </cell>
          <cell r="N260">
            <v>24.9</v>
          </cell>
          <cell r="O260">
            <v>2440.1999999999998</v>
          </cell>
          <cell r="P260">
            <v>95.038167938931295</v>
          </cell>
        </row>
        <row r="339">
          <cell r="B339" t="str">
            <v>Stock Lot</v>
          </cell>
          <cell r="C339">
            <v>42.740615243342518</v>
          </cell>
          <cell r="D339">
            <v>2178</v>
          </cell>
          <cell r="E339">
            <v>93089.06</v>
          </cell>
          <cell r="F339">
            <v>0.11299357208448117</v>
          </cell>
          <cell r="G339">
            <v>246.1</v>
          </cell>
          <cell r="M339">
            <v>246.1</v>
          </cell>
          <cell r="N339">
            <v>42.627621671258034</v>
          </cell>
          <cell r="O339">
            <v>92842.959999999992</v>
          </cell>
          <cell r="P339">
            <v>99.735629514359687</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up Sales"/>
      <sheetName val="Sheet3"/>
      <sheetName val="Scenario 1"/>
      <sheetName val="Scenario 2"/>
      <sheetName val="Sheet1"/>
      <sheetName val="Article"/>
      <sheetName val="CUMAA"/>
    </sheetNames>
    <sheetDataSet>
      <sheetData sheetId="0" refreshError="1">
        <row r="3">
          <cell r="A3" t="str">
            <v>Rs 000</v>
          </cell>
        </row>
      </sheetData>
      <sheetData sheetId="1"/>
      <sheetData sheetId="2"/>
      <sheetData sheetId="3"/>
      <sheetData sheetId="4"/>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PCOST"/>
      <sheetName val="STOCKS"/>
      <sheetName val="WIP97"/>
      <sheetName val="Finance MI"/>
      <sheetName val="MI-Rec"/>
      <sheetName val="FG"/>
      <sheetName val="FGnew"/>
      <sheetName val="MIrecannual"/>
      <sheetName val="as"/>
      <sheetName val="Caa"/>
      <sheetName val="WIP99"/>
      <sheetName val="CumRec"/>
      <sheetName val="Sheet5"/>
      <sheetName val="Sheet4"/>
      <sheetName val="Sheet3"/>
      <sheetName val="Sheet2"/>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OP"/>
      <sheetName val="PCOST"/>
      <sheetName val="STOCKS"/>
      <sheetName val="WIP97"/>
      <sheetName val="issuenneeeeee"/>
      <sheetName val="Sheet1"/>
      <sheetName val="Sheet8"/>
      <sheetName val="Sheet2"/>
      <sheetName val="FG"/>
      <sheetName val="FGnew"/>
      <sheetName val="Sheet9"/>
      <sheetName val="Sheet10"/>
      <sheetName val="MIrecannual"/>
      <sheetName val="MI-Rec"/>
      <sheetName val="Sheet6"/>
      <sheetName val="as"/>
      <sheetName val="Caa"/>
      <sheetName val="Sheet7"/>
      <sheetName val="Sheet5"/>
      <sheetName val="Sheet3"/>
      <sheetName val="Sa"/>
      <sheetName val="LIST"/>
      <sheetName val="Sheet4"/>
      <sheetName val="DEAD"/>
      <sheetName val="Finance MI"/>
      <sheetName val="Assumptions"/>
    </sheetNames>
    <sheetDataSet>
      <sheetData sheetId="0" refreshError="1"/>
      <sheetData sheetId="1" refreshError="1">
        <row r="160">
          <cell r="B160" t="str">
            <v>200L639</v>
          </cell>
          <cell r="C160">
            <v>-6.6691461412151067</v>
          </cell>
          <cell r="D160">
            <v>1218</v>
          </cell>
          <cell r="E160">
            <v>-8123.02</v>
          </cell>
          <cell r="F160">
            <v>0.24626134378594858</v>
          </cell>
          <cell r="G160">
            <v>299.94631673128538</v>
          </cell>
          <cell r="H160">
            <v>62.39</v>
          </cell>
          <cell r="I160">
            <v>75991.02</v>
          </cell>
          <cell r="J160">
            <v>7.6</v>
          </cell>
          <cell r="K160">
            <v>6.08</v>
          </cell>
          <cell r="L160">
            <v>7405.4400000000005</v>
          </cell>
          <cell r="M160">
            <v>83696.406316731285</v>
          </cell>
          <cell r="N160">
            <v>-75.385407485001053</v>
          </cell>
          <cell r="O160">
            <v>-91819.426316731289</v>
          </cell>
          <cell r="P160">
            <v>1130.3607071844126</v>
          </cell>
        </row>
        <row r="161">
          <cell r="B161" t="str">
            <v>200L828</v>
          </cell>
          <cell r="C161">
            <v>128.60999999999999</v>
          </cell>
          <cell r="D161">
            <v>521</v>
          </cell>
          <cell r="E161">
            <v>67005.81</v>
          </cell>
          <cell r="F161">
            <v>0.24626134378594858</v>
          </cell>
          <cell r="G161">
            <v>128.30216011247921</v>
          </cell>
          <cell r="H161">
            <v>54.21</v>
          </cell>
          <cell r="I161">
            <v>28243.41</v>
          </cell>
          <cell r="J161">
            <v>10.139999999999999</v>
          </cell>
          <cell r="K161">
            <v>8.1120000000000001</v>
          </cell>
          <cell r="L161">
            <v>4226.3519999999999</v>
          </cell>
          <cell r="M161">
            <v>32598.064160112477</v>
          </cell>
          <cell r="N161">
            <v>66.041738656214051</v>
          </cell>
          <cell r="O161">
            <v>34407.745839887517</v>
          </cell>
          <cell r="P161">
            <v>51.350391615126398</v>
          </cell>
        </row>
        <row r="162">
          <cell r="B162" t="str">
            <v>201L252</v>
          </cell>
          <cell r="C162">
            <v>158.60999999999999</v>
          </cell>
          <cell r="D162">
            <v>55</v>
          </cell>
          <cell r="E162">
            <v>8723.5499999999993</v>
          </cell>
          <cell r="F162">
            <v>0.24626134378594861</v>
          </cell>
          <cell r="G162">
            <v>13.544373908227174</v>
          </cell>
          <cell r="H162">
            <v>69.72</v>
          </cell>
          <cell r="I162">
            <v>3834.6</v>
          </cell>
          <cell r="J162">
            <v>11.95</v>
          </cell>
          <cell r="K162">
            <v>9.56</v>
          </cell>
          <cell r="L162">
            <v>525.80000000000007</v>
          </cell>
          <cell r="M162">
            <v>4373.9443739082271</v>
          </cell>
          <cell r="N162">
            <v>79.083738656214038</v>
          </cell>
          <cell r="O162">
            <v>4349.6056260917721</v>
          </cell>
          <cell r="P162">
            <v>49.860499751726906</v>
          </cell>
        </row>
        <row r="163">
          <cell r="B163" t="str">
            <v>201L600</v>
          </cell>
          <cell r="C163">
            <v>88.61</v>
          </cell>
          <cell r="D163">
            <v>86</v>
          </cell>
          <cell r="E163">
            <v>7620.46</v>
          </cell>
          <cell r="F163">
            <v>0.24626134378594861</v>
          </cell>
          <cell r="G163">
            <v>21.17847556559158</v>
          </cell>
          <cell r="H163">
            <v>47.07</v>
          </cell>
          <cell r="I163">
            <v>4048.02</v>
          </cell>
          <cell r="J163">
            <v>8.9600000000000009</v>
          </cell>
          <cell r="K163">
            <v>7.168000000000001</v>
          </cell>
          <cell r="L163">
            <v>616.44800000000009</v>
          </cell>
          <cell r="M163">
            <v>4685.6464755655916</v>
          </cell>
          <cell r="N163">
            <v>34.125738656214054</v>
          </cell>
          <cell r="O163">
            <v>2934.8135244344085</v>
          </cell>
          <cell r="P163">
            <v>38.512288292759344</v>
          </cell>
        </row>
        <row r="164">
          <cell r="B164" t="str">
            <v>201L751</v>
          </cell>
          <cell r="C164">
            <v>98.667831325301208</v>
          </cell>
          <cell r="D164">
            <v>2075</v>
          </cell>
          <cell r="E164">
            <v>204735.75</v>
          </cell>
          <cell r="F164">
            <v>0.24626134378594861</v>
          </cell>
          <cell r="G164">
            <v>510.99228835584336</v>
          </cell>
          <cell r="H164">
            <v>59.88</v>
          </cell>
          <cell r="I164">
            <v>124251</v>
          </cell>
          <cell r="J164">
            <v>10.34</v>
          </cell>
          <cell r="K164">
            <v>8.2720000000000002</v>
          </cell>
          <cell r="L164">
            <v>17164.400000000001</v>
          </cell>
          <cell r="M164">
            <v>141926.39228835583</v>
          </cell>
          <cell r="N164">
            <v>30.269569981515264</v>
          </cell>
          <cell r="O164">
            <v>62809.357711644174</v>
          </cell>
          <cell r="P164">
            <v>30.678256099212849</v>
          </cell>
        </row>
        <row r="165">
          <cell r="B165" t="str">
            <v>201L912</v>
          </cell>
          <cell r="C165">
            <v>103.61000000000001</v>
          </cell>
          <cell r="D165">
            <v>3748</v>
          </cell>
          <cell r="E165">
            <v>388330.28</v>
          </cell>
          <cell r="F165">
            <v>0.24626134378594863</v>
          </cell>
          <cell r="G165">
            <v>922.98751650973543</v>
          </cell>
          <cell r="H165">
            <v>65.709999999999994</v>
          </cell>
          <cell r="I165">
            <v>246281.08</v>
          </cell>
          <cell r="J165">
            <v>14.19</v>
          </cell>
          <cell r="K165">
            <v>11.352</v>
          </cell>
          <cell r="L165">
            <v>42547.296000000002</v>
          </cell>
          <cell r="M165">
            <v>289751.36351650971</v>
          </cell>
          <cell r="N165">
            <v>26.301738656214066</v>
          </cell>
          <cell r="O165">
            <v>98578.91648349032</v>
          </cell>
          <cell r="P165">
            <v>25.385328304424341</v>
          </cell>
        </row>
        <row r="166">
          <cell r="B166" t="str">
            <v>202L474</v>
          </cell>
          <cell r="C166">
            <v>158.60999999999999</v>
          </cell>
          <cell r="D166">
            <v>192</v>
          </cell>
          <cell r="E166">
            <v>30453.119999999999</v>
          </cell>
          <cell r="F166">
            <v>0.24626134378594858</v>
          </cell>
          <cell r="G166">
            <v>47.282178006902129</v>
          </cell>
          <cell r="H166">
            <v>82.13</v>
          </cell>
          <cell r="I166">
            <v>15768.96</v>
          </cell>
          <cell r="J166">
            <v>10.050000000000001</v>
          </cell>
          <cell r="K166">
            <v>8.0400000000000009</v>
          </cell>
          <cell r="L166">
            <v>1543.6800000000003</v>
          </cell>
          <cell r="M166">
            <v>17359.922178006902</v>
          </cell>
          <cell r="N166">
            <v>68.193738656214052</v>
          </cell>
          <cell r="O166">
            <v>13093.197821993097</v>
          </cell>
          <cell r="P166">
            <v>42.994602267331231</v>
          </cell>
        </row>
        <row r="167">
          <cell r="B167" t="str">
            <v>202L475</v>
          </cell>
          <cell r="C167">
            <v>118.61</v>
          </cell>
          <cell r="D167">
            <v>301</v>
          </cell>
          <cell r="E167">
            <v>35701.61</v>
          </cell>
          <cell r="F167">
            <v>0.24626134378594861</v>
          </cell>
          <cell r="G167">
            <v>74.124664479570527</v>
          </cell>
          <cell r="H167">
            <v>63.93</v>
          </cell>
          <cell r="I167">
            <v>19242.93</v>
          </cell>
          <cell r="J167">
            <v>8.9899999999999984</v>
          </cell>
          <cell r="K167">
            <v>7.1919999999999993</v>
          </cell>
          <cell r="L167">
            <v>2164.7919999999999</v>
          </cell>
          <cell r="M167">
            <v>21481.846664479574</v>
          </cell>
          <cell r="N167">
            <v>47.241738656214046</v>
          </cell>
          <cell r="O167">
            <v>14219.763335520427</v>
          </cell>
          <cell r="P167">
            <v>39.829473616233074</v>
          </cell>
        </row>
        <row r="168">
          <cell r="B168" t="str">
            <v>202L490</v>
          </cell>
          <cell r="C168">
            <v>128.60999999999999</v>
          </cell>
          <cell r="D168">
            <v>155</v>
          </cell>
          <cell r="E168">
            <v>19934.55</v>
          </cell>
          <cell r="F168">
            <v>0.24626134378594861</v>
          </cell>
          <cell r="G168">
            <v>38.170508286822034</v>
          </cell>
          <cell r="H168">
            <v>76.64</v>
          </cell>
          <cell r="I168">
            <v>11879.2</v>
          </cell>
          <cell r="J168">
            <v>12.62</v>
          </cell>
          <cell r="K168">
            <v>10.096</v>
          </cell>
          <cell r="L168">
            <v>1564.88</v>
          </cell>
          <cell r="M168">
            <v>13482.250508286823</v>
          </cell>
          <cell r="N168">
            <v>41.627738656214042</v>
          </cell>
          <cell r="O168">
            <v>6452.2994917131764</v>
          </cell>
          <cell r="P168">
            <v>32.367419839992259</v>
          </cell>
        </row>
        <row r="169">
          <cell r="B169" t="str">
            <v>202L507</v>
          </cell>
          <cell r="C169">
            <v>106.61</v>
          </cell>
          <cell r="D169">
            <v>220</v>
          </cell>
          <cell r="E169">
            <v>23454.2</v>
          </cell>
          <cell r="F169">
            <v>0.24626134378594861</v>
          </cell>
          <cell r="G169">
            <v>54.177495632908695</v>
          </cell>
          <cell r="H169">
            <v>56.76</v>
          </cell>
          <cell r="I169">
            <v>12487.199999999999</v>
          </cell>
          <cell r="J169">
            <v>9.98</v>
          </cell>
          <cell r="K169">
            <v>7.9840000000000009</v>
          </cell>
          <cell r="L169">
            <v>1756.4800000000002</v>
          </cell>
          <cell r="M169">
            <v>14297.857495632907</v>
          </cell>
          <cell r="N169">
            <v>41.619738656214061</v>
          </cell>
          <cell r="O169">
            <v>9156.3425043670941</v>
          </cell>
          <cell r="P169">
            <v>39.039244588888529</v>
          </cell>
        </row>
        <row r="170">
          <cell r="B170" t="str">
            <v>202L604</v>
          </cell>
          <cell r="C170">
            <v>86.61</v>
          </cell>
          <cell r="D170">
            <v>37</v>
          </cell>
          <cell r="E170">
            <v>3204.57</v>
          </cell>
          <cell r="F170">
            <v>0.24626134378594858</v>
          </cell>
          <cell r="G170">
            <v>9.1116697200800978</v>
          </cell>
          <cell r="H170">
            <v>47.58</v>
          </cell>
          <cell r="I170">
            <v>1760.46</v>
          </cell>
          <cell r="J170">
            <v>7.74</v>
          </cell>
          <cell r="K170">
            <v>6.1920000000000002</v>
          </cell>
          <cell r="L170">
            <v>229.10400000000001</v>
          </cell>
          <cell r="M170">
            <v>1998.6756697200801</v>
          </cell>
          <cell r="N170">
            <v>32.591738656214055</v>
          </cell>
          <cell r="O170">
            <v>1205.89433027992</v>
          </cell>
          <cell r="P170">
            <v>37.630456825094164</v>
          </cell>
        </row>
        <row r="171">
          <cell r="B171" t="str">
            <v>202L654</v>
          </cell>
          <cell r="C171">
            <v>98.61</v>
          </cell>
          <cell r="D171">
            <v>593</v>
          </cell>
          <cell r="E171">
            <v>58475.73</v>
          </cell>
          <cell r="F171">
            <v>0.24626134378594861</v>
          </cell>
          <cell r="G171">
            <v>146.03297686506752</v>
          </cell>
          <cell r="H171">
            <v>59.6</v>
          </cell>
          <cell r="I171">
            <v>35342.800000000003</v>
          </cell>
          <cell r="J171">
            <v>13.06</v>
          </cell>
          <cell r="K171">
            <v>10.448</v>
          </cell>
          <cell r="L171">
            <v>6195.6640000000007</v>
          </cell>
          <cell r="M171">
            <v>41684.496976865077</v>
          </cell>
          <cell r="N171">
            <v>28.315738656214041</v>
          </cell>
          <cell r="O171">
            <v>16791.233023134926</v>
          </cell>
          <cell r="P171">
            <v>28.714875424616203</v>
          </cell>
        </row>
        <row r="172">
          <cell r="B172" t="str">
            <v>202L655</v>
          </cell>
          <cell r="C172">
            <v>98.252123287671225</v>
          </cell>
          <cell r="D172">
            <v>1168</v>
          </cell>
          <cell r="E172">
            <v>114758.48</v>
          </cell>
          <cell r="F172">
            <v>0.24626134378594863</v>
          </cell>
          <cell r="G172">
            <v>287.63324954198799</v>
          </cell>
          <cell r="H172">
            <v>47.87</v>
          </cell>
          <cell r="I172">
            <v>55912.159999999996</v>
          </cell>
          <cell r="J172">
            <v>15.2</v>
          </cell>
          <cell r="K172">
            <v>12.16</v>
          </cell>
          <cell r="L172">
            <v>14202.880000000001</v>
          </cell>
          <cell r="M172">
            <v>70402.673249541986</v>
          </cell>
          <cell r="N172">
            <v>37.975861943885285</v>
          </cell>
          <cell r="O172">
            <v>44355.80675045801</v>
          </cell>
          <cell r="P172">
            <v>38.651441488644686</v>
          </cell>
        </row>
        <row r="173">
          <cell r="B173" t="str">
            <v>202L690</v>
          </cell>
          <cell r="C173">
            <v>138.60999999999999</v>
          </cell>
          <cell r="D173">
            <v>667</v>
          </cell>
          <cell r="E173">
            <v>92452.87</v>
          </cell>
          <cell r="F173">
            <v>0.24626134378594861</v>
          </cell>
          <cell r="G173">
            <v>164.25631630522773</v>
          </cell>
          <cell r="H173">
            <v>80.81</v>
          </cell>
          <cell r="I173">
            <v>53900.270000000004</v>
          </cell>
          <cell r="J173">
            <v>13.63</v>
          </cell>
          <cell r="K173">
            <v>10.904000000000002</v>
          </cell>
          <cell r="L173">
            <v>7272.9680000000008</v>
          </cell>
          <cell r="M173">
            <v>61337.49431630523</v>
          </cell>
          <cell r="N173">
            <v>46.649738656214041</v>
          </cell>
          <cell r="O173">
            <v>31115.375683694765</v>
          </cell>
          <cell r="P173">
            <v>33.655391859327644</v>
          </cell>
        </row>
        <row r="174">
          <cell r="B174" t="str">
            <v>202L701</v>
          </cell>
          <cell r="C174">
            <v>118.61</v>
          </cell>
          <cell r="D174">
            <v>6</v>
          </cell>
          <cell r="E174">
            <v>711.66</v>
          </cell>
          <cell r="F174">
            <v>0.24626134378594858</v>
          </cell>
          <cell r="G174">
            <v>1.4775680627156915</v>
          </cell>
          <cell r="H174">
            <v>112.93</v>
          </cell>
          <cell r="I174">
            <v>677.58</v>
          </cell>
          <cell r="J174">
            <v>8.82</v>
          </cell>
          <cell r="K174">
            <v>7.0560000000000009</v>
          </cell>
          <cell r="L174">
            <v>42.336000000000006</v>
          </cell>
          <cell r="M174">
            <v>721.39356806271576</v>
          </cell>
          <cell r="N174">
            <v>-1.622261343785965</v>
          </cell>
          <cell r="O174">
            <v>-9.7335680627157899</v>
          </cell>
          <cell r="P174">
            <v>-1.3677272943141092</v>
          </cell>
        </row>
        <row r="175">
          <cell r="B175" t="str">
            <v>202L737</v>
          </cell>
          <cell r="C175">
            <v>76.61</v>
          </cell>
          <cell r="D175">
            <v>140</v>
          </cell>
          <cell r="E175">
            <v>10725.4</v>
          </cell>
          <cell r="F175">
            <v>0.24626134378594858</v>
          </cell>
          <cell r="G175">
            <v>34.476588130032802</v>
          </cell>
          <cell r="H175">
            <v>42.22</v>
          </cell>
          <cell r="I175">
            <v>5910.8</v>
          </cell>
          <cell r="J175">
            <v>9.09</v>
          </cell>
          <cell r="K175">
            <v>7.2720000000000002</v>
          </cell>
          <cell r="L175">
            <v>1018.08</v>
          </cell>
          <cell r="M175">
            <v>6963.3565881300328</v>
          </cell>
          <cell r="N175">
            <v>26.871738656214049</v>
          </cell>
          <cell r="O175">
            <v>3762.0434118699668</v>
          </cell>
          <cell r="P175">
            <v>35.07601965306624</v>
          </cell>
        </row>
        <row r="176">
          <cell r="B176" t="str">
            <v>202L804</v>
          </cell>
          <cell r="C176">
            <v>151.61000000000001</v>
          </cell>
          <cell r="D176">
            <v>560</v>
          </cell>
          <cell r="E176">
            <v>84901.6</v>
          </cell>
          <cell r="F176">
            <v>0.24626134378594858</v>
          </cell>
          <cell r="G176">
            <v>137.90635252013121</v>
          </cell>
          <cell r="H176">
            <v>78.183000000000007</v>
          </cell>
          <cell r="I176">
            <v>43782.48</v>
          </cell>
          <cell r="J176">
            <v>13.11</v>
          </cell>
          <cell r="K176">
            <v>10.488</v>
          </cell>
          <cell r="L176">
            <v>5873.28</v>
          </cell>
          <cell r="M176">
            <v>49793.666352520137</v>
          </cell>
          <cell r="N176">
            <v>62.692738656214054</v>
          </cell>
          <cell r="O176">
            <v>35107.933647479869</v>
          </cell>
          <cell r="P176">
            <v>41.351321585788568</v>
          </cell>
        </row>
        <row r="177">
          <cell r="B177" t="str">
            <v>202L819</v>
          </cell>
          <cell r="C177">
            <v>136.61000000000001</v>
          </cell>
          <cell r="D177">
            <v>69</v>
          </cell>
          <cell r="E177">
            <v>9426.09</v>
          </cell>
          <cell r="F177">
            <v>0.24626134378594863</v>
          </cell>
          <cell r="G177">
            <v>16.992032721230455</v>
          </cell>
          <cell r="H177">
            <v>71.02</v>
          </cell>
          <cell r="I177">
            <v>4900.38</v>
          </cell>
          <cell r="J177">
            <v>14.260000000000002</v>
          </cell>
          <cell r="K177">
            <v>11.408000000000001</v>
          </cell>
          <cell r="L177">
            <v>787.15200000000004</v>
          </cell>
          <cell r="M177">
            <v>5704.5240327212305</v>
          </cell>
          <cell r="N177">
            <v>53.935738656214056</v>
          </cell>
          <cell r="O177">
            <v>3721.5659672787697</v>
          </cell>
          <cell r="P177">
            <v>39.481545023215034</v>
          </cell>
        </row>
        <row r="178">
          <cell r="B178" t="str">
            <v>205-519</v>
          </cell>
          <cell r="C178">
            <v>78.61</v>
          </cell>
          <cell r="D178">
            <v>31</v>
          </cell>
          <cell r="E178">
            <v>2436.91</v>
          </cell>
          <cell r="F178">
            <v>0.24626134378594861</v>
          </cell>
          <cell r="G178">
            <v>7.6341016573644067</v>
          </cell>
          <cell r="H178">
            <v>122.74</v>
          </cell>
          <cell r="I178">
            <v>3804.94</v>
          </cell>
          <cell r="J178">
            <v>11.38</v>
          </cell>
          <cell r="K178">
            <v>9.104000000000001</v>
          </cell>
          <cell r="L178">
            <v>282.22400000000005</v>
          </cell>
          <cell r="M178">
            <v>4094.7981016573644</v>
          </cell>
          <cell r="N178">
            <v>-53.480261343785955</v>
          </cell>
          <cell r="O178">
            <v>-1657.8881016573646</v>
          </cell>
          <cell r="P178">
            <v>-68.032389446363013</v>
          </cell>
        </row>
        <row r="179">
          <cell r="B179" t="str">
            <v>205-827</v>
          </cell>
          <cell r="C179">
            <v>38.61</v>
          </cell>
          <cell r="D179">
            <v>359</v>
          </cell>
          <cell r="E179">
            <v>13860.99</v>
          </cell>
          <cell r="F179">
            <v>0.24626134378594861</v>
          </cell>
          <cell r="G179">
            <v>88.407822419155551</v>
          </cell>
          <cell r="H179">
            <v>92.8</v>
          </cell>
          <cell r="I179">
            <v>33315.199999999997</v>
          </cell>
          <cell r="J179">
            <v>13.91</v>
          </cell>
          <cell r="K179">
            <v>11.128</v>
          </cell>
          <cell r="L179">
            <v>3994.9520000000002</v>
          </cell>
          <cell r="M179">
            <v>37398.559822419149</v>
          </cell>
          <cell r="N179">
            <v>-65.56426134378593</v>
          </cell>
          <cell r="O179">
            <v>-23537.569822419151</v>
          </cell>
          <cell r="P179">
            <v>-169.81160669201225</v>
          </cell>
        </row>
        <row r="180">
          <cell r="B180" t="str">
            <v>205L449</v>
          </cell>
          <cell r="C180">
            <v>178.61</v>
          </cell>
          <cell r="D180">
            <v>91</v>
          </cell>
          <cell r="E180">
            <v>16253.51</v>
          </cell>
          <cell r="F180">
            <v>0.24626134378594861</v>
          </cell>
          <cell r="G180">
            <v>22.409782284521324</v>
          </cell>
          <cell r="H180">
            <v>140.22999999999999</v>
          </cell>
          <cell r="I180">
            <v>12760.929999999998</v>
          </cell>
          <cell r="J180">
            <v>10.55</v>
          </cell>
          <cell r="K180">
            <v>8.4400000000000013</v>
          </cell>
          <cell r="L180">
            <v>768.04000000000008</v>
          </cell>
          <cell r="M180">
            <v>13551.379782284521</v>
          </cell>
          <cell r="N180">
            <v>29.693738656214059</v>
          </cell>
          <cell r="O180">
            <v>2702.1302177154794</v>
          </cell>
          <cell r="P180">
            <v>16.624902668503474</v>
          </cell>
        </row>
        <row r="181">
          <cell r="B181" t="str">
            <v>205L538</v>
          </cell>
          <cell r="C181">
            <v>131.60999999999999</v>
          </cell>
          <cell r="D181">
            <v>65</v>
          </cell>
          <cell r="E181">
            <v>8554.65</v>
          </cell>
          <cell r="F181">
            <v>0.24626134378594863</v>
          </cell>
          <cell r="G181">
            <v>16.00698734608666</v>
          </cell>
          <cell r="H181">
            <v>59</v>
          </cell>
          <cell r="I181">
            <v>3835</v>
          </cell>
          <cell r="J181">
            <v>10.74</v>
          </cell>
          <cell r="K181">
            <v>8.5920000000000005</v>
          </cell>
          <cell r="L181">
            <v>558.48</v>
          </cell>
          <cell r="M181">
            <v>4409.4869873460866</v>
          </cell>
          <cell r="N181">
            <v>63.771738656214048</v>
          </cell>
          <cell r="O181">
            <v>4145.163012653913</v>
          </cell>
          <cell r="P181">
            <v>48.455085978431775</v>
          </cell>
        </row>
        <row r="182">
          <cell r="B182" t="str">
            <v>205L816</v>
          </cell>
          <cell r="C182">
            <v>96.61</v>
          </cell>
          <cell r="D182">
            <v>245</v>
          </cell>
          <cell r="E182">
            <v>23669.45</v>
          </cell>
          <cell r="F182">
            <v>0.24626134378594861</v>
          </cell>
          <cell r="G182">
            <v>60.334029227557409</v>
          </cell>
          <cell r="H182">
            <v>114.3039</v>
          </cell>
          <cell r="I182">
            <v>28004.4555</v>
          </cell>
          <cell r="J182">
            <v>11.73</v>
          </cell>
          <cell r="K182">
            <v>9.3840000000000003</v>
          </cell>
          <cell r="L182">
            <v>2299.08</v>
          </cell>
          <cell r="M182">
            <v>30363.869529227555</v>
          </cell>
          <cell r="N182">
            <v>-27.324161343785935</v>
          </cell>
          <cell r="O182">
            <v>-6694.4195292275544</v>
          </cell>
          <cell r="P182">
            <v>-28.282953466293275</v>
          </cell>
        </row>
        <row r="183">
          <cell r="B183" t="str">
            <v>205L818</v>
          </cell>
          <cell r="C183">
            <v>168.60999999999999</v>
          </cell>
          <cell r="D183">
            <v>722</v>
          </cell>
          <cell r="E183">
            <v>121736.42</v>
          </cell>
          <cell r="F183">
            <v>0.24626134378594861</v>
          </cell>
          <cell r="G183">
            <v>177.80069021345489</v>
          </cell>
          <cell r="H183">
            <v>101.68999999999998</v>
          </cell>
          <cell r="I183">
            <v>73420.179999999993</v>
          </cell>
          <cell r="J183">
            <v>16.78</v>
          </cell>
          <cell r="K183">
            <v>13.424000000000001</v>
          </cell>
          <cell r="L183">
            <v>9692.1280000000006</v>
          </cell>
          <cell r="M183">
            <v>83290.108690213441</v>
          </cell>
          <cell r="N183">
            <v>53.24973865621407</v>
          </cell>
          <cell r="O183">
            <v>38446.311309786557</v>
          </cell>
          <cell r="P183">
            <v>31.581601717700064</v>
          </cell>
        </row>
        <row r="184">
          <cell r="B184" t="str">
            <v>206-100</v>
          </cell>
          <cell r="C184">
            <v>48.61</v>
          </cell>
          <cell r="D184">
            <v>19</v>
          </cell>
          <cell r="E184">
            <v>923.59</v>
          </cell>
          <cell r="F184">
            <v>0.24626134378594861</v>
          </cell>
          <cell r="G184">
            <v>4.6789655319330237</v>
          </cell>
          <cell r="H184">
            <v>91.34</v>
          </cell>
          <cell r="I184">
            <v>1735.46</v>
          </cell>
          <cell r="J184">
            <v>9</v>
          </cell>
          <cell r="K184">
            <v>7.2</v>
          </cell>
          <cell r="L184">
            <v>136.80000000000001</v>
          </cell>
          <cell r="M184">
            <v>1876.938965531933</v>
          </cell>
          <cell r="N184">
            <v>-50.176261343785946</v>
          </cell>
          <cell r="O184">
            <v>-953.348965531933</v>
          </cell>
          <cell r="P184">
            <v>-103.2220969837193</v>
          </cell>
        </row>
        <row r="185">
          <cell r="B185" t="str">
            <v>206L158</v>
          </cell>
          <cell r="C185">
            <v>111.70433962264151</v>
          </cell>
          <cell r="D185">
            <v>636</v>
          </cell>
          <cell r="E185">
            <v>71043.960000000006</v>
          </cell>
          <cell r="F185">
            <v>0.24626134378594858</v>
          </cell>
          <cell r="G185">
            <v>156.6222146478633</v>
          </cell>
          <cell r="H185">
            <v>63.180000000000007</v>
          </cell>
          <cell r="I185">
            <v>40182.480000000003</v>
          </cell>
          <cell r="J185">
            <v>13.19</v>
          </cell>
          <cell r="K185">
            <v>10.552</v>
          </cell>
          <cell r="L185">
            <v>6711.0720000000001</v>
          </cell>
          <cell r="M185">
            <v>47050.174214647865</v>
          </cell>
          <cell r="N185">
            <v>37.726078278855567</v>
          </cell>
          <cell r="O185">
            <v>23993.785785352142</v>
          </cell>
          <cell r="P185">
            <v>33.773153671828176</v>
          </cell>
        </row>
        <row r="186">
          <cell r="B186" t="str">
            <v>209-078</v>
          </cell>
          <cell r="C186">
            <v>78.61</v>
          </cell>
          <cell r="D186">
            <v>28</v>
          </cell>
          <cell r="E186">
            <v>2201.08</v>
          </cell>
          <cell r="F186">
            <v>0.24626134378594861</v>
          </cell>
          <cell r="G186">
            <v>6.8953176260065607</v>
          </cell>
          <cell r="H186">
            <v>81.8</v>
          </cell>
          <cell r="I186">
            <v>2290.4</v>
          </cell>
          <cell r="J186">
            <v>11.5</v>
          </cell>
          <cell r="K186">
            <v>9.2000000000000011</v>
          </cell>
          <cell r="L186">
            <v>257.60000000000002</v>
          </cell>
          <cell r="M186">
            <v>2554.8953176260065</v>
          </cell>
          <cell r="N186">
            <v>-12.63626134378595</v>
          </cell>
          <cell r="O186">
            <v>-353.81531762600662</v>
          </cell>
          <cell r="P186">
            <v>-16.074623258855045</v>
          </cell>
        </row>
        <row r="187">
          <cell r="B187" t="str">
            <v>209-085</v>
          </cell>
          <cell r="C187">
            <v>73.61</v>
          </cell>
          <cell r="D187">
            <v>28</v>
          </cell>
          <cell r="E187">
            <v>2061.08</v>
          </cell>
          <cell r="F187">
            <v>0.24626134378594861</v>
          </cell>
          <cell r="G187">
            <v>6.8953176260065607</v>
          </cell>
          <cell r="H187">
            <v>109.81980000000001</v>
          </cell>
          <cell r="I187">
            <v>3074.9544000000005</v>
          </cell>
          <cell r="J187">
            <v>12.66</v>
          </cell>
          <cell r="K187">
            <v>10.128</v>
          </cell>
          <cell r="L187">
            <v>283.584</v>
          </cell>
          <cell r="M187">
            <v>3365.4337176260069</v>
          </cell>
          <cell r="N187">
            <v>-46.584061343785962</v>
          </cell>
          <cell r="O187">
            <v>-1304.353717626007</v>
          </cell>
          <cell r="P187">
            <v>-63.284963107982563</v>
          </cell>
        </row>
        <row r="188">
          <cell r="B188" t="str">
            <v>209-121</v>
          </cell>
          <cell r="C188">
            <v>63.610000000000007</v>
          </cell>
          <cell r="D188">
            <v>12</v>
          </cell>
          <cell r="E188">
            <v>763.32</v>
          </cell>
          <cell r="F188">
            <v>0.24626134378594858</v>
          </cell>
          <cell r="G188">
            <v>2.955136125431383</v>
          </cell>
          <cell r="H188">
            <v>163.2782</v>
          </cell>
          <cell r="I188">
            <v>1959.3384000000001</v>
          </cell>
          <cell r="J188">
            <v>15.54</v>
          </cell>
          <cell r="K188">
            <v>12.432</v>
          </cell>
          <cell r="L188">
            <v>149.184</v>
          </cell>
          <cell r="M188">
            <v>2111.4775361254315</v>
          </cell>
          <cell r="N188">
            <v>-112.34646134378595</v>
          </cell>
          <cell r="O188">
            <v>-1348.1575361254313</v>
          </cell>
          <cell r="P188">
            <v>-176.61760940698937</v>
          </cell>
        </row>
        <row r="189">
          <cell r="B189" t="str">
            <v>209-323</v>
          </cell>
          <cell r="C189">
            <v>73.61</v>
          </cell>
          <cell r="D189">
            <v>4</v>
          </cell>
          <cell r="E189">
            <v>294.44</v>
          </cell>
          <cell r="F189">
            <v>0.24626134378594861</v>
          </cell>
          <cell r="G189">
            <v>0.98504537514379442</v>
          </cell>
          <cell r="H189">
            <v>228.51</v>
          </cell>
          <cell r="I189">
            <v>914.04</v>
          </cell>
          <cell r="J189">
            <v>15</v>
          </cell>
          <cell r="K189">
            <v>12</v>
          </cell>
          <cell r="L189">
            <v>48</v>
          </cell>
          <cell r="M189">
            <v>963.0250453751438</v>
          </cell>
          <cell r="N189">
            <v>-167.14626134378597</v>
          </cell>
          <cell r="O189">
            <v>-668.58504537514386</v>
          </cell>
          <cell r="P189">
            <v>-227.0700466564135</v>
          </cell>
        </row>
        <row r="190">
          <cell r="B190" t="str">
            <v>209-460</v>
          </cell>
          <cell r="C190">
            <v>68.61</v>
          </cell>
          <cell r="D190">
            <v>40</v>
          </cell>
          <cell r="E190">
            <v>2744.4</v>
          </cell>
          <cell r="F190">
            <v>0.24626134378594861</v>
          </cell>
          <cell r="G190">
            <v>9.8504537514379447</v>
          </cell>
          <cell r="H190">
            <v>124</v>
          </cell>
          <cell r="I190">
            <v>4960</v>
          </cell>
          <cell r="J190">
            <v>14.96</v>
          </cell>
          <cell r="K190">
            <v>11.968000000000002</v>
          </cell>
          <cell r="L190">
            <v>478.72000000000008</v>
          </cell>
          <cell r="M190">
            <v>5448.5704537514384</v>
          </cell>
          <cell r="N190">
            <v>-67.604261343785964</v>
          </cell>
          <cell r="O190">
            <v>-2704.1704537514383</v>
          </cell>
          <cell r="P190">
            <v>-98.534122349199777</v>
          </cell>
        </row>
        <row r="191">
          <cell r="B191" t="str">
            <v>209-591</v>
          </cell>
          <cell r="C191">
            <v>63.61</v>
          </cell>
          <cell r="D191">
            <v>23</v>
          </cell>
          <cell r="E191">
            <v>1463.03</v>
          </cell>
          <cell r="F191">
            <v>0.24626134378594863</v>
          </cell>
          <cell r="G191">
            <v>5.6640109070768183</v>
          </cell>
          <cell r="H191">
            <v>116</v>
          </cell>
          <cell r="I191">
            <v>2668</v>
          </cell>
          <cell r="J191">
            <v>11.7</v>
          </cell>
          <cell r="K191">
            <v>9.36</v>
          </cell>
          <cell r="L191">
            <v>215.27999999999997</v>
          </cell>
          <cell r="M191">
            <v>2888.9440109070765</v>
          </cell>
          <cell r="N191">
            <v>-61.996261343785939</v>
          </cell>
          <cell r="O191">
            <v>-1425.9140109070765</v>
          </cell>
          <cell r="P191">
            <v>-97.463073956588488</v>
          </cell>
        </row>
        <row r="192">
          <cell r="B192" t="str">
            <v>209L042</v>
          </cell>
          <cell r="C192">
            <v>96.61</v>
          </cell>
          <cell r="D192">
            <v>210</v>
          </cell>
          <cell r="E192">
            <v>20288.099999999999</v>
          </cell>
          <cell r="F192">
            <v>0.24626134378594861</v>
          </cell>
          <cell r="G192">
            <v>51.714882195049206</v>
          </cell>
          <cell r="H192">
            <v>55.58</v>
          </cell>
          <cell r="I192">
            <v>11671.8</v>
          </cell>
          <cell r="J192">
            <v>11.54</v>
          </cell>
          <cell r="K192">
            <v>9.2319999999999993</v>
          </cell>
          <cell r="L192">
            <v>1938.7199999999998</v>
          </cell>
          <cell r="M192">
            <v>13662.234882195047</v>
          </cell>
          <cell r="N192">
            <v>31.551738656214052</v>
          </cell>
          <cell r="O192">
            <v>6625.8651178049513</v>
          </cell>
          <cell r="P192">
            <v>32.658874501825949</v>
          </cell>
        </row>
        <row r="193">
          <cell r="B193" t="str">
            <v>210L260</v>
          </cell>
          <cell r="C193">
            <v>113.61</v>
          </cell>
          <cell r="D193">
            <v>5568</v>
          </cell>
          <cell r="E193">
            <v>632580.48</v>
          </cell>
          <cell r="F193">
            <v>0.24626134378594861</v>
          </cell>
          <cell r="G193">
            <v>1371.1831622001619</v>
          </cell>
          <cell r="H193">
            <v>60.3</v>
          </cell>
          <cell r="I193">
            <v>335750.39999999997</v>
          </cell>
          <cell r="J193">
            <v>8.31</v>
          </cell>
          <cell r="K193">
            <v>6.6480000000000015</v>
          </cell>
          <cell r="L193">
            <v>37016.064000000006</v>
          </cell>
          <cell r="M193">
            <v>374137.64716220013</v>
          </cell>
          <cell r="N193">
            <v>46.415738656214053</v>
          </cell>
          <cell r="O193">
            <v>258442.83283779986</v>
          </cell>
          <cell r="P193">
            <v>40.855328453669621</v>
          </cell>
        </row>
        <row r="194">
          <cell r="B194" t="str">
            <v>210L585</v>
          </cell>
          <cell r="C194">
            <v>123.61</v>
          </cell>
          <cell r="D194">
            <v>225</v>
          </cell>
          <cell r="E194">
            <v>27812.25</v>
          </cell>
          <cell r="F194">
            <v>0.24626134378594861</v>
          </cell>
          <cell r="G194">
            <v>55.408802351838439</v>
          </cell>
          <cell r="H194">
            <v>88.91</v>
          </cell>
          <cell r="I194">
            <v>20004.75</v>
          </cell>
          <cell r="J194">
            <v>9.4600000000000009</v>
          </cell>
          <cell r="K194">
            <v>7.5680000000000014</v>
          </cell>
          <cell r="L194">
            <v>1702.8000000000004</v>
          </cell>
          <cell r="M194">
            <v>21762.958802351837</v>
          </cell>
          <cell r="N194">
            <v>26.885738656214055</v>
          </cell>
          <cell r="O194">
            <v>6049.2911976481628</v>
          </cell>
          <cell r="P194">
            <v>21.750455995642792</v>
          </cell>
        </row>
        <row r="195">
          <cell r="B195" t="str">
            <v>216-127</v>
          </cell>
          <cell r="C195">
            <v>38.61</v>
          </cell>
          <cell r="D195">
            <v>1</v>
          </cell>
          <cell r="E195">
            <v>38.61</v>
          </cell>
          <cell r="F195">
            <v>0.24626134378594861</v>
          </cell>
          <cell r="G195">
            <v>0.24626134378594861</v>
          </cell>
          <cell r="H195">
            <v>126.3531</v>
          </cell>
          <cell r="I195">
            <v>126.3531</v>
          </cell>
          <cell r="J195">
            <v>16.32</v>
          </cell>
          <cell r="K195">
            <v>13.056000000000001</v>
          </cell>
          <cell r="L195">
            <v>13.056000000000001</v>
          </cell>
          <cell r="M195">
            <v>139.65536134378596</v>
          </cell>
          <cell r="N195">
            <v>-101.04536134378596</v>
          </cell>
          <cell r="O195">
            <v>-101.04536134378596</v>
          </cell>
          <cell r="P195">
            <v>-261.70774758815321</v>
          </cell>
        </row>
        <row r="196">
          <cell r="B196" t="str">
            <v>216-155</v>
          </cell>
          <cell r="C196">
            <v>78.61</v>
          </cell>
          <cell r="D196">
            <v>14</v>
          </cell>
          <cell r="E196">
            <v>1100.54</v>
          </cell>
          <cell r="F196">
            <v>0.24626134378594861</v>
          </cell>
          <cell r="G196">
            <v>3.4476588130032804</v>
          </cell>
          <cell r="H196">
            <v>144.05000000000001</v>
          </cell>
          <cell r="I196">
            <v>2016.7000000000003</v>
          </cell>
          <cell r="J196">
            <v>17.000000000000004</v>
          </cell>
          <cell r="K196">
            <v>13.600000000000003</v>
          </cell>
          <cell r="L196">
            <v>190.40000000000003</v>
          </cell>
          <cell r="M196">
            <v>2210.5476588130036</v>
          </cell>
          <cell r="N196">
            <v>-79.286261343785981</v>
          </cell>
          <cell r="O196">
            <v>-1110.0076588130037</v>
          </cell>
          <cell r="P196">
            <v>-100.86027393943007</v>
          </cell>
        </row>
        <row r="197">
          <cell r="B197" t="str">
            <v>217-417</v>
          </cell>
          <cell r="C197">
            <v>68.61</v>
          </cell>
          <cell r="D197">
            <v>2</v>
          </cell>
          <cell r="E197">
            <v>137.22</v>
          </cell>
          <cell r="F197">
            <v>0.24626134378594861</v>
          </cell>
          <cell r="G197">
            <v>0.49252268757189721</v>
          </cell>
          <cell r="H197">
            <v>116.51</v>
          </cell>
          <cell r="I197">
            <v>233.02</v>
          </cell>
          <cell r="J197">
            <v>15.29</v>
          </cell>
          <cell r="K197">
            <v>12.231999999999999</v>
          </cell>
          <cell r="L197">
            <v>24.463999999999999</v>
          </cell>
          <cell r="M197">
            <v>257.97652268757196</v>
          </cell>
          <cell r="N197">
            <v>-60.378261343785979</v>
          </cell>
          <cell r="O197">
            <v>-120.75652268757196</v>
          </cell>
          <cell r="P197">
            <v>-88.002129928269895</v>
          </cell>
        </row>
        <row r="198">
          <cell r="B198" t="str">
            <v>217-428</v>
          </cell>
          <cell r="C198">
            <v>48.61</v>
          </cell>
          <cell r="D198">
            <v>4</v>
          </cell>
          <cell r="E198">
            <v>194.44</v>
          </cell>
          <cell r="F198">
            <v>0.24626134378594861</v>
          </cell>
          <cell r="G198">
            <v>0.98504537514379442</v>
          </cell>
          <cell r="H198">
            <v>151</v>
          </cell>
          <cell r="I198">
            <v>604</v>
          </cell>
          <cell r="J198">
            <v>15.750000000000002</v>
          </cell>
          <cell r="K198">
            <v>12.600000000000001</v>
          </cell>
          <cell r="L198">
            <v>50.400000000000006</v>
          </cell>
          <cell r="M198">
            <v>655.38504537514382</v>
          </cell>
          <cell r="N198">
            <v>-115.23626134378596</v>
          </cell>
          <cell r="O198">
            <v>-460.94504537514382</v>
          </cell>
          <cell r="P198">
            <v>-237.06287048711366</v>
          </cell>
        </row>
        <row r="199">
          <cell r="B199" t="str">
            <v>217-436</v>
          </cell>
          <cell r="C199">
            <v>48.61</v>
          </cell>
          <cell r="D199">
            <v>21</v>
          </cell>
          <cell r="E199">
            <v>1020.81</v>
          </cell>
          <cell r="F199">
            <v>0.24626134378594861</v>
          </cell>
          <cell r="G199">
            <v>5.171488219504921</v>
          </cell>
          <cell r="H199">
            <v>100.82</v>
          </cell>
          <cell r="I199">
            <v>2117.2199999999998</v>
          </cell>
          <cell r="J199">
            <v>15.430000000000003</v>
          </cell>
          <cell r="K199">
            <v>12.344000000000003</v>
          </cell>
          <cell r="L199">
            <v>259.22400000000005</v>
          </cell>
          <cell r="M199">
            <v>2381.6154882195051</v>
          </cell>
          <cell r="N199">
            <v>-64.800261343785962</v>
          </cell>
          <cell r="O199">
            <v>-1360.8054882195052</v>
          </cell>
          <cell r="P199">
            <v>-133.30644176874299</v>
          </cell>
        </row>
        <row r="200">
          <cell r="B200" t="str">
            <v>217-539</v>
          </cell>
          <cell r="C200">
            <v>78.61</v>
          </cell>
          <cell r="D200">
            <v>15</v>
          </cell>
          <cell r="E200">
            <v>1179.1500000000001</v>
          </cell>
          <cell r="F200">
            <v>0.24626134378594861</v>
          </cell>
          <cell r="G200">
            <v>3.693920156789229</v>
          </cell>
          <cell r="H200">
            <v>154.80770000000001</v>
          </cell>
          <cell r="I200">
            <v>2322.1155000000003</v>
          </cell>
          <cell r="J200">
            <v>14.7</v>
          </cell>
          <cell r="K200">
            <v>11.76</v>
          </cell>
          <cell r="L200">
            <v>176.4</v>
          </cell>
          <cell r="M200">
            <v>2502.2094201567897</v>
          </cell>
          <cell r="N200">
            <v>-88.203961343785977</v>
          </cell>
          <cell r="O200">
            <v>-1323.0594201567897</v>
          </cell>
          <cell r="P200">
            <v>-112.204504953296</v>
          </cell>
        </row>
        <row r="201">
          <cell r="B201" t="str">
            <v>217-540</v>
          </cell>
          <cell r="C201">
            <v>78.61</v>
          </cell>
          <cell r="D201">
            <v>3</v>
          </cell>
          <cell r="E201">
            <v>235.83</v>
          </cell>
          <cell r="F201">
            <v>0.24626134378594858</v>
          </cell>
          <cell r="G201">
            <v>0.73878403135784576</v>
          </cell>
          <cell r="H201">
            <v>193.72</v>
          </cell>
          <cell r="I201">
            <v>581.16</v>
          </cell>
          <cell r="J201">
            <v>15.98</v>
          </cell>
          <cell r="K201">
            <v>12.784000000000001</v>
          </cell>
          <cell r="L201">
            <v>38.352000000000004</v>
          </cell>
          <cell r="M201">
            <v>620.25078403135774</v>
          </cell>
          <cell r="N201">
            <v>-128.14026134378591</v>
          </cell>
          <cell r="O201">
            <v>-384.4207840313577</v>
          </cell>
          <cell r="P201">
            <v>-163.0075834420378</v>
          </cell>
        </row>
        <row r="202">
          <cell r="B202" t="str">
            <v>217-661</v>
          </cell>
          <cell r="C202">
            <v>43.61</v>
          </cell>
          <cell r="D202">
            <v>4</v>
          </cell>
          <cell r="E202">
            <v>174.44</v>
          </cell>
          <cell r="F202">
            <v>0.24626134378594861</v>
          </cell>
          <cell r="G202">
            <v>0.98504537514379442</v>
          </cell>
          <cell r="H202">
            <v>134.01</v>
          </cell>
          <cell r="I202">
            <v>536.04</v>
          </cell>
          <cell r="J202">
            <v>20</v>
          </cell>
          <cell r="K202">
            <v>16</v>
          </cell>
          <cell r="L202">
            <v>64</v>
          </cell>
          <cell r="M202">
            <v>601.0250453751438</v>
          </cell>
          <cell r="N202">
            <v>-106.64626134378595</v>
          </cell>
          <cell r="O202">
            <v>-426.58504537514381</v>
          </cell>
          <cell r="P202">
            <v>-244.54542844252686</v>
          </cell>
        </row>
        <row r="203">
          <cell r="B203" t="str">
            <v>217-675</v>
          </cell>
          <cell r="C203">
            <v>83.61</v>
          </cell>
          <cell r="D203">
            <v>16</v>
          </cell>
          <cell r="E203">
            <v>1337.76</v>
          </cell>
          <cell r="F203">
            <v>0.24626134378594861</v>
          </cell>
          <cell r="G203">
            <v>3.9401815005751777</v>
          </cell>
          <cell r="H203">
            <v>204.1</v>
          </cell>
          <cell r="I203">
            <v>3265.6</v>
          </cell>
          <cell r="J203">
            <v>19.21</v>
          </cell>
          <cell r="K203">
            <v>15.368000000000002</v>
          </cell>
          <cell r="L203">
            <v>245.88800000000003</v>
          </cell>
          <cell r="M203">
            <v>3515.4281815005752</v>
          </cell>
          <cell r="N203">
            <v>-136.10426134378594</v>
          </cell>
          <cell r="O203">
            <v>-2177.668181500575</v>
          </cell>
          <cell r="P203">
            <v>-162.78466851307968</v>
          </cell>
        </row>
        <row r="204">
          <cell r="B204" t="str">
            <v>217A428</v>
          </cell>
          <cell r="C204">
            <v>48.61</v>
          </cell>
          <cell r="D204">
            <v>35</v>
          </cell>
          <cell r="E204">
            <v>1701.35</v>
          </cell>
          <cell r="F204">
            <v>0.24626134378594858</v>
          </cell>
          <cell r="G204">
            <v>8.6191470325082005</v>
          </cell>
          <cell r="H204">
            <v>210.92</v>
          </cell>
          <cell r="I204">
            <v>7382.2</v>
          </cell>
          <cell r="J204">
            <v>16.100000000000001</v>
          </cell>
          <cell r="K204">
            <v>12.880000000000003</v>
          </cell>
          <cell r="L204">
            <v>450.80000000000007</v>
          </cell>
          <cell r="M204">
            <v>7841.6191470325084</v>
          </cell>
          <cell r="N204">
            <v>-175.43626134378596</v>
          </cell>
          <cell r="O204">
            <v>-6140.269147032508</v>
          </cell>
          <cell r="P204">
            <v>-360.9057011803867</v>
          </cell>
        </row>
        <row r="205">
          <cell r="B205" t="str">
            <v>217L214</v>
          </cell>
          <cell r="C205">
            <v>166.61</v>
          </cell>
          <cell r="D205">
            <v>1941</v>
          </cell>
          <cell r="E205">
            <v>323390.01</v>
          </cell>
          <cell r="F205">
            <v>0.24626134378594861</v>
          </cell>
          <cell r="G205">
            <v>477.99326828852622</v>
          </cell>
          <cell r="H205">
            <v>87.57</v>
          </cell>
          <cell r="I205">
            <v>169973.37</v>
          </cell>
          <cell r="J205">
            <v>11.34</v>
          </cell>
          <cell r="K205">
            <v>9.072000000000001</v>
          </cell>
          <cell r="L205">
            <v>17608.752</v>
          </cell>
          <cell r="M205">
            <v>188060.11526828853</v>
          </cell>
          <cell r="N205">
            <v>69.721738656214058</v>
          </cell>
          <cell r="O205">
            <v>135329.89473171148</v>
          </cell>
          <cell r="P205">
            <v>41.847271265958859</v>
          </cell>
        </row>
        <row r="206">
          <cell r="B206" t="str">
            <v>300L221</v>
          </cell>
          <cell r="C206">
            <v>161.60999999999999</v>
          </cell>
          <cell r="D206">
            <v>149</v>
          </cell>
          <cell r="E206">
            <v>24079.89</v>
          </cell>
          <cell r="F206">
            <v>0.24626134378594861</v>
          </cell>
          <cell r="G206">
            <v>36.692940224106344</v>
          </cell>
          <cell r="H206">
            <v>96.435599999999994</v>
          </cell>
          <cell r="I206">
            <v>14368.904399999999</v>
          </cell>
          <cell r="J206">
            <v>11.17</v>
          </cell>
          <cell r="K206">
            <v>8.9359999999999999</v>
          </cell>
          <cell r="L206">
            <v>1331.4639999999999</v>
          </cell>
          <cell r="M206">
            <v>15737.061340224105</v>
          </cell>
          <cell r="N206">
            <v>55.992138656214053</v>
          </cell>
          <cell r="O206">
            <v>8342.8286597758943</v>
          </cell>
          <cell r="P206">
            <v>34.646456689693743</v>
          </cell>
        </row>
        <row r="207">
          <cell r="B207" t="str">
            <v>401L047</v>
          </cell>
          <cell r="C207">
            <v>128.60999999999999</v>
          </cell>
          <cell r="D207">
            <v>160</v>
          </cell>
          <cell r="E207">
            <v>20577.599999999999</v>
          </cell>
          <cell r="F207">
            <v>0.24626134378594861</v>
          </cell>
          <cell r="G207">
            <v>39.401815005751779</v>
          </cell>
          <cell r="H207">
            <v>59.31</v>
          </cell>
          <cell r="I207">
            <v>9489.6</v>
          </cell>
          <cell r="J207">
            <v>2.63</v>
          </cell>
          <cell r="K207">
            <v>2.1040000000000001</v>
          </cell>
          <cell r="L207">
            <v>336.64</v>
          </cell>
          <cell r="M207">
            <v>9865.6418150057507</v>
          </cell>
          <cell r="N207">
            <v>66.949738656214052</v>
          </cell>
          <cell r="O207">
            <v>10711.958184994248</v>
          </cell>
          <cell r="P207">
            <v>52.056402034222891</v>
          </cell>
        </row>
        <row r="208">
          <cell r="B208" t="str">
            <v>401L152</v>
          </cell>
          <cell r="C208">
            <v>106.61</v>
          </cell>
          <cell r="D208">
            <v>123</v>
          </cell>
          <cell r="E208">
            <v>13113.03</v>
          </cell>
          <cell r="F208">
            <v>0.24626134378594861</v>
          </cell>
          <cell r="G208">
            <v>30.290145285671677</v>
          </cell>
          <cell r="H208">
            <v>46.92</v>
          </cell>
          <cell r="I208">
            <v>5771.16</v>
          </cell>
          <cell r="J208">
            <v>2.79</v>
          </cell>
          <cell r="K208">
            <v>2.2320000000000002</v>
          </cell>
          <cell r="L208">
            <v>274.536</v>
          </cell>
          <cell r="M208">
            <v>6075.9861452856712</v>
          </cell>
          <cell r="N208">
            <v>57.21173865621406</v>
          </cell>
          <cell r="O208">
            <v>7037.0438547143294</v>
          </cell>
          <cell r="P208">
            <v>53.66451426340312</v>
          </cell>
        </row>
        <row r="209">
          <cell r="B209" t="str">
            <v>401L364</v>
          </cell>
          <cell r="C209">
            <v>136.60999999999999</v>
          </cell>
          <cell r="D209">
            <v>179</v>
          </cell>
          <cell r="E209">
            <v>24453.19</v>
          </cell>
          <cell r="F209">
            <v>0.24626134378594861</v>
          </cell>
          <cell r="G209">
            <v>44.080780537684802</v>
          </cell>
          <cell r="H209">
            <v>78.107500000000002</v>
          </cell>
          <cell r="I209">
            <v>13981.2425</v>
          </cell>
          <cell r="J209">
            <v>7</v>
          </cell>
          <cell r="K209">
            <v>5.6000000000000005</v>
          </cell>
          <cell r="L209">
            <v>1002.4000000000001</v>
          </cell>
          <cell r="M209">
            <v>15027.723280537684</v>
          </cell>
          <cell r="N209">
            <v>52.656238656214043</v>
          </cell>
          <cell r="O209">
            <v>9425.4667194623144</v>
          </cell>
          <cell r="P209">
            <v>38.544937161418673</v>
          </cell>
        </row>
        <row r="210">
          <cell r="B210" t="str">
            <v>70-734</v>
          </cell>
          <cell r="C210">
            <v>28.610000000000003</v>
          </cell>
          <cell r="D210">
            <v>492</v>
          </cell>
          <cell r="E210">
            <v>14076.12</v>
          </cell>
          <cell r="F210">
            <v>0.24626134378594861</v>
          </cell>
          <cell r="G210">
            <v>121.16058114268671</v>
          </cell>
          <cell r="H210">
            <v>59.43</v>
          </cell>
          <cell r="I210">
            <v>29239.56</v>
          </cell>
          <cell r="J210">
            <v>4.83</v>
          </cell>
          <cell r="K210">
            <v>3.8640000000000003</v>
          </cell>
          <cell r="L210">
            <v>1901.0880000000002</v>
          </cell>
          <cell r="M210">
            <v>31261.808581142686</v>
          </cell>
          <cell r="N210">
            <v>-34.930261343785943</v>
          </cell>
          <cell r="O210">
            <v>-17185.688581142684</v>
          </cell>
          <cell r="P210">
            <v>-122.09109172941608</v>
          </cell>
        </row>
        <row r="211">
          <cell r="B211" t="str">
            <v>730S102</v>
          </cell>
          <cell r="C211">
            <v>38.61</v>
          </cell>
          <cell r="D211">
            <v>6</v>
          </cell>
          <cell r="E211">
            <v>231.66</v>
          </cell>
          <cell r="F211">
            <v>0.24626134378594858</v>
          </cell>
          <cell r="G211">
            <v>1.4775680627156915</v>
          </cell>
          <cell r="H211">
            <v>116.04780000000001</v>
          </cell>
          <cell r="I211">
            <v>696.28680000000008</v>
          </cell>
          <cell r="J211">
            <v>8.67</v>
          </cell>
          <cell r="K211">
            <v>6.9359999999999999</v>
          </cell>
          <cell r="L211">
            <v>41.616</v>
          </cell>
          <cell r="M211">
            <v>739.38036806271577</v>
          </cell>
          <cell r="N211">
            <v>-84.620061343785963</v>
          </cell>
          <cell r="O211">
            <v>-507.72036806271581</v>
          </cell>
          <cell r="P211">
            <v>-219.16617804658372</v>
          </cell>
        </row>
        <row r="212">
          <cell r="B212" t="str">
            <v>750L961</v>
          </cell>
          <cell r="C212">
            <v>116.61000000000001</v>
          </cell>
          <cell r="D212">
            <v>38</v>
          </cell>
          <cell r="E212">
            <v>4431.18</v>
          </cell>
          <cell r="F212">
            <v>0.24626134378594861</v>
          </cell>
          <cell r="G212">
            <v>9.3579310638660473</v>
          </cell>
          <cell r="H212">
            <v>32.880000000000003</v>
          </cell>
          <cell r="I212">
            <v>1249.44</v>
          </cell>
          <cell r="J212">
            <v>5.44</v>
          </cell>
          <cell r="K212">
            <v>4.3520000000000003</v>
          </cell>
          <cell r="L212">
            <v>165.376</v>
          </cell>
          <cell r="M212">
            <v>1424.1739310638661</v>
          </cell>
          <cell r="N212">
            <v>79.131738656214068</v>
          </cell>
          <cell r="O212">
            <v>3007.0060689361344</v>
          </cell>
          <cell r="P212">
            <v>67.860165214144629</v>
          </cell>
        </row>
        <row r="213">
          <cell r="B213" t="str">
            <v>760L002</v>
          </cell>
          <cell r="C213">
            <v>143.61000000000001</v>
          </cell>
          <cell r="D213">
            <v>151</v>
          </cell>
          <cell r="E213">
            <v>21685.11</v>
          </cell>
          <cell r="F213">
            <v>0.24626134378594858</v>
          </cell>
          <cell r="G213">
            <v>37.185462911678236</v>
          </cell>
          <cell r="H213">
            <v>76.099999999999994</v>
          </cell>
          <cell r="I213">
            <v>11491.099999999999</v>
          </cell>
          <cell r="J213">
            <v>5.09</v>
          </cell>
          <cell r="K213">
            <v>4.0720000000000001</v>
          </cell>
          <cell r="L213">
            <v>614.87199999999996</v>
          </cell>
          <cell r="M213">
            <v>12143.157462911677</v>
          </cell>
          <cell r="N213">
            <v>63.191738656214063</v>
          </cell>
          <cell r="O213">
            <v>9541.9525370883239</v>
          </cell>
          <cell r="P213">
            <v>44.002324807613718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NTENTS"/>
      <sheetName val="SUMMARY"/>
      <sheetName val="CAPEX'00"/>
      <sheetName val="CAPEX(COMPUTERS)"/>
      <sheetName val="Capacity Plan "/>
      <sheetName val="Cap"/>
      <sheetName val="Departmental Summary"/>
      <sheetName val="LABEL"/>
      <sheetName val="ENG-CONSUMABLES (2)"/>
      <sheetName val="ENG-CONSUMABLES"/>
      <sheetName val="CUT CON"/>
      <sheetName val="WELFARE"/>
      <sheetName val="ATTACHMENTS"/>
      <sheetName val="ATTACH.- WKG"/>
      <sheetName val="STAT"/>
      <sheetName val="STAT (2)"/>
      <sheetName val="COMM"/>
      <sheetName val="REP. &amp; MAINT"/>
      <sheetName val="Entertainment"/>
      <sheetName val="Fuel"/>
      <sheetName val="Foreign Exp."/>
      <sheetName val="OT"/>
      <sheetName val="OT SNACKS "/>
    </sheetNames>
    <sheetDataSet>
      <sheetData sheetId="0" refreshError="1"/>
      <sheetData sheetId="1" refreshError="1"/>
      <sheetData sheetId="2" refreshError="1"/>
      <sheetData sheetId="3" refreshError="1">
        <row r="104">
          <cell r="B104" t="str">
            <v>USD</v>
          </cell>
          <cell r="C104">
            <v>46.84</v>
          </cell>
        </row>
        <row r="105">
          <cell r="B105" t="str">
            <v>GBP</v>
          </cell>
          <cell r="C105">
            <v>75</v>
          </cell>
        </row>
        <row r="106">
          <cell r="B106" t="str">
            <v>CHF</v>
          </cell>
          <cell r="C106">
            <v>31</v>
          </cell>
        </row>
        <row r="107">
          <cell r="B107" t="str">
            <v>DM</v>
          </cell>
          <cell r="C107">
            <v>25.5</v>
          </cell>
        </row>
        <row r="108">
          <cell r="B108" t="str">
            <v>INR</v>
          </cell>
          <cell r="C108">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EDUSD"/>
      <sheetName val="EDINR"/>
      <sheetName val="BS"/>
    </sheetNames>
    <sheetDataSet>
      <sheetData sheetId="0" refreshError="1">
        <row r="1">
          <cell r="B1" t="str">
            <v>rt_org</v>
          </cell>
          <cell r="C1" t="str">
            <v>rt_year</v>
          </cell>
          <cell r="D1" t="str">
            <v>rt_period</v>
          </cell>
          <cell r="E1" t="str">
            <v>rt_cucode</v>
          </cell>
          <cell r="F1" t="str">
            <v>rt_rate</v>
          </cell>
        </row>
        <row r="2">
          <cell r="A2" t="str">
            <v>USD19995</v>
          </cell>
          <cell r="B2" t="str">
            <v>IF</v>
          </cell>
          <cell r="C2">
            <v>1999</v>
          </cell>
          <cell r="D2">
            <v>5</v>
          </cell>
          <cell r="E2" t="str">
            <v>USD</v>
          </cell>
          <cell r="F2">
            <v>42.8</v>
          </cell>
        </row>
        <row r="3">
          <cell r="A3" t="str">
            <v>HKD19995</v>
          </cell>
          <cell r="B3" t="str">
            <v>IF</v>
          </cell>
          <cell r="C3">
            <v>1999</v>
          </cell>
          <cell r="D3">
            <v>5</v>
          </cell>
          <cell r="E3" t="str">
            <v>HKD</v>
          </cell>
          <cell r="F3">
            <v>5.33</v>
          </cell>
        </row>
        <row r="4">
          <cell r="A4" t="str">
            <v>YEN19995</v>
          </cell>
          <cell r="B4" t="str">
            <v>IF</v>
          </cell>
          <cell r="C4">
            <v>1999</v>
          </cell>
          <cell r="D4">
            <v>5</v>
          </cell>
          <cell r="E4" t="str">
            <v>YEN</v>
          </cell>
          <cell r="F4">
            <v>0.34200000000000003</v>
          </cell>
        </row>
        <row r="5">
          <cell r="A5" t="str">
            <v>DM19995</v>
          </cell>
          <cell r="B5" t="str">
            <v>IF</v>
          </cell>
          <cell r="C5">
            <v>1999</v>
          </cell>
          <cell r="D5">
            <v>5</v>
          </cell>
          <cell r="E5" t="str">
            <v>DM</v>
          </cell>
          <cell r="F5">
            <v>22.684999999999999</v>
          </cell>
        </row>
        <row r="6">
          <cell r="A6" t="str">
            <v>INR19995</v>
          </cell>
          <cell r="B6" t="str">
            <v>IF</v>
          </cell>
          <cell r="C6">
            <v>1999</v>
          </cell>
          <cell r="D6">
            <v>5</v>
          </cell>
          <cell r="E6" t="str">
            <v>INR</v>
          </cell>
          <cell r="F6">
            <v>1</v>
          </cell>
        </row>
        <row r="7">
          <cell r="A7" t="str">
            <v>SGD19995</v>
          </cell>
          <cell r="B7" t="str">
            <v>IF</v>
          </cell>
          <cell r="C7">
            <v>1999</v>
          </cell>
          <cell r="D7">
            <v>5</v>
          </cell>
          <cell r="E7" t="str">
            <v>SGD</v>
          </cell>
          <cell r="F7">
            <v>23.77</v>
          </cell>
        </row>
        <row r="8">
          <cell r="A8" t="str">
            <v>GBP19995</v>
          </cell>
          <cell r="B8" t="str">
            <v>IF</v>
          </cell>
          <cell r="C8">
            <v>1999</v>
          </cell>
          <cell r="D8">
            <v>5</v>
          </cell>
          <cell r="E8" t="str">
            <v>GBP</v>
          </cell>
          <cell r="F8">
            <v>67.06</v>
          </cell>
        </row>
        <row r="9">
          <cell r="A9" t="str">
            <v>MYR19995</v>
          </cell>
          <cell r="B9" t="str">
            <v>IF</v>
          </cell>
          <cell r="C9">
            <v>1999</v>
          </cell>
          <cell r="D9">
            <v>5</v>
          </cell>
          <cell r="E9" t="str">
            <v>MYR</v>
          </cell>
          <cell r="F9">
            <v>10.67</v>
          </cell>
        </row>
        <row r="10">
          <cell r="A10" t="str">
            <v>CAD19995</v>
          </cell>
          <cell r="B10" t="str">
            <v>IF</v>
          </cell>
          <cell r="C10">
            <v>1999</v>
          </cell>
          <cell r="D10">
            <v>5</v>
          </cell>
          <cell r="E10" t="str">
            <v>CAD</v>
          </cell>
          <cell r="F10">
            <v>27.4</v>
          </cell>
        </row>
        <row r="11">
          <cell r="A11" t="str">
            <v>AUD19995</v>
          </cell>
          <cell r="B11" t="str">
            <v>IF</v>
          </cell>
          <cell r="C11">
            <v>1999</v>
          </cell>
          <cell r="D11">
            <v>5</v>
          </cell>
          <cell r="E11" t="str">
            <v>AUD</v>
          </cell>
          <cell r="F11">
            <v>26</v>
          </cell>
        </row>
        <row r="12">
          <cell r="A12" t="str">
            <v>EUR19995</v>
          </cell>
          <cell r="B12" t="str">
            <v>IF</v>
          </cell>
          <cell r="C12">
            <v>1999</v>
          </cell>
          <cell r="D12">
            <v>5</v>
          </cell>
          <cell r="E12" t="str">
            <v>EUR</v>
          </cell>
          <cell r="F12">
            <v>44.37</v>
          </cell>
        </row>
        <row r="13">
          <cell r="A13" t="str">
            <v>USD19997</v>
          </cell>
          <cell r="B13" t="str">
            <v>IF</v>
          </cell>
          <cell r="C13">
            <v>1999</v>
          </cell>
          <cell r="D13">
            <v>7</v>
          </cell>
          <cell r="E13" t="str">
            <v>USD</v>
          </cell>
          <cell r="F13">
            <v>43.55</v>
          </cell>
        </row>
        <row r="14">
          <cell r="A14" t="str">
            <v>HKD19997</v>
          </cell>
          <cell r="B14" t="str">
            <v>IF</v>
          </cell>
          <cell r="C14">
            <v>1999</v>
          </cell>
          <cell r="D14">
            <v>7</v>
          </cell>
          <cell r="E14" t="str">
            <v>HKD</v>
          </cell>
          <cell r="F14">
            <v>5.6</v>
          </cell>
        </row>
        <row r="15">
          <cell r="A15" t="str">
            <v>YEN19997</v>
          </cell>
          <cell r="B15" t="str">
            <v>IF</v>
          </cell>
          <cell r="C15">
            <v>1999</v>
          </cell>
          <cell r="D15">
            <v>7</v>
          </cell>
          <cell r="E15" t="str">
            <v>YEN</v>
          </cell>
          <cell r="F15">
            <v>0.38</v>
          </cell>
        </row>
        <row r="16">
          <cell r="A16" t="str">
            <v>DM19997</v>
          </cell>
          <cell r="B16" t="str">
            <v>IF</v>
          </cell>
          <cell r="C16">
            <v>1999</v>
          </cell>
          <cell r="D16">
            <v>7</v>
          </cell>
          <cell r="E16" t="str">
            <v>DM</v>
          </cell>
          <cell r="F16">
            <v>23.95</v>
          </cell>
        </row>
        <row r="17">
          <cell r="A17" t="str">
            <v>INR19997</v>
          </cell>
          <cell r="B17" t="str">
            <v>IF</v>
          </cell>
          <cell r="C17">
            <v>1999</v>
          </cell>
          <cell r="D17">
            <v>7</v>
          </cell>
          <cell r="E17" t="str">
            <v>INR</v>
          </cell>
          <cell r="F17">
            <v>1</v>
          </cell>
        </row>
        <row r="18">
          <cell r="A18" t="str">
            <v>SGD19997</v>
          </cell>
          <cell r="B18" t="str">
            <v>IF</v>
          </cell>
          <cell r="C18">
            <v>1999</v>
          </cell>
          <cell r="D18">
            <v>7</v>
          </cell>
          <cell r="E18" t="str">
            <v>SGD</v>
          </cell>
          <cell r="F18">
            <v>25.92</v>
          </cell>
        </row>
        <row r="19">
          <cell r="A19" t="str">
            <v>GBP19997</v>
          </cell>
          <cell r="B19" t="str">
            <v>IF</v>
          </cell>
          <cell r="C19">
            <v>1999</v>
          </cell>
          <cell r="D19">
            <v>7</v>
          </cell>
          <cell r="E19" t="str">
            <v>GBP</v>
          </cell>
          <cell r="F19">
            <v>70.569999999999993</v>
          </cell>
        </row>
        <row r="20">
          <cell r="A20" t="str">
            <v>MYR19997</v>
          </cell>
          <cell r="B20" t="str">
            <v>IF</v>
          </cell>
          <cell r="C20">
            <v>1999</v>
          </cell>
          <cell r="D20">
            <v>7</v>
          </cell>
          <cell r="E20" t="str">
            <v>MYR</v>
          </cell>
          <cell r="F20">
            <v>10</v>
          </cell>
        </row>
        <row r="21">
          <cell r="A21" t="str">
            <v>CAD19997</v>
          </cell>
          <cell r="B21" t="str">
            <v>IF</v>
          </cell>
          <cell r="C21">
            <v>1999</v>
          </cell>
          <cell r="D21">
            <v>7</v>
          </cell>
          <cell r="E21" t="str">
            <v>CAD</v>
          </cell>
          <cell r="F21">
            <v>29.19</v>
          </cell>
        </row>
        <row r="22">
          <cell r="A22" t="str">
            <v>AUD19997</v>
          </cell>
          <cell r="B22" t="str">
            <v>IF</v>
          </cell>
          <cell r="C22">
            <v>1999</v>
          </cell>
          <cell r="D22">
            <v>7</v>
          </cell>
          <cell r="E22" t="str">
            <v>AUD</v>
          </cell>
          <cell r="F22">
            <v>28.48</v>
          </cell>
        </row>
        <row r="23">
          <cell r="A23" t="str">
            <v>EUR19997</v>
          </cell>
          <cell r="B23" t="str">
            <v>IF</v>
          </cell>
          <cell r="C23">
            <v>1999</v>
          </cell>
          <cell r="D23">
            <v>7</v>
          </cell>
          <cell r="E23" t="str">
            <v>EUR</v>
          </cell>
          <cell r="F23">
            <v>46.85</v>
          </cell>
        </row>
        <row r="24">
          <cell r="A24" t="str">
            <v>SLR19997</v>
          </cell>
          <cell r="B24" t="str">
            <v>IF</v>
          </cell>
          <cell r="C24">
            <v>1999</v>
          </cell>
          <cell r="D24">
            <v>7</v>
          </cell>
          <cell r="E24" t="str">
            <v>SLR</v>
          </cell>
          <cell r="F24">
            <v>1.62</v>
          </cell>
        </row>
        <row r="25">
          <cell r="A25" t="str">
            <v>SLR19995</v>
          </cell>
          <cell r="B25" t="str">
            <v>IF</v>
          </cell>
          <cell r="C25">
            <v>1999</v>
          </cell>
          <cell r="D25">
            <v>5</v>
          </cell>
          <cell r="E25" t="str">
            <v>SLR</v>
          </cell>
          <cell r="F25">
            <v>1.66</v>
          </cell>
        </row>
        <row r="26">
          <cell r="A26" t="str">
            <v>USD19996</v>
          </cell>
          <cell r="B26" t="str">
            <v>IF</v>
          </cell>
          <cell r="C26">
            <v>1999</v>
          </cell>
          <cell r="D26">
            <v>6</v>
          </cell>
          <cell r="E26" t="str">
            <v>USD</v>
          </cell>
          <cell r="F26">
            <v>43.13</v>
          </cell>
        </row>
        <row r="27">
          <cell r="A27" t="str">
            <v>HKD19996</v>
          </cell>
          <cell r="B27" t="str">
            <v>IF</v>
          </cell>
          <cell r="C27">
            <v>1999</v>
          </cell>
          <cell r="D27">
            <v>6</v>
          </cell>
          <cell r="E27" t="str">
            <v>HKD</v>
          </cell>
          <cell r="F27">
            <v>5.56</v>
          </cell>
        </row>
        <row r="28">
          <cell r="A28" t="str">
            <v>YEN19996</v>
          </cell>
          <cell r="B28" t="str">
            <v>IF</v>
          </cell>
          <cell r="C28">
            <v>1999</v>
          </cell>
          <cell r="D28">
            <v>6</v>
          </cell>
          <cell r="E28" t="str">
            <v>YEN</v>
          </cell>
          <cell r="F28">
            <v>0.35599999999999998</v>
          </cell>
        </row>
        <row r="29">
          <cell r="A29" t="str">
            <v>DM19996</v>
          </cell>
          <cell r="B29" t="str">
            <v>IF</v>
          </cell>
          <cell r="C29">
            <v>1999</v>
          </cell>
          <cell r="D29">
            <v>6</v>
          </cell>
          <cell r="E29" t="str">
            <v>DM</v>
          </cell>
          <cell r="F29">
            <v>23.08</v>
          </cell>
        </row>
        <row r="30">
          <cell r="A30" t="str">
            <v>INR19996</v>
          </cell>
          <cell r="B30" t="str">
            <v>IF</v>
          </cell>
          <cell r="C30">
            <v>1999</v>
          </cell>
          <cell r="D30">
            <v>6</v>
          </cell>
          <cell r="E30" t="str">
            <v>INR</v>
          </cell>
          <cell r="F30">
            <v>1</v>
          </cell>
        </row>
        <row r="31">
          <cell r="A31" t="str">
            <v>SGD19996</v>
          </cell>
          <cell r="B31" t="str">
            <v>IF</v>
          </cell>
          <cell r="C31">
            <v>1999</v>
          </cell>
          <cell r="D31">
            <v>6</v>
          </cell>
          <cell r="E31" t="str">
            <v>SGD</v>
          </cell>
          <cell r="F31">
            <v>24.97</v>
          </cell>
        </row>
        <row r="32">
          <cell r="A32" t="str">
            <v>GBP19996</v>
          </cell>
          <cell r="B32" t="str">
            <v>IF</v>
          </cell>
          <cell r="C32">
            <v>1999</v>
          </cell>
          <cell r="D32">
            <v>6</v>
          </cell>
          <cell r="E32" t="str">
            <v>GBP</v>
          </cell>
          <cell r="F32">
            <v>69.12</v>
          </cell>
        </row>
        <row r="33">
          <cell r="A33" t="str">
            <v>MYR19996</v>
          </cell>
          <cell r="B33" t="str">
            <v>IF</v>
          </cell>
          <cell r="C33">
            <v>1999</v>
          </cell>
          <cell r="D33">
            <v>6</v>
          </cell>
          <cell r="E33" t="str">
            <v>MYR</v>
          </cell>
          <cell r="F33">
            <v>10</v>
          </cell>
        </row>
        <row r="34">
          <cell r="A34" t="str">
            <v>CAD19996</v>
          </cell>
          <cell r="B34" t="str">
            <v>IF</v>
          </cell>
          <cell r="C34">
            <v>1999</v>
          </cell>
          <cell r="D34">
            <v>6</v>
          </cell>
          <cell r="E34" t="str">
            <v>CAD</v>
          </cell>
          <cell r="F34">
            <v>29.27</v>
          </cell>
        </row>
        <row r="35">
          <cell r="A35" t="str">
            <v>AUD19996</v>
          </cell>
          <cell r="B35" t="str">
            <v>IF</v>
          </cell>
          <cell r="C35">
            <v>1999</v>
          </cell>
          <cell r="D35">
            <v>6</v>
          </cell>
          <cell r="E35" t="str">
            <v>AUD</v>
          </cell>
          <cell r="F35">
            <v>27.99</v>
          </cell>
        </row>
        <row r="36">
          <cell r="A36" t="str">
            <v>EUR19996</v>
          </cell>
          <cell r="B36" t="str">
            <v>IF</v>
          </cell>
          <cell r="C36">
            <v>1999</v>
          </cell>
          <cell r="D36">
            <v>6</v>
          </cell>
          <cell r="E36" t="str">
            <v>EUR</v>
          </cell>
          <cell r="F36">
            <v>45.14</v>
          </cell>
        </row>
        <row r="37">
          <cell r="A37" t="str">
            <v>SLR19996</v>
          </cell>
          <cell r="B37" t="str">
            <v>IF</v>
          </cell>
          <cell r="C37">
            <v>1999</v>
          </cell>
          <cell r="D37">
            <v>6</v>
          </cell>
          <cell r="E37" t="str">
            <v>SLR</v>
          </cell>
          <cell r="F37">
            <v>1.62</v>
          </cell>
        </row>
        <row r="38">
          <cell r="A38" t="str">
            <v>USD19998</v>
          </cell>
          <cell r="B38" t="str">
            <v>IF</v>
          </cell>
          <cell r="C38">
            <v>1999</v>
          </cell>
          <cell r="D38">
            <v>8</v>
          </cell>
          <cell r="E38" t="str">
            <v>USD</v>
          </cell>
          <cell r="F38">
            <v>43.55</v>
          </cell>
        </row>
        <row r="39">
          <cell r="A39" t="str">
            <v>HKD19998</v>
          </cell>
          <cell r="B39" t="str">
            <v>IF</v>
          </cell>
          <cell r="C39">
            <v>1999</v>
          </cell>
          <cell r="D39">
            <v>8</v>
          </cell>
          <cell r="E39" t="str">
            <v>HKD</v>
          </cell>
          <cell r="F39">
            <v>5.6</v>
          </cell>
        </row>
        <row r="40">
          <cell r="A40" t="str">
            <v>YEN19998</v>
          </cell>
          <cell r="B40" t="str">
            <v>IF</v>
          </cell>
          <cell r="C40">
            <v>1999</v>
          </cell>
          <cell r="D40">
            <v>8</v>
          </cell>
          <cell r="E40" t="str">
            <v>YEN</v>
          </cell>
          <cell r="F40">
            <v>0.38</v>
          </cell>
        </row>
        <row r="41">
          <cell r="A41" t="str">
            <v>DM19998</v>
          </cell>
          <cell r="B41" t="str">
            <v>IF</v>
          </cell>
          <cell r="C41">
            <v>1999</v>
          </cell>
          <cell r="D41">
            <v>8</v>
          </cell>
          <cell r="E41" t="str">
            <v>DM</v>
          </cell>
          <cell r="F41">
            <v>23.95</v>
          </cell>
        </row>
        <row r="42">
          <cell r="A42" t="str">
            <v>INR19998</v>
          </cell>
          <cell r="B42" t="str">
            <v>IF</v>
          </cell>
          <cell r="C42">
            <v>1999</v>
          </cell>
          <cell r="D42">
            <v>8</v>
          </cell>
          <cell r="E42" t="str">
            <v>INR</v>
          </cell>
          <cell r="F42">
            <v>1</v>
          </cell>
        </row>
        <row r="43">
          <cell r="A43" t="str">
            <v>SGD19998</v>
          </cell>
          <cell r="B43" t="str">
            <v>IF</v>
          </cell>
          <cell r="C43">
            <v>1999</v>
          </cell>
          <cell r="D43">
            <v>8</v>
          </cell>
          <cell r="E43" t="str">
            <v>SGD</v>
          </cell>
          <cell r="F43">
            <v>25.92</v>
          </cell>
        </row>
        <row r="44">
          <cell r="A44" t="str">
            <v>GBP19998</v>
          </cell>
          <cell r="B44" t="str">
            <v>IF</v>
          </cell>
          <cell r="C44">
            <v>1999</v>
          </cell>
          <cell r="D44">
            <v>8</v>
          </cell>
          <cell r="E44" t="str">
            <v>GBP</v>
          </cell>
          <cell r="F44">
            <v>70.569999999999993</v>
          </cell>
        </row>
        <row r="45">
          <cell r="A45" t="str">
            <v>MYR19998</v>
          </cell>
          <cell r="B45" t="str">
            <v>IF</v>
          </cell>
          <cell r="C45">
            <v>1999</v>
          </cell>
          <cell r="D45">
            <v>8</v>
          </cell>
          <cell r="E45" t="str">
            <v>MYR</v>
          </cell>
          <cell r="F45">
            <v>10</v>
          </cell>
        </row>
        <row r="46">
          <cell r="A46" t="str">
            <v>CAD19998</v>
          </cell>
          <cell r="B46" t="str">
            <v>IF</v>
          </cell>
          <cell r="C46">
            <v>1999</v>
          </cell>
          <cell r="D46">
            <v>8</v>
          </cell>
          <cell r="E46" t="str">
            <v>CAD</v>
          </cell>
          <cell r="F46">
            <v>29.19</v>
          </cell>
        </row>
        <row r="47">
          <cell r="A47" t="str">
            <v>AUD19998</v>
          </cell>
          <cell r="B47" t="str">
            <v>IF</v>
          </cell>
          <cell r="C47">
            <v>1999</v>
          </cell>
          <cell r="D47">
            <v>8</v>
          </cell>
          <cell r="E47" t="str">
            <v>AUD</v>
          </cell>
          <cell r="F47">
            <v>28.48</v>
          </cell>
        </row>
        <row r="48">
          <cell r="A48" t="str">
            <v>EUR19998</v>
          </cell>
          <cell r="B48" t="str">
            <v>IF</v>
          </cell>
          <cell r="C48">
            <v>1999</v>
          </cell>
          <cell r="D48">
            <v>8</v>
          </cell>
          <cell r="E48" t="str">
            <v>EUR</v>
          </cell>
          <cell r="F48">
            <v>46.85</v>
          </cell>
        </row>
        <row r="49">
          <cell r="A49" t="str">
            <v>SLR19998</v>
          </cell>
          <cell r="B49" t="str">
            <v>IF</v>
          </cell>
          <cell r="C49">
            <v>1999</v>
          </cell>
          <cell r="D49">
            <v>8</v>
          </cell>
          <cell r="E49" t="str">
            <v>SLR</v>
          </cell>
          <cell r="F49">
            <v>1.62</v>
          </cell>
        </row>
        <row r="50">
          <cell r="A50" t="str">
            <v>USD19999</v>
          </cell>
          <cell r="B50" t="str">
            <v>IF</v>
          </cell>
          <cell r="C50">
            <v>1999</v>
          </cell>
          <cell r="D50">
            <v>9</v>
          </cell>
          <cell r="E50" t="str">
            <v>USD</v>
          </cell>
          <cell r="F50">
            <v>43.77</v>
          </cell>
        </row>
        <row r="51">
          <cell r="A51" t="str">
            <v>HKD19999</v>
          </cell>
          <cell r="B51" t="str">
            <v>IF</v>
          </cell>
          <cell r="C51">
            <v>1999</v>
          </cell>
          <cell r="D51">
            <v>9</v>
          </cell>
          <cell r="E51" t="str">
            <v>HKD</v>
          </cell>
          <cell r="F51">
            <v>5.63</v>
          </cell>
        </row>
        <row r="52">
          <cell r="A52" t="str">
            <v>YEN19999</v>
          </cell>
          <cell r="B52" t="str">
            <v>IF</v>
          </cell>
          <cell r="C52">
            <v>1999</v>
          </cell>
          <cell r="D52">
            <v>9</v>
          </cell>
          <cell r="E52" t="str">
            <v>YEN</v>
          </cell>
          <cell r="F52">
            <v>0.39800000000000002</v>
          </cell>
        </row>
        <row r="53">
          <cell r="A53" t="str">
            <v>DM19999</v>
          </cell>
          <cell r="B53" t="str">
            <v>IF</v>
          </cell>
          <cell r="C53">
            <v>1999</v>
          </cell>
          <cell r="D53">
            <v>9</v>
          </cell>
          <cell r="E53" t="str">
            <v>DM</v>
          </cell>
          <cell r="F53">
            <v>23.6</v>
          </cell>
        </row>
        <row r="54">
          <cell r="A54" t="str">
            <v>INR19999</v>
          </cell>
          <cell r="B54" t="str">
            <v>IF</v>
          </cell>
          <cell r="C54">
            <v>1999</v>
          </cell>
          <cell r="D54">
            <v>9</v>
          </cell>
          <cell r="E54" t="str">
            <v>INR</v>
          </cell>
          <cell r="F54">
            <v>1</v>
          </cell>
        </row>
        <row r="55">
          <cell r="A55" t="str">
            <v>SGD19999</v>
          </cell>
          <cell r="B55" t="str">
            <v>IF</v>
          </cell>
          <cell r="C55">
            <v>1999</v>
          </cell>
          <cell r="D55">
            <v>9</v>
          </cell>
          <cell r="E55" t="str">
            <v>SGD</v>
          </cell>
          <cell r="F55">
            <v>26.12</v>
          </cell>
        </row>
        <row r="56">
          <cell r="A56" t="str">
            <v>GBP19999</v>
          </cell>
          <cell r="B56" t="str">
            <v>IF</v>
          </cell>
          <cell r="C56">
            <v>1999</v>
          </cell>
          <cell r="D56">
            <v>9</v>
          </cell>
          <cell r="E56" t="str">
            <v>GBP</v>
          </cell>
          <cell r="F56">
            <v>70.010000000000005</v>
          </cell>
        </row>
        <row r="57">
          <cell r="A57" t="str">
            <v>MYR19999</v>
          </cell>
          <cell r="B57" t="str">
            <v>IF</v>
          </cell>
          <cell r="C57">
            <v>1999</v>
          </cell>
          <cell r="D57">
            <v>9</v>
          </cell>
          <cell r="E57" t="str">
            <v>MYR</v>
          </cell>
          <cell r="F57">
            <v>10</v>
          </cell>
        </row>
        <row r="58">
          <cell r="A58" t="str">
            <v>CAD19999</v>
          </cell>
          <cell r="B58" t="str">
            <v>IF</v>
          </cell>
          <cell r="C58">
            <v>1999</v>
          </cell>
          <cell r="D58">
            <v>9</v>
          </cell>
          <cell r="E58" t="str">
            <v>CAD</v>
          </cell>
          <cell r="F58">
            <v>29.6</v>
          </cell>
        </row>
        <row r="59">
          <cell r="A59" t="str">
            <v>AUD19999</v>
          </cell>
          <cell r="B59" t="str">
            <v>IF</v>
          </cell>
          <cell r="C59">
            <v>1999</v>
          </cell>
          <cell r="D59">
            <v>9</v>
          </cell>
          <cell r="E59" t="str">
            <v>AUD</v>
          </cell>
          <cell r="F59">
            <v>28</v>
          </cell>
        </row>
        <row r="60">
          <cell r="A60" t="str">
            <v>EUR19999</v>
          </cell>
          <cell r="B60" t="str">
            <v>IF</v>
          </cell>
          <cell r="C60">
            <v>1999</v>
          </cell>
          <cell r="D60">
            <v>9</v>
          </cell>
          <cell r="E60" t="str">
            <v>EUR</v>
          </cell>
          <cell r="F60">
            <v>46.14</v>
          </cell>
        </row>
        <row r="61">
          <cell r="A61" t="str">
            <v>SLR19999</v>
          </cell>
          <cell r="B61" t="str">
            <v>IF</v>
          </cell>
          <cell r="C61">
            <v>1999</v>
          </cell>
          <cell r="D61">
            <v>9</v>
          </cell>
          <cell r="E61" t="str">
            <v>SLR</v>
          </cell>
          <cell r="F61">
            <v>1.62</v>
          </cell>
        </row>
        <row r="62">
          <cell r="A62" t="str">
            <v>USD199910</v>
          </cell>
          <cell r="B62" t="str">
            <v>IF</v>
          </cell>
          <cell r="C62">
            <v>1999</v>
          </cell>
          <cell r="D62">
            <v>10</v>
          </cell>
          <cell r="E62" t="str">
            <v>USD</v>
          </cell>
          <cell r="F62">
            <v>43.75</v>
          </cell>
        </row>
        <row r="63">
          <cell r="A63" t="str">
            <v>HKD199910</v>
          </cell>
          <cell r="B63" t="str">
            <v>IF</v>
          </cell>
          <cell r="C63">
            <v>1999</v>
          </cell>
          <cell r="D63">
            <v>10</v>
          </cell>
          <cell r="E63" t="str">
            <v>HKD</v>
          </cell>
          <cell r="F63">
            <v>5.63</v>
          </cell>
        </row>
        <row r="64">
          <cell r="A64" t="str">
            <v>YEN199910</v>
          </cell>
          <cell r="B64" t="str">
            <v>IF</v>
          </cell>
          <cell r="C64">
            <v>1999</v>
          </cell>
          <cell r="D64">
            <v>10</v>
          </cell>
          <cell r="E64" t="str">
            <v>YEN</v>
          </cell>
          <cell r="F64">
            <v>0.41599999999999998</v>
          </cell>
        </row>
        <row r="65">
          <cell r="A65" t="str">
            <v>DM199910</v>
          </cell>
          <cell r="B65" t="str">
            <v>IF</v>
          </cell>
          <cell r="C65">
            <v>1999</v>
          </cell>
          <cell r="D65">
            <v>10</v>
          </cell>
          <cell r="E65" t="str">
            <v>DM</v>
          </cell>
          <cell r="F65">
            <v>23.51</v>
          </cell>
        </row>
        <row r="66">
          <cell r="A66" t="str">
            <v>INR199910</v>
          </cell>
          <cell r="B66" t="str">
            <v>IF</v>
          </cell>
          <cell r="C66">
            <v>1999</v>
          </cell>
          <cell r="D66">
            <v>10</v>
          </cell>
          <cell r="E66" t="str">
            <v>INR</v>
          </cell>
          <cell r="F66">
            <v>1</v>
          </cell>
        </row>
        <row r="67">
          <cell r="A67" t="str">
            <v>SGD199910</v>
          </cell>
          <cell r="B67" t="str">
            <v>IF</v>
          </cell>
          <cell r="C67">
            <v>1999</v>
          </cell>
          <cell r="D67">
            <v>10</v>
          </cell>
          <cell r="E67" t="str">
            <v>SGD</v>
          </cell>
          <cell r="F67">
            <v>25.75</v>
          </cell>
        </row>
        <row r="68">
          <cell r="A68" t="str">
            <v>GBP199910</v>
          </cell>
          <cell r="B68" t="str">
            <v>IF</v>
          </cell>
          <cell r="C68">
            <v>1999</v>
          </cell>
          <cell r="D68">
            <v>10</v>
          </cell>
          <cell r="E68" t="str">
            <v>GBP</v>
          </cell>
          <cell r="F68">
            <v>72.31</v>
          </cell>
        </row>
        <row r="69">
          <cell r="A69" t="str">
            <v>MYR199910</v>
          </cell>
          <cell r="B69" t="str">
            <v>IF</v>
          </cell>
          <cell r="C69">
            <v>1999</v>
          </cell>
          <cell r="D69">
            <v>10</v>
          </cell>
          <cell r="E69" t="str">
            <v>MYR</v>
          </cell>
          <cell r="F69">
            <v>10</v>
          </cell>
        </row>
        <row r="70">
          <cell r="A70" t="str">
            <v>CAD199910</v>
          </cell>
          <cell r="B70" t="str">
            <v>IF</v>
          </cell>
          <cell r="C70">
            <v>1999</v>
          </cell>
          <cell r="D70">
            <v>10</v>
          </cell>
          <cell r="E70" t="str">
            <v>CAD</v>
          </cell>
          <cell r="F70">
            <v>30.07</v>
          </cell>
        </row>
        <row r="71">
          <cell r="A71" t="str">
            <v>AUD199910</v>
          </cell>
          <cell r="B71" t="str">
            <v>IF</v>
          </cell>
          <cell r="C71">
            <v>1999</v>
          </cell>
          <cell r="D71">
            <v>10</v>
          </cell>
          <cell r="E71" t="str">
            <v>AUD</v>
          </cell>
          <cell r="F71">
            <v>28.58</v>
          </cell>
        </row>
        <row r="72">
          <cell r="A72" t="str">
            <v>EUR199910</v>
          </cell>
          <cell r="B72" t="str">
            <v>IF</v>
          </cell>
          <cell r="C72">
            <v>1999</v>
          </cell>
          <cell r="D72">
            <v>10</v>
          </cell>
          <cell r="E72" t="str">
            <v>EUR</v>
          </cell>
          <cell r="F72">
            <v>45.98</v>
          </cell>
        </row>
        <row r="73">
          <cell r="A73" t="str">
            <v>SLR199910</v>
          </cell>
          <cell r="B73" t="str">
            <v>IF</v>
          </cell>
          <cell r="C73">
            <v>1999</v>
          </cell>
          <cell r="D73">
            <v>10</v>
          </cell>
          <cell r="E73" t="str">
            <v>SLR</v>
          </cell>
          <cell r="F73">
            <v>1.62</v>
          </cell>
        </row>
        <row r="74">
          <cell r="A74" t="str">
            <v>USD199911</v>
          </cell>
          <cell r="B74" t="str">
            <v>IF</v>
          </cell>
          <cell r="C74">
            <v>1999</v>
          </cell>
          <cell r="D74">
            <v>11</v>
          </cell>
          <cell r="E74" t="str">
            <v>USD</v>
          </cell>
          <cell r="F74">
            <v>43.57</v>
          </cell>
        </row>
        <row r="75">
          <cell r="A75" t="str">
            <v>HKD199911</v>
          </cell>
          <cell r="B75" t="str">
            <v>IF</v>
          </cell>
          <cell r="C75">
            <v>1999</v>
          </cell>
          <cell r="D75">
            <v>11</v>
          </cell>
          <cell r="E75" t="str">
            <v>HKD</v>
          </cell>
          <cell r="F75">
            <v>5.61</v>
          </cell>
        </row>
        <row r="76">
          <cell r="A76" t="str">
            <v>YEN199911</v>
          </cell>
          <cell r="B76" t="str">
            <v>IF</v>
          </cell>
          <cell r="C76">
            <v>1999</v>
          </cell>
          <cell r="D76">
            <v>11</v>
          </cell>
          <cell r="E76" t="str">
            <v>YEN</v>
          </cell>
          <cell r="F76">
            <v>0.41899999999999998</v>
          </cell>
        </row>
        <row r="77">
          <cell r="A77" t="str">
            <v>DM199911</v>
          </cell>
          <cell r="B77" t="str">
            <v>IF</v>
          </cell>
          <cell r="C77">
            <v>1999</v>
          </cell>
          <cell r="D77">
            <v>11</v>
          </cell>
          <cell r="E77" t="str">
            <v>DM</v>
          </cell>
          <cell r="F77">
            <v>23.61</v>
          </cell>
        </row>
        <row r="78">
          <cell r="A78" t="str">
            <v>INR199911</v>
          </cell>
          <cell r="B78" t="str">
            <v>IF</v>
          </cell>
          <cell r="C78">
            <v>1999</v>
          </cell>
          <cell r="D78">
            <v>11</v>
          </cell>
          <cell r="E78" t="str">
            <v>INR</v>
          </cell>
          <cell r="F78">
            <v>1</v>
          </cell>
        </row>
        <row r="79">
          <cell r="A79" t="str">
            <v>SGD199911</v>
          </cell>
          <cell r="B79" t="str">
            <v>IF</v>
          </cell>
          <cell r="C79">
            <v>1999</v>
          </cell>
          <cell r="D79">
            <v>11</v>
          </cell>
          <cell r="E79" t="str">
            <v>SGD</v>
          </cell>
          <cell r="F79">
            <v>26.27</v>
          </cell>
        </row>
        <row r="80">
          <cell r="A80" t="str">
            <v>GBP199911</v>
          </cell>
          <cell r="B80" t="str">
            <v>IF</v>
          </cell>
          <cell r="C80">
            <v>1999</v>
          </cell>
          <cell r="D80">
            <v>11</v>
          </cell>
          <cell r="E80" t="str">
            <v>GBP</v>
          </cell>
          <cell r="F80">
            <v>71.88</v>
          </cell>
        </row>
        <row r="81">
          <cell r="A81" t="str">
            <v>MYR199911</v>
          </cell>
          <cell r="B81" t="str">
            <v>IF</v>
          </cell>
          <cell r="C81">
            <v>1999</v>
          </cell>
          <cell r="D81">
            <v>11</v>
          </cell>
          <cell r="E81" t="str">
            <v>MYR</v>
          </cell>
          <cell r="F81">
            <v>10</v>
          </cell>
        </row>
        <row r="82">
          <cell r="A82" t="str">
            <v>CAD199911</v>
          </cell>
          <cell r="B82" t="str">
            <v>IF</v>
          </cell>
          <cell r="C82">
            <v>1999</v>
          </cell>
          <cell r="D82">
            <v>11</v>
          </cell>
          <cell r="E82" t="str">
            <v>CAD</v>
          </cell>
          <cell r="F82">
            <v>30.07</v>
          </cell>
        </row>
        <row r="83">
          <cell r="A83" t="str">
            <v>AUD199911</v>
          </cell>
          <cell r="B83" t="str">
            <v>IF</v>
          </cell>
          <cell r="C83">
            <v>1999</v>
          </cell>
          <cell r="D83">
            <v>11</v>
          </cell>
          <cell r="E83" t="str">
            <v>AUD</v>
          </cell>
          <cell r="F83">
            <v>28.58</v>
          </cell>
        </row>
        <row r="84">
          <cell r="A84" t="str">
            <v>EUR199911</v>
          </cell>
          <cell r="B84" t="str">
            <v>IF</v>
          </cell>
          <cell r="C84">
            <v>1999</v>
          </cell>
          <cell r="D84">
            <v>11</v>
          </cell>
          <cell r="E84" t="str">
            <v>EUR</v>
          </cell>
          <cell r="F84">
            <v>46.18</v>
          </cell>
        </row>
        <row r="85">
          <cell r="A85" t="str">
            <v>SLR199911</v>
          </cell>
          <cell r="B85" t="str">
            <v>IF</v>
          </cell>
          <cell r="C85">
            <v>1999</v>
          </cell>
          <cell r="D85">
            <v>11</v>
          </cell>
          <cell r="E85" t="str">
            <v>SLR</v>
          </cell>
          <cell r="F85">
            <v>1.62</v>
          </cell>
        </row>
        <row r="86">
          <cell r="A86" t="str">
            <v>USD199912</v>
          </cell>
          <cell r="B86" t="str">
            <v>IF</v>
          </cell>
          <cell r="C86">
            <v>1999</v>
          </cell>
          <cell r="D86">
            <v>12</v>
          </cell>
          <cell r="E86" t="str">
            <v>USD</v>
          </cell>
          <cell r="F86">
            <v>43.512999999999998</v>
          </cell>
        </row>
        <row r="87">
          <cell r="A87" t="str">
            <v>HKD199912</v>
          </cell>
          <cell r="B87" t="str">
            <v>IF</v>
          </cell>
          <cell r="C87">
            <v>1999</v>
          </cell>
          <cell r="D87">
            <v>12</v>
          </cell>
          <cell r="E87" t="str">
            <v>HKD</v>
          </cell>
          <cell r="F87">
            <v>5.62</v>
          </cell>
        </row>
        <row r="88">
          <cell r="A88" t="str">
            <v>YEN199912</v>
          </cell>
          <cell r="B88" t="str">
            <v>IF</v>
          </cell>
          <cell r="C88">
            <v>1999</v>
          </cell>
          <cell r="D88">
            <v>12</v>
          </cell>
          <cell r="E88" t="str">
            <v>YEN</v>
          </cell>
          <cell r="F88">
            <v>0.32700000000000001</v>
          </cell>
        </row>
        <row r="89">
          <cell r="A89" t="str">
            <v>DM199912</v>
          </cell>
          <cell r="B89" t="str">
            <v>IF</v>
          </cell>
          <cell r="C89">
            <v>1999</v>
          </cell>
          <cell r="D89">
            <v>12</v>
          </cell>
          <cell r="E89" t="str">
            <v>DM</v>
          </cell>
          <cell r="F89">
            <v>26.074000000000002</v>
          </cell>
        </row>
        <row r="90">
          <cell r="A90" t="str">
            <v>INR199912</v>
          </cell>
          <cell r="B90" t="str">
            <v>IF</v>
          </cell>
          <cell r="C90">
            <v>1999</v>
          </cell>
          <cell r="D90">
            <v>12</v>
          </cell>
          <cell r="E90" t="str">
            <v>INR</v>
          </cell>
          <cell r="F90">
            <v>1</v>
          </cell>
        </row>
        <row r="91">
          <cell r="A91" t="str">
            <v>SGD199912</v>
          </cell>
          <cell r="B91" t="str">
            <v>IF</v>
          </cell>
          <cell r="C91">
            <v>1999</v>
          </cell>
          <cell r="D91">
            <v>12</v>
          </cell>
          <cell r="E91" t="str">
            <v>SGD</v>
          </cell>
          <cell r="F91">
            <v>25.968</v>
          </cell>
        </row>
        <row r="92">
          <cell r="A92" t="str">
            <v>GBP199912</v>
          </cell>
          <cell r="B92" t="str">
            <v>IF</v>
          </cell>
          <cell r="C92">
            <v>1999</v>
          </cell>
          <cell r="D92">
            <v>12</v>
          </cell>
          <cell r="E92" t="str">
            <v>GBP</v>
          </cell>
          <cell r="F92">
            <v>69.816000000000003</v>
          </cell>
        </row>
        <row r="93">
          <cell r="A93" t="str">
            <v>MYR199912</v>
          </cell>
          <cell r="B93" t="str">
            <v>IF</v>
          </cell>
          <cell r="C93">
            <v>1999</v>
          </cell>
          <cell r="D93">
            <v>12</v>
          </cell>
          <cell r="E93" t="str">
            <v>MYR</v>
          </cell>
          <cell r="F93">
            <v>11.516</v>
          </cell>
        </row>
        <row r="94">
          <cell r="A94" t="str">
            <v>CAD199912</v>
          </cell>
          <cell r="B94" t="str">
            <v>IF</v>
          </cell>
          <cell r="C94">
            <v>1999</v>
          </cell>
          <cell r="D94">
            <v>12</v>
          </cell>
          <cell r="E94" t="str">
            <v>CAD</v>
          </cell>
          <cell r="F94">
            <v>29.591000000000001</v>
          </cell>
        </row>
        <row r="95">
          <cell r="A95" t="str">
            <v>AUD199912</v>
          </cell>
          <cell r="B95" t="str">
            <v>IF</v>
          </cell>
          <cell r="C95">
            <v>1999</v>
          </cell>
          <cell r="D95">
            <v>12</v>
          </cell>
          <cell r="E95" t="str">
            <v>AUD</v>
          </cell>
          <cell r="F95">
            <v>27.779</v>
          </cell>
        </row>
        <row r="96">
          <cell r="A96" t="str">
            <v>EUR199912</v>
          </cell>
          <cell r="B96" t="str">
            <v>IF</v>
          </cell>
          <cell r="C96">
            <v>1999</v>
          </cell>
          <cell r="D96">
            <v>12</v>
          </cell>
          <cell r="E96" t="str">
            <v>EUR</v>
          </cell>
          <cell r="F96">
            <v>46.18</v>
          </cell>
        </row>
        <row r="97">
          <cell r="A97" t="str">
            <v>SLR199912</v>
          </cell>
          <cell r="B97" t="str">
            <v>IF</v>
          </cell>
          <cell r="C97">
            <v>1999</v>
          </cell>
          <cell r="D97">
            <v>12</v>
          </cell>
          <cell r="E97" t="str">
            <v>SLR</v>
          </cell>
          <cell r="F97">
            <v>1.62</v>
          </cell>
        </row>
        <row r="98">
          <cell r="A98" t="str">
            <v>USD20001</v>
          </cell>
          <cell r="B98" t="str">
            <v>IF</v>
          </cell>
          <cell r="C98">
            <v>2000</v>
          </cell>
          <cell r="D98">
            <v>1</v>
          </cell>
          <cell r="E98" t="str">
            <v>USD</v>
          </cell>
          <cell r="F98">
            <v>43.5</v>
          </cell>
        </row>
        <row r="99">
          <cell r="A99" t="str">
            <v>HKD20001</v>
          </cell>
          <cell r="B99" t="str">
            <v>IF</v>
          </cell>
          <cell r="C99">
            <v>2000</v>
          </cell>
          <cell r="D99">
            <v>1</v>
          </cell>
          <cell r="E99" t="str">
            <v>HKD</v>
          </cell>
          <cell r="F99">
            <v>5.6310000000000002</v>
          </cell>
        </row>
        <row r="100">
          <cell r="A100" t="str">
            <v>YEN20001</v>
          </cell>
          <cell r="B100" t="str">
            <v>IF</v>
          </cell>
          <cell r="C100">
            <v>2000</v>
          </cell>
          <cell r="D100">
            <v>1</v>
          </cell>
          <cell r="E100" t="str">
            <v>YEN</v>
          </cell>
          <cell r="F100">
            <v>0.32800000000000001</v>
          </cell>
        </row>
        <row r="101">
          <cell r="A101" t="str">
            <v>DM20001</v>
          </cell>
          <cell r="B101" t="str">
            <v>IF</v>
          </cell>
          <cell r="C101">
            <v>2000</v>
          </cell>
          <cell r="D101">
            <v>1</v>
          </cell>
          <cell r="E101" t="str">
            <v>DM</v>
          </cell>
          <cell r="F101">
            <v>26.074000000000002</v>
          </cell>
        </row>
        <row r="102">
          <cell r="A102" t="str">
            <v>INR20001</v>
          </cell>
          <cell r="B102" t="str">
            <v>IF</v>
          </cell>
          <cell r="C102">
            <v>2000</v>
          </cell>
          <cell r="D102">
            <v>1</v>
          </cell>
          <cell r="E102" t="str">
            <v>INR</v>
          </cell>
          <cell r="F102">
            <v>1</v>
          </cell>
        </row>
        <row r="103">
          <cell r="A103" t="str">
            <v>SGD20001</v>
          </cell>
          <cell r="B103" t="str">
            <v>IF</v>
          </cell>
          <cell r="C103">
            <v>2000</v>
          </cell>
          <cell r="D103">
            <v>1</v>
          </cell>
          <cell r="E103" t="str">
            <v>SGD</v>
          </cell>
          <cell r="F103">
            <v>26.387</v>
          </cell>
        </row>
        <row r="104">
          <cell r="A104" t="str">
            <v>GBP20001</v>
          </cell>
          <cell r="B104" t="str">
            <v>IF</v>
          </cell>
          <cell r="C104">
            <v>2000</v>
          </cell>
          <cell r="D104">
            <v>1</v>
          </cell>
          <cell r="E104" t="str">
            <v>GBP</v>
          </cell>
          <cell r="F104">
            <v>70.808000000000007</v>
          </cell>
        </row>
        <row r="105">
          <cell r="A105" t="str">
            <v>MYR20001</v>
          </cell>
          <cell r="B105" t="str">
            <v>IF</v>
          </cell>
          <cell r="C105">
            <v>2000</v>
          </cell>
          <cell r="D105">
            <v>1</v>
          </cell>
          <cell r="E105" t="str">
            <v>MYR</v>
          </cell>
          <cell r="F105">
            <v>11.55</v>
          </cell>
        </row>
        <row r="106">
          <cell r="A106" t="str">
            <v>CAD20001</v>
          </cell>
          <cell r="B106" t="str">
            <v>IF</v>
          </cell>
          <cell r="C106">
            <v>2000</v>
          </cell>
          <cell r="D106">
            <v>1</v>
          </cell>
          <cell r="E106" t="str">
            <v>CAD</v>
          </cell>
          <cell r="F106">
            <v>30.117999999999999</v>
          </cell>
        </row>
        <row r="107">
          <cell r="A107" t="str">
            <v>AUD20001</v>
          </cell>
          <cell r="B107" t="str">
            <v>IF</v>
          </cell>
          <cell r="C107">
            <v>2000</v>
          </cell>
          <cell r="D107">
            <v>1</v>
          </cell>
          <cell r="E107" t="str">
            <v>AUD</v>
          </cell>
          <cell r="F107">
            <v>28.855</v>
          </cell>
        </row>
        <row r="108">
          <cell r="A108" t="str">
            <v>EUR20001</v>
          </cell>
          <cell r="B108" t="str">
            <v>IF</v>
          </cell>
          <cell r="C108">
            <v>2000</v>
          </cell>
          <cell r="D108">
            <v>1</v>
          </cell>
          <cell r="E108" t="str">
            <v>EUR</v>
          </cell>
          <cell r="F108">
            <v>44.3</v>
          </cell>
        </row>
        <row r="109">
          <cell r="A109" t="str">
            <v>SLR20001</v>
          </cell>
          <cell r="B109" t="str">
            <v>IF</v>
          </cell>
          <cell r="C109">
            <v>2000</v>
          </cell>
          <cell r="D109">
            <v>1</v>
          </cell>
          <cell r="E109" t="str">
            <v>SLR</v>
          </cell>
          <cell r="F109">
            <v>1.62</v>
          </cell>
        </row>
        <row r="110">
          <cell r="A110" t="str">
            <v>USD20002</v>
          </cell>
          <cell r="B110" t="str">
            <v>IF</v>
          </cell>
          <cell r="C110">
            <v>2000</v>
          </cell>
          <cell r="D110">
            <v>2</v>
          </cell>
          <cell r="E110" t="str">
            <v>USD</v>
          </cell>
          <cell r="F110">
            <v>43.5</v>
          </cell>
        </row>
        <row r="111">
          <cell r="A111" t="str">
            <v>HKD20002</v>
          </cell>
          <cell r="B111" t="str">
            <v>IF</v>
          </cell>
          <cell r="C111">
            <v>2000</v>
          </cell>
          <cell r="D111">
            <v>2</v>
          </cell>
          <cell r="E111" t="str">
            <v>HKD</v>
          </cell>
          <cell r="F111">
            <v>5.6310000000000002</v>
          </cell>
        </row>
        <row r="112">
          <cell r="A112" t="str">
            <v>YEN20002</v>
          </cell>
          <cell r="B112" t="str">
            <v>IF</v>
          </cell>
          <cell r="C112">
            <v>2000</v>
          </cell>
          <cell r="D112">
            <v>2</v>
          </cell>
          <cell r="E112" t="str">
            <v>YEN</v>
          </cell>
          <cell r="F112">
            <v>0.32800000000000001</v>
          </cell>
        </row>
        <row r="113">
          <cell r="A113" t="str">
            <v>DM20002</v>
          </cell>
          <cell r="B113" t="str">
            <v>IF</v>
          </cell>
          <cell r="C113">
            <v>2000</v>
          </cell>
          <cell r="D113">
            <v>2</v>
          </cell>
          <cell r="E113" t="str">
            <v>DM</v>
          </cell>
          <cell r="F113">
            <v>26.074000000000002</v>
          </cell>
        </row>
        <row r="114">
          <cell r="A114" t="str">
            <v>INR20002</v>
          </cell>
          <cell r="B114" t="str">
            <v>IF</v>
          </cell>
          <cell r="C114">
            <v>2000</v>
          </cell>
          <cell r="D114">
            <v>2</v>
          </cell>
          <cell r="E114" t="str">
            <v>INR</v>
          </cell>
          <cell r="F114">
            <v>1</v>
          </cell>
        </row>
        <row r="115">
          <cell r="A115" t="str">
            <v>SGD20002</v>
          </cell>
          <cell r="B115" t="str">
            <v>IF</v>
          </cell>
          <cell r="C115">
            <v>2000</v>
          </cell>
          <cell r="D115">
            <v>2</v>
          </cell>
          <cell r="E115" t="str">
            <v>SGD</v>
          </cell>
          <cell r="F115">
            <v>26.387</v>
          </cell>
        </row>
        <row r="116">
          <cell r="A116" t="str">
            <v>GBP20002</v>
          </cell>
          <cell r="B116" t="str">
            <v>IF</v>
          </cell>
          <cell r="C116">
            <v>2000</v>
          </cell>
          <cell r="D116">
            <v>2</v>
          </cell>
          <cell r="E116" t="str">
            <v>GBP</v>
          </cell>
          <cell r="F116">
            <v>70.808000000000007</v>
          </cell>
        </row>
        <row r="117">
          <cell r="A117" t="str">
            <v>MYR20002</v>
          </cell>
          <cell r="B117" t="str">
            <v>IF</v>
          </cell>
          <cell r="C117">
            <v>2000</v>
          </cell>
          <cell r="D117">
            <v>2</v>
          </cell>
          <cell r="E117" t="str">
            <v>MYR</v>
          </cell>
          <cell r="F117">
            <v>11.55</v>
          </cell>
        </row>
        <row r="118">
          <cell r="A118" t="str">
            <v>CAD20002</v>
          </cell>
          <cell r="B118" t="str">
            <v>IF</v>
          </cell>
          <cell r="C118">
            <v>2000</v>
          </cell>
          <cell r="D118">
            <v>2</v>
          </cell>
          <cell r="E118" t="str">
            <v>CAD</v>
          </cell>
          <cell r="F118">
            <v>30.117999999999999</v>
          </cell>
        </row>
        <row r="119">
          <cell r="A119" t="str">
            <v>AUD20002</v>
          </cell>
          <cell r="B119" t="str">
            <v>IF</v>
          </cell>
          <cell r="C119">
            <v>2000</v>
          </cell>
          <cell r="D119">
            <v>2</v>
          </cell>
          <cell r="E119" t="str">
            <v>AUD</v>
          </cell>
          <cell r="F119">
            <v>28.855</v>
          </cell>
        </row>
        <row r="120">
          <cell r="A120" t="str">
            <v>EUR20002</v>
          </cell>
          <cell r="B120" t="str">
            <v>IF</v>
          </cell>
          <cell r="C120">
            <v>2000</v>
          </cell>
          <cell r="D120">
            <v>2</v>
          </cell>
          <cell r="E120" t="str">
            <v>EUR</v>
          </cell>
          <cell r="F120">
            <v>44.3</v>
          </cell>
        </row>
        <row r="121">
          <cell r="A121" t="str">
            <v>SLR20002</v>
          </cell>
          <cell r="B121" t="str">
            <v>IF</v>
          </cell>
          <cell r="C121">
            <v>2000</v>
          </cell>
          <cell r="D121">
            <v>2</v>
          </cell>
          <cell r="E121" t="str">
            <v>SLR</v>
          </cell>
          <cell r="F121">
            <v>1.62</v>
          </cell>
        </row>
        <row r="122">
          <cell r="A122" t="str">
            <v>USD19991</v>
          </cell>
          <cell r="B122" t="str">
            <v>IF</v>
          </cell>
          <cell r="C122">
            <v>1999</v>
          </cell>
          <cell r="D122">
            <v>1</v>
          </cell>
          <cell r="E122" t="str">
            <v>USD</v>
          </cell>
          <cell r="F122">
            <v>67.8</v>
          </cell>
        </row>
        <row r="123">
          <cell r="A123" t="str">
            <v>HKD19991</v>
          </cell>
          <cell r="B123" t="str">
            <v>IF</v>
          </cell>
          <cell r="C123">
            <v>1999</v>
          </cell>
          <cell r="D123">
            <v>1</v>
          </cell>
          <cell r="E123" t="str">
            <v>HKD</v>
          </cell>
          <cell r="F123">
            <v>8.6999999999999993</v>
          </cell>
        </row>
        <row r="124">
          <cell r="A124" t="str">
            <v>YEN19991</v>
          </cell>
          <cell r="B124" t="str">
            <v>IF</v>
          </cell>
          <cell r="C124">
            <v>1999</v>
          </cell>
          <cell r="D124">
            <v>1</v>
          </cell>
          <cell r="E124" t="str">
            <v>YEN</v>
          </cell>
          <cell r="F124">
            <v>0.58899999999999997</v>
          </cell>
        </row>
        <row r="125">
          <cell r="A125" t="str">
            <v>DM19991</v>
          </cell>
          <cell r="B125" t="str">
            <v>IF</v>
          </cell>
          <cell r="C125">
            <v>1999</v>
          </cell>
          <cell r="D125">
            <v>1</v>
          </cell>
          <cell r="E125" t="str">
            <v>DM</v>
          </cell>
          <cell r="F125">
            <v>40.200000000000003</v>
          </cell>
        </row>
        <row r="126">
          <cell r="A126" t="str">
            <v>LKR19991</v>
          </cell>
          <cell r="B126" t="str">
            <v>IF</v>
          </cell>
          <cell r="C126">
            <v>1999</v>
          </cell>
          <cell r="D126">
            <v>1</v>
          </cell>
          <cell r="E126" t="str">
            <v>LKR</v>
          </cell>
          <cell r="F126">
            <v>1</v>
          </cell>
        </row>
        <row r="127">
          <cell r="A127" t="str">
            <v>SGD19991</v>
          </cell>
          <cell r="B127" t="str">
            <v>IF</v>
          </cell>
          <cell r="C127">
            <v>1999</v>
          </cell>
          <cell r="D127">
            <v>1</v>
          </cell>
          <cell r="E127" t="str">
            <v>SGD</v>
          </cell>
          <cell r="F127">
            <v>40.58</v>
          </cell>
        </row>
        <row r="128">
          <cell r="A128" t="str">
            <v>GBP19991</v>
          </cell>
          <cell r="B128" t="str">
            <v>IF</v>
          </cell>
          <cell r="C128">
            <v>1999</v>
          </cell>
          <cell r="D128">
            <v>1</v>
          </cell>
          <cell r="E128" t="str">
            <v>GBP</v>
          </cell>
          <cell r="F128">
            <v>112.85</v>
          </cell>
        </row>
        <row r="129">
          <cell r="A129" t="str">
            <v>MYR19991</v>
          </cell>
          <cell r="B129" t="str">
            <v>IF</v>
          </cell>
          <cell r="C129">
            <v>1999</v>
          </cell>
          <cell r="D129">
            <v>1</v>
          </cell>
          <cell r="E129" t="str">
            <v>MYR</v>
          </cell>
          <cell r="F129">
            <v>17.45</v>
          </cell>
        </row>
        <row r="130">
          <cell r="A130" t="str">
            <v>CAD19991</v>
          </cell>
          <cell r="B130" t="str">
            <v>IF</v>
          </cell>
          <cell r="C130">
            <v>1999</v>
          </cell>
          <cell r="D130">
            <v>1</v>
          </cell>
          <cell r="E130" t="str">
            <v>CAD</v>
          </cell>
          <cell r="F130">
            <v>43.74</v>
          </cell>
        </row>
        <row r="131">
          <cell r="A131" t="str">
            <v>AUD19991</v>
          </cell>
          <cell r="B131" t="str">
            <v>IF</v>
          </cell>
          <cell r="C131">
            <v>1999</v>
          </cell>
          <cell r="D131">
            <v>1</v>
          </cell>
          <cell r="E131" t="str">
            <v>AUD</v>
          </cell>
          <cell r="F131">
            <v>41.49</v>
          </cell>
        </row>
        <row r="132">
          <cell r="A132" t="str">
            <v>USD20003</v>
          </cell>
          <cell r="B132" t="str">
            <v>IF</v>
          </cell>
          <cell r="C132">
            <v>2000</v>
          </cell>
          <cell r="D132">
            <v>3</v>
          </cell>
          <cell r="E132" t="str">
            <v>USD</v>
          </cell>
          <cell r="F132">
            <v>43.5</v>
          </cell>
        </row>
        <row r="133">
          <cell r="A133" t="str">
            <v>EUR19991</v>
          </cell>
          <cell r="B133" t="str">
            <v>IF</v>
          </cell>
          <cell r="C133">
            <v>1999</v>
          </cell>
          <cell r="D133">
            <v>1</v>
          </cell>
          <cell r="E133" t="str">
            <v>EUR</v>
          </cell>
          <cell r="F133">
            <v>70</v>
          </cell>
        </row>
        <row r="134">
          <cell r="A134" t="str">
            <v>USD19992</v>
          </cell>
          <cell r="B134" t="str">
            <v>IF</v>
          </cell>
          <cell r="C134">
            <v>1999</v>
          </cell>
          <cell r="D134">
            <v>2</v>
          </cell>
          <cell r="E134" t="str">
            <v>USD</v>
          </cell>
          <cell r="F134">
            <v>68.349999999999994</v>
          </cell>
        </row>
        <row r="135">
          <cell r="A135" t="str">
            <v>HKD19992</v>
          </cell>
          <cell r="B135" t="str">
            <v>IF</v>
          </cell>
          <cell r="C135">
            <v>1999</v>
          </cell>
          <cell r="D135">
            <v>2</v>
          </cell>
          <cell r="E135" t="str">
            <v>HKD</v>
          </cell>
          <cell r="F135">
            <v>8.77</v>
          </cell>
        </row>
        <row r="136">
          <cell r="A136" t="str">
            <v>YEN19992</v>
          </cell>
          <cell r="B136" t="str">
            <v>IF</v>
          </cell>
          <cell r="C136">
            <v>1999</v>
          </cell>
          <cell r="D136">
            <v>2</v>
          </cell>
          <cell r="E136" t="str">
            <v>YEN</v>
          </cell>
          <cell r="F136">
            <v>0.58499999999999996</v>
          </cell>
        </row>
        <row r="137">
          <cell r="A137" t="str">
            <v>DM19992</v>
          </cell>
          <cell r="B137" t="str">
            <v>IF</v>
          </cell>
          <cell r="C137">
            <v>1999</v>
          </cell>
          <cell r="D137">
            <v>2</v>
          </cell>
          <cell r="E137" t="str">
            <v>DM</v>
          </cell>
          <cell r="F137">
            <v>39.82</v>
          </cell>
        </row>
        <row r="138">
          <cell r="A138" t="str">
            <v>LKR19992</v>
          </cell>
          <cell r="B138" t="str">
            <v>IF</v>
          </cell>
          <cell r="C138">
            <v>1999</v>
          </cell>
          <cell r="D138">
            <v>2</v>
          </cell>
          <cell r="E138" t="str">
            <v>LKR</v>
          </cell>
          <cell r="F138">
            <v>1</v>
          </cell>
        </row>
        <row r="139">
          <cell r="A139" t="str">
            <v>SGD19992</v>
          </cell>
          <cell r="B139" t="str">
            <v>IF</v>
          </cell>
          <cell r="C139">
            <v>1999</v>
          </cell>
          <cell r="D139">
            <v>2</v>
          </cell>
          <cell r="E139" t="str">
            <v>SGD</v>
          </cell>
          <cell r="F139">
            <v>40.14</v>
          </cell>
        </row>
        <row r="140">
          <cell r="A140" t="str">
            <v>GBP19992</v>
          </cell>
          <cell r="B140" t="str">
            <v>IF</v>
          </cell>
          <cell r="C140">
            <v>1999</v>
          </cell>
          <cell r="D140">
            <v>2</v>
          </cell>
          <cell r="E140" t="str">
            <v>GBP</v>
          </cell>
          <cell r="F140">
            <v>112.72</v>
          </cell>
        </row>
        <row r="141">
          <cell r="A141" t="str">
            <v>MYR19992</v>
          </cell>
          <cell r="B141" t="str">
            <v>IF</v>
          </cell>
          <cell r="C141">
            <v>1999</v>
          </cell>
          <cell r="D141">
            <v>2</v>
          </cell>
          <cell r="E141" t="str">
            <v>MYR</v>
          </cell>
          <cell r="F141">
            <v>17.59</v>
          </cell>
        </row>
        <row r="142">
          <cell r="A142" t="str">
            <v>CAD19992</v>
          </cell>
          <cell r="B142" t="str">
            <v>IF</v>
          </cell>
          <cell r="C142">
            <v>1999</v>
          </cell>
          <cell r="D142">
            <v>2</v>
          </cell>
          <cell r="E142" t="str">
            <v>CAD</v>
          </cell>
          <cell r="F142">
            <v>44.99</v>
          </cell>
        </row>
        <row r="143">
          <cell r="A143" t="str">
            <v>AUD19992</v>
          </cell>
          <cell r="B143" t="str">
            <v>IF</v>
          </cell>
          <cell r="C143">
            <v>1999</v>
          </cell>
          <cell r="D143">
            <v>2</v>
          </cell>
          <cell r="E143" t="str">
            <v>AUD</v>
          </cell>
          <cell r="F143">
            <v>42.72</v>
          </cell>
        </row>
        <row r="144">
          <cell r="A144" t="str">
            <v>EUR19992</v>
          </cell>
          <cell r="B144" t="str">
            <v>IF</v>
          </cell>
          <cell r="C144">
            <v>1999</v>
          </cell>
          <cell r="D144">
            <v>2</v>
          </cell>
          <cell r="E144" t="str">
            <v>EUR</v>
          </cell>
          <cell r="F144">
            <v>70</v>
          </cell>
        </row>
        <row r="145">
          <cell r="A145" t="str">
            <v>USD19993</v>
          </cell>
          <cell r="B145" t="str">
            <v>IF</v>
          </cell>
          <cell r="C145">
            <v>1999</v>
          </cell>
          <cell r="D145">
            <v>3</v>
          </cell>
          <cell r="E145" t="str">
            <v>USD</v>
          </cell>
          <cell r="F145">
            <v>68.849999999999994</v>
          </cell>
        </row>
        <row r="146">
          <cell r="A146" t="str">
            <v>HKD19993</v>
          </cell>
          <cell r="B146" t="str">
            <v>IF</v>
          </cell>
          <cell r="C146">
            <v>1999</v>
          </cell>
          <cell r="D146">
            <v>3</v>
          </cell>
          <cell r="E146" t="str">
            <v>HKD</v>
          </cell>
          <cell r="F146">
            <v>8.84</v>
          </cell>
        </row>
        <row r="147">
          <cell r="A147" t="str">
            <v>YEN19993</v>
          </cell>
          <cell r="B147" t="str">
            <v>IF</v>
          </cell>
          <cell r="C147">
            <v>1999</v>
          </cell>
          <cell r="D147">
            <v>3</v>
          </cell>
          <cell r="E147" t="str">
            <v>YEN</v>
          </cell>
          <cell r="F147">
            <v>0.57499999999999996</v>
          </cell>
        </row>
        <row r="148">
          <cell r="A148" t="str">
            <v>DM19993</v>
          </cell>
          <cell r="B148" t="str">
            <v>IF</v>
          </cell>
          <cell r="C148">
            <v>1999</v>
          </cell>
          <cell r="D148">
            <v>3</v>
          </cell>
          <cell r="E148" t="str">
            <v>DM</v>
          </cell>
          <cell r="F148">
            <v>38.770000000000003</v>
          </cell>
        </row>
        <row r="149">
          <cell r="A149" t="str">
            <v>LKR19993</v>
          </cell>
          <cell r="B149" t="str">
            <v>IF</v>
          </cell>
          <cell r="C149">
            <v>1999</v>
          </cell>
          <cell r="D149">
            <v>3</v>
          </cell>
          <cell r="E149" t="str">
            <v>LKR</v>
          </cell>
          <cell r="F149">
            <v>1</v>
          </cell>
        </row>
        <row r="150">
          <cell r="A150" t="str">
            <v>SGD19993</v>
          </cell>
          <cell r="B150" t="str">
            <v>IF</v>
          </cell>
          <cell r="C150">
            <v>1999</v>
          </cell>
          <cell r="D150">
            <v>3</v>
          </cell>
          <cell r="E150" t="str">
            <v>SGD</v>
          </cell>
          <cell r="F150">
            <v>39.700000000000003</v>
          </cell>
        </row>
        <row r="151">
          <cell r="A151" t="str">
            <v>GBP19993</v>
          </cell>
          <cell r="B151" t="str">
            <v>IF</v>
          </cell>
          <cell r="C151">
            <v>1999</v>
          </cell>
          <cell r="D151">
            <v>3</v>
          </cell>
          <cell r="E151" t="str">
            <v>GBP</v>
          </cell>
          <cell r="F151">
            <v>110.47</v>
          </cell>
        </row>
        <row r="152">
          <cell r="A152" t="str">
            <v>MYR19993</v>
          </cell>
          <cell r="B152" t="str">
            <v>IF</v>
          </cell>
          <cell r="C152">
            <v>1999</v>
          </cell>
          <cell r="D152">
            <v>3</v>
          </cell>
          <cell r="E152" t="str">
            <v>MYR</v>
          </cell>
          <cell r="F152">
            <v>17.72</v>
          </cell>
        </row>
        <row r="153">
          <cell r="A153" t="str">
            <v>CAD19993</v>
          </cell>
          <cell r="B153" t="str">
            <v>IF</v>
          </cell>
          <cell r="C153">
            <v>1999</v>
          </cell>
          <cell r="D153">
            <v>3</v>
          </cell>
          <cell r="E153" t="str">
            <v>CAD</v>
          </cell>
          <cell r="F153">
            <v>45.53</v>
          </cell>
        </row>
        <row r="154">
          <cell r="A154" t="str">
            <v>AUD19993</v>
          </cell>
          <cell r="B154" t="str">
            <v>IF</v>
          </cell>
          <cell r="C154">
            <v>1999</v>
          </cell>
          <cell r="D154">
            <v>3</v>
          </cell>
          <cell r="E154" t="str">
            <v>AUD</v>
          </cell>
          <cell r="F154">
            <v>42.7</v>
          </cell>
        </row>
        <row r="155">
          <cell r="A155" t="str">
            <v>EUR19993</v>
          </cell>
          <cell r="B155" t="str">
            <v>IF</v>
          </cell>
          <cell r="C155">
            <v>1999</v>
          </cell>
          <cell r="D155">
            <v>3</v>
          </cell>
          <cell r="E155" t="str">
            <v>EUR</v>
          </cell>
          <cell r="F155">
            <v>75.819999999999993</v>
          </cell>
        </row>
        <row r="156">
          <cell r="A156" t="str">
            <v>USD19994</v>
          </cell>
          <cell r="B156" t="str">
            <v>IF</v>
          </cell>
          <cell r="C156">
            <v>1999</v>
          </cell>
          <cell r="D156">
            <v>4</v>
          </cell>
          <cell r="E156" t="str">
            <v>USD</v>
          </cell>
          <cell r="F156">
            <v>68.849999999999994</v>
          </cell>
        </row>
        <row r="157">
          <cell r="A157" t="str">
            <v>HKD19994</v>
          </cell>
          <cell r="B157" t="str">
            <v>IF</v>
          </cell>
          <cell r="C157">
            <v>1999</v>
          </cell>
          <cell r="D157">
            <v>4</v>
          </cell>
          <cell r="E157" t="str">
            <v>HKD</v>
          </cell>
          <cell r="F157">
            <v>8.84</v>
          </cell>
        </row>
        <row r="158">
          <cell r="A158" t="str">
            <v>YEN19994</v>
          </cell>
          <cell r="B158" t="str">
            <v>IF</v>
          </cell>
          <cell r="C158">
            <v>1999</v>
          </cell>
          <cell r="D158">
            <v>4</v>
          </cell>
          <cell r="E158" t="str">
            <v>YEN</v>
          </cell>
          <cell r="F158">
            <v>0.56799999999999995</v>
          </cell>
        </row>
        <row r="159">
          <cell r="A159" t="str">
            <v>DM19994</v>
          </cell>
          <cell r="B159" t="str">
            <v>IF</v>
          </cell>
          <cell r="C159">
            <v>1999</v>
          </cell>
          <cell r="D159">
            <v>4</v>
          </cell>
          <cell r="E159" t="str">
            <v>DM</v>
          </cell>
          <cell r="F159">
            <v>37.65</v>
          </cell>
        </row>
        <row r="160">
          <cell r="A160" t="str">
            <v>LKR19994</v>
          </cell>
          <cell r="B160" t="str">
            <v>IF</v>
          </cell>
          <cell r="C160">
            <v>1999</v>
          </cell>
          <cell r="D160">
            <v>4</v>
          </cell>
          <cell r="E160" t="str">
            <v>LKR</v>
          </cell>
          <cell r="F160">
            <v>1</v>
          </cell>
        </row>
        <row r="161">
          <cell r="A161" t="str">
            <v>SGD19994</v>
          </cell>
          <cell r="B161" t="str">
            <v>IF</v>
          </cell>
          <cell r="C161">
            <v>1999</v>
          </cell>
          <cell r="D161">
            <v>4</v>
          </cell>
          <cell r="E161" t="str">
            <v>SGD</v>
          </cell>
          <cell r="F161">
            <v>39.46</v>
          </cell>
        </row>
        <row r="162">
          <cell r="A162" t="str">
            <v>GBP19994</v>
          </cell>
          <cell r="B162" t="str">
            <v>IF</v>
          </cell>
          <cell r="C162">
            <v>1999</v>
          </cell>
          <cell r="D162">
            <v>4</v>
          </cell>
          <cell r="E162" t="str">
            <v>GBP</v>
          </cell>
          <cell r="F162">
            <v>111.32</v>
          </cell>
        </row>
        <row r="163">
          <cell r="A163" t="str">
            <v>MYR19994</v>
          </cell>
          <cell r="B163" t="str">
            <v>IF</v>
          </cell>
          <cell r="C163">
            <v>1999</v>
          </cell>
          <cell r="D163">
            <v>4</v>
          </cell>
          <cell r="E163" t="str">
            <v>MYR</v>
          </cell>
          <cell r="F163">
            <v>17.72</v>
          </cell>
        </row>
        <row r="164">
          <cell r="A164" t="str">
            <v>CAD19994</v>
          </cell>
          <cell r="B164" t="str">
            <v>IF</v>
          </cell>
          <cell r="C164">
            <v>1999</v>
          </cell>
          <cell r="D164">
            <v>4</v>
          </cell>
          <cell r="E164" t="str">
            <v>CAD</v>
          </cell>
          <cell r="F164">
            <v>45.48</v>
          </cell>
        </row>
        <row r="165">
          <cell r="A165" t="str">
            <v>AUD19994</v>
          </cell>
          <cell r="B165" t="str">
            <v>IF</v>
          </cell>
          <cell r="C165">
            <v>1999</v>
          </cell>
          <cell r="D165">
            <v>4</v>
          </cell>
          <cell r="E165" t="str">
            <v>AUD</v>
          </cell>
          <cell r="F165">
            <v>43.17</v>
          </cell>
        </row>
        <row r="166">
          <cell r="A166" t="str">
            <v>EUR19994</v>
          </cell>
          <cell r="B166" t="str">
            <v>IF</v>
          </cell>
          <cell r="C166">
            <v>1999</v>
          </cell>
          <cell r="D166">
            <v>4</v>
          </cell>
          <cell r="E166" t="str">
            <v>EUR</v>
          </cell>
          <cell r="F166">
            <v>73.650000000000006</v>
          </cell>
        </row>
        <row r="167">
          <cell r="A167" t="str">
            <v>HKD20003</v>
          </cell>
          <cell r="B167" t="str">
            <v>IF</v>
          </cell>
          <cell r="C167">
            <v>2000</v>
          </cell>
          <cell r="D167">
            <v>3</v>
          </cell>
          <cell r="E167" t="str">
            <v>HKD</v>
          </cell>
          <cell r="F167">
            <v>5.6310000000000002</v>
          </cell>
        </row>
        <row r="168">
          <cell r="A168" t="str">
            <v>YEN20003</v>
          </cell>
          <cell r="B168" t="str">
            <v>IF</v>
          </cell>
          <cell r="C168">
            <v>2000</v>
          </cell>
          <cell r="D168">
            <v>3</v>
          </cell>
          <cell r="E168" t="str">
            <v>YEN</v>
          </cell>
          <cell r="F168">
            <v>0.40899999999999997</v>
          </cell>
        </row>
        <row r="169">
          <cell r="A169" t="str">
            <v>DM20003</v>
          </cell>
          <cell r="B169" t="str">
            <v>IF</v>
          </cell>
          <cell r="C169">
            <v>2000</v>
          </cell>
          <cell r="D169">
            <v>3</v>
          </cell>
          <cell r="E169" t="str">
            <v>DM</v>
          </cell>
          <cell r="F169">
            <v>22</v>
          </cell>
        </row>
        <row r="170">
          <cell r="A170" t="str">
            <v>INR20003</v>
          </cell>
          <cell r="B170" t="str">
            <v>IF</v>
          </cell>
          <cell r="C170">
            <v>2000</v>
          </cell>
          <cell r="D170">
            <v>3</v>
          </cell>
          <cell r="E170" t="str">
            <v>INR</v>
          </cell>
          <cell r="F170">
            <v>1</v>
          </cell>
        </row>
        <row r="171">
          <cell r="A171" t="str">
            <v>SGD20003</v>
          </cell>
          <cell r="B171" t="str">
            <v>IF</v>
          </cell>
          <cell r="C171">
            <v>2000</v>
          </cell>
          <cell r="D171">
            <v>3</v>
          </cell>
          <cell r="E171" t="str">
            <v>SGD</v>
          </cell>
          <cell r="F171">
            <v>26.387</v>
          </cell>
        </row>
        <row r="172">
          <cell r="A172" t="str">
            <v>GBP20003</v>
          </cell>
          <cell r="B172" t="str">
            <v>IF</v>
          </cell>
          <cell r="C172">
            <v>2000</v>
          </cell>
          <cell r="D172">
            <v>3</v>
          </cell>
          <cell r="E172" t="str">
            <v>GBP</v>
          </cell>
          <cell r="F172">
            <v>70.808000000000007</v>
          </cell>
        </row>
        <row r="173">
          <cell r="A173" t="str">
            <v>MYR20003</v>
          </cell>
          <cell r="B173" t="str">
            <v>IF</v>
          </cell>
          <cell r="C173">
            <v>2000</v>
          </cell>
          <cell r="D173">
            <v>3</v>
          </cell>
          <cell r="E173" t="str">
            <v>MYR</v>
          </cell>
          <cell r="F173">
            <v>11.55</v>
          </cell>
        </row>
        <row r="174">
          <cell r="A174" t="str">
            <v>CAD20003</v>
          </cell>
          <cell r="B174" t="str">
            <v>IF</v>
          </cell>
          <cell r="C174">
            <v>2000</v>
          </cell>
          <cell r="D174">
            <v>3</v>
          </cell>
          <cell r="E174" t="str">
            <v>CAD</v>
          </cell>
          <cell r="F174">
            <v>30.117999999999999</v>
          </cell>
        </row>
        <row r="175">
          <cell r="A175" t="str">
            <v>AUD20003</v>
          </cell>
          <cell r="B175" t="str">
            <v>IF</v>
          </cell>
          <cell r="C175">
            <v>2000</v>
          </cell>
          <cell r="D175">
            <v>3</v>
          </cell>
          <cell r="E175" t="str">
            <v>AUD</v>
          </cell>
          <cell r="F175">
            <v>28.855</v>
          </cell>
        </row>
        <row r="176">
          <cell r="A176" t="str">
            <v>EUR20003</v>
          </cell>
          <cell r="B176" t="str">
            <v>IF</v>
          </cell>
          <cell r="C176">
            <v>2000</v>
          </cell>
          <cell r="D176">
            <v>3</v>
          </cell>
          <cell r="E176" t="str">
            <v>EUR</v>
          </cell>
          <cell r="F176">
            <v>42</v>
          </cell>
        </row>
        <row r="177">
          <cell r="A177" t="str">
            <v>SLR20003</v>
          </cell>
          <cell r="B177" t="str">
            <v>IF</v>
          </cell>
          <cell r="C177">
            <v>2000</v>
          </cell>
          <cell r="D177">
            <v>3</v>
          </cell>
          <cell r="E177" t="str">
            <v>SLR</v>
          </cell>
          <cell r="F177">
            <v>1.73</v>
          </cell>
        </row>
        <row r="178">
          <cell r="A178" t="str">
            <v>NLG20003</v>
          </cell>
          <cell r="B178" t="str">
            <v>IF</v>
          </cell>
          <cell r="C178">
            <v>2000</v>
          </cell>
          <cell r="D178">
            <v>3</v>
          </cell>
          <cell r="E178" t="str">
            <v>NLG</v>
          </cell>
          <cell r="F178">
            <v>22.056999999999999</v>
          </cell>
        </row>
        <row r="179">
          <cell r="A179" t="str">
            <v>SEK20003</v>
          </cell>
          <cell r="B179" t="str">
            <v>IF</v>
          </cell>
          <cell r="C179">
            <v>2000</v>
          </cell>
          <cell r="D179">
            <v>3</v>
          </cell>
          <cell r="E179" t="str">
            <v>SEK</v>
          </cell>
          <cell r="F179">
            <v>5.0149999999999997</v>
          </cell>
        </row>
        <row r="180">
          <cell r="A180" t="str">
            <v>USD20004</v>
          </cell>
          <cell r="B180" t="str">
            <v>IF</v>
          </cell>
          <cell r="C180">
            <v>2000</v>
          </cell>
          <cell r="D180">
            <v>4</v>
          </cell>
          <cell r="E180" t="str">
            <v>USD</v>
          </cell>
          <cell r="F180">
            <v>43.65</v>
          </cell>
        </row>
        <row r="181">
          <cell r="A181" t="str">
            <v>HKD20004</v>
          </cell>
          <cell r="B181" t="str">
            <v>IF</v>
          </cell>
          <cell r="C181">
            <v>2000</v>
          </cell>
          <cell r="D181">
            <v>4</v>
          </cell>
          <cell r="E181" t="str">
            <v>HKD</v>
          </cell>
          <cell r="F181">
            <v>5.62</v>
          </cell>
        </row>
        <row r="182">
          <cell r="A182" t="str">
            <v>YEN20004</v>
          </cell>
          <cell r="B182" t="str">
            <v>IF</v>
          </cell>
          <cell r="C182">
            <v>2000</v>
          </cell>
          <cell r="D182">
            <v>4</v>
          </cell>
          <cell r="E182" t="str">
            <v>YEN</v>
          </cell>
          <cell r="F182">
            <v>0.41</v>
          </cell>
        </row>
        <row r="183">
          <cell r="A183" t="str">
            <v>DM20004</v>
          </cell>
          <cell r="B183" t="str">
            <v>IF</v>
          </cell>
          <cell r="C183">
            <v>2000</v>
          </cell>
          <cell r="D183">
            <v>4</v>
          </cell>
          <cell r="E183" t="str">
            <v>DM</v>
          </cell>
          <cell r="F183">
            <v>22</v>
          </cell>
        </row>
        <row r="184">
          <cell r="A184" t="str">
            <v>INR20004</v>
          </cell>
          <cell r="B184" t="str">
            <v>IF</v>
          </cell>
          <cell r="C184">
            <v>2000</v>
          </cell>
          <cell r="D184">
            <v>4</v>
          </cell>
          <cell r="E184" t="str">
            <v>INR</v>
          </cell>
          <cell r="F184">
            <v>1</v>
          </cell>
        </row>
        <row r="185">
          <cell r="A185" t="str">
            <v>SGD20004</v>
          </cell>
          <cell r="B185" t="str">
            <v>IF</v>
          </cell>
          <cell r="C185">
            <v>2000</v>
          </cell>
          <cell r="D185">
            <v>4</v>
          </cell>
          <cell r="E185" t="str">
            <v>SGD</v>
          </cell>
          <cell r="F185">
            <v>25.6</v>
          </cell>
        </row>
        <row r="186">
          <cell r="A186" t="str">
            <v>GBP20004</v>
          </cell>
          <cell r="B186" t="str">
            <v>IF</v>
          </cell>
          <cell r="C186">
            <v>2000</v>
          </cell>
          <cell r="D186">
            <v>4</v>
          </cell>
          <cell r="E186" t="str">
            <v>GBP</v>
          </cell>
          <cell r="F186">
            <v>69.95</v>
          </cell>
        </row>
        <row r="187">
          <cell r="A187" t="str">
            <v>MYR20004</v>
          </cell>
          <cell r="B187" t="str">
            <v>IF</v>
          </cell>
          <cell r="C187">
            <v>2000</v>
          </cell>
          <cell r="D187">
            <v>4</v>
          </cell>
          <cell r="E187" t="str">
            <v>MYR</v>
          </cell>
          <cell r="F187">
            <v>11.55</v>
          </cell>
        </row>
        <row r="188">
          <cell r="A188" t="str">
            <v>CAD20004</v>
          </cell>
          <cell r="B188" t="str">
            <v>IF</v>
          </cell>
          <cell r="C188">
            <v>2000</v>
          </cell>
          <cell r="D188">
            <v>4</v>
          </cell>
          <cell r="E188" t="str">
            <v>CAD</v>
          </cell>
          <cell r="F188">
            <v>30.149000000000001</v>
          </cell>
        </row>
        <row r="189">
          <cell r="A189" t="str">
            <v>AUD20004</v>
          </cell>
          <cell r="B189" t="str">
            <v>IF</v>
          </cell>
          <cell r="C189">
            <v>2000</v>
          </cell>
          <cell r="D189">
            <v>4</v>
          </cell>
          <cell r="E189" t="str">
            <v>AUD</v>
          </cell>
          <cell r="F189">
            <v>26.532</v>
          </cell>
        </row>
        <row r="190">
          <cell r="A190" t="str">
            <v>EUR20004</v>
          </cell>
          <cell r="B190" t="str">
            <v>IF</v>
          </cell>
          <cell r="C190">
            <v>2000</v>
          </cell>
          <cell r="D190">
            <v>4</v>
          </cell>
          <cell r="E190" t="str">
            <v>EUR</v>
          </cell>
          <cell r="F190">
            <v>42.5</v>
          </cell>
        </row>
        <row r="191">
          <cell r="A191" t="str">
            <v>SLR20004</v>
          </cell>
          <cell r="B191" t="str">
            <v>IF</v>
          </cell>
          <cell r="C191">
            <v>2000</v>
          </cell>
          <cell r="D191">
            <v>4</v>
          </cell>
          <cell r="E191" t="str">
            <v>SLR</v>
          </cell>
          <cell r="F191">
            <v>0.57799999999999996</v>
          </cell>
        </row>
        <row r="192">
          <cell r="A192" t="str">
            <v>NLG20004</v>
          </cell>
          <cell r="B192" t="str">
            <v>IF</v>
          </cell>
          <cell r="C192">
            <v>2000</v>
          </cell>
          <cell r="D192">
            <v>4</v>
          </cell>
          <cell r="E192" t="str">
            <v>NLG</v>
          </cell>
          <cell r="F192">
            <v>22.056999999999999</v>
          </cell>
        </row>
        <row r="193">
          <cell r="A193" t="str">
            <v>SEK20004</v>
          </cell>
          <cell r="B193" t="str">
            <v>IF</v>
          </cell>
          <cell r="C193">
            <v>2000</v>
          </cell>
          <cell r="D193">
            <v>4</v>
          </cell>
          <cell r="E193" t="str">
            <v>SEK</v>
          </cell>
          <cell r="F193">
            <v>5.0519999999999996</v>
          </cell>
        </row>
        <row r="194">
          <cell r="A194" t="str">
            <v>USD20005</v>
          </cell>
          <cell r="B194" t="str">
            <v>IF</v>
          </cell>
          <cell r="C194">
            <v>2000</v>
          </cell>
          <cell r="D194">
            <v>5</v>
          </cell>
          <cell r="E194" t="str">
            <v>USD</v>
          </cell>
          <cell r="F194">
            <v>43.65</v>
          </cell>
        </row>
        <row r="195">
          <cell r="A195" t="str">
            <v>HKD20005</v>
          </cell>
          <cell r="B195" t="str">
            <v>IF</v>
          </cell>
          <cell r="C195">
            <v>2000</v>
          </cell>
          <cell r="D195">
            <v>5</v>
          </cell>
          <cell r="E195" t="str">
            <v>HKD</v>
          </cell>
          <cell r="F195">
            <v>5.62</v>
          </cell>
        </row>
        <row r="196">
          <cell r="A196" t="str">
            <v>YEN20005</v>
          </cell>
          <cell r="B196" t="str">
            <v>IF</v>
          </cell>
          <cell r="C196">
            <v>2000</v>
          </cell>
          <cell r="D196">
            <v>5</v>
          </cell>
          <cell r="E196" t="str">
            <v>YEN</v>
          </cell>
          <cell r="F196">
            <v>0.41</v>
          </cell>
        </row>
        <row r="197">
          <cell r="A197" t="str">
            <v>DM20005</v>
          </cell>
          <cell r="B197" t="str">
            <v>IF</v>
          </cell>
          <cell r="C197">
            <v>2000</v>
          </cell>
          <cell r="D197">
            <v>5</v>
          </cell>
          <cell r="E197" t="str">
            <v>DM</v>
          </cell>
          <cell r="F197">
            <v>22.5</v>
          </cell>
        </row>
        <row r="198">
          <cell r="A198" t="str">
            <v>INR20005</v>
          </cell>
          <cell r="B198" t="str">
            <v>IF</v>
          </cell>
          <cell r="C198">
            <v>2000</v>
          </cell>
          <cell r="D198">
            <v>5</v>
          </cell>
          <cell r="E198" t="str">
            <v>INR</v>
          </cell>
          <cell r="F198">
            <v>1</v>
          </cell>
        </row>
        <row r="199">
          <cell r="A199" t="str">
            <v>SGD20005</v>
          </cell>
          <cell r="B199" t="str">
            <v>IF</v>
          </cell>
          <cell r="C199">
            <v>2000</v>
          </cell>
          <cell r="D199">
            <v>5</v>
          </cell>
          <cell r="E199" t="str">
            <v>SGD</v>
          </cell>
          <cell r="F199">
            <v>25.6</v>
          </cell>
        </row>
        <row r="200">
          <cell r="A200" t="str">
            <v>GBP20005</v>
          </cell>
          <cell r="B200" t="str">
            <v>IF</v>
          </cell>
          <cell r="C200">
            <v>2000</v>
          </cell>
          <cell r="D200">
            <v>5</v>
          </cell>
          <cell r="E200" t="str">
            <v>GBP</v>
          </cell>
          <cell r="F200">
            <v>69.95</v>
          </cell>
        </row>
        <row r="201">
          <cell r="A201" t="str">
            <v>MYR20005</v>
          </cell>
          <cell r="B201" t="str">
            <v>IF</v>
          </cell>
          <cell r="C201">
            <v>2000</v>
          </cell>
          <cell r="D201">
            <v>5</v>
          </cell>
          <cell r="E201" t="str">
            <v>MYR</v>
          </cell>
          <cell r="F201">
            <v>11.55</v>
          </cell>
        </row>
        <row r="202">
          <cell r="A202" t="str">
            <v>CAD20005</v>
          </cell>
          <cell r="B202" t="str">
            <v>IF</v>
          </cell>
          <cell r="C202">
            <v>2000</v>
          </cell>
          <cell r="D202">
            <v>5</v>
          </cell>
          <cell r="E202" t="str">
            <v>CAD</v>
          </cell>
          <cell r="F202">
            <v>30.149000000000001</v>
          </cell>
        </row>
        <row r="203">
          <cell r="A203" t="str">
            <v>AUD20005</v>
          </cell>
          <cell r="B203" t="str">
            <v>IF</v>
          </cell>
          <cell r="C203">
            <v>2000</v>
          </cell>
          <cell r="D203">
            <v>5</v>
          </cell>
          <cell r="E203" t="str">
            <v>AUD</v>
          </cell>
          <cell r="F203">
            <v>26.532</v>
          </cell>
        </row>
        <row r="204">
          <cell r="A204" t="str">
            <v>EUR20005</v>
          </cell>
          <cell r="B204" t="str">
            <v>IF</v>
          </cell>
          <cell r="C204">
            <v>2000</v>
          </cell>
          <cell r="D204">
            <v>5</v>
          </cell>
          <cell r="E204" t="str">
            <v>EUR</v>
          </cell>
          <cell r="F204">
            <v>39</v>
          </cell>
        </row>
        <row r="205">
          <cell r="A205" t="str">
            <v>SLR20005</v>
          </cell>
          <cell r="B205" t="str">
            <v>IF</v>
          </cell>
          <cell r="C205">
            <v>2000</v>
          </cell>
          <cell r="D205">
            <v>5</v>
          </cell>
          <cell r="E205" t="str">
            <v>SLR</v>
          </cell>
          <cell r="F205">
            <v>0.57799999999999996</v>
          </cell>
        </row>
        <row r="206">
          <cell r="A206" t="str">
            <v>NLG20005</v>
          </cell>
          <cell r="B206" t="str">
            <v>IF</v>
          </cell>
          <cell r="C206">
            <v>2000</v>
          </cell>
          <cell r="D206">
            <v>5</v>
          </cell>
          <cell r="E206" t="str">
            <v>NLG</v>
          </cell>
          <cell r="F206">
            <v>22.056999999999999</v>
          </cell>
        </row>
        <row r="207">
          <cell r="A207" t="str">
            <v>SEK20005</v>
          </cell>
          <cell r="B207" t="str">
            <v>IF</v>
          </cell>
          <cell r="C207">
            <v>2000</v>
          </cell>
          <cell r="D207">
            <v>5</v>
          </cell>
          <cell r="E207" t="str">
            <v>SEK</v>
          </cell>
          <cell r="F207">
            <v>5.0519999999999996</v>
          </cell>
        </row>
        <row r="208">
          <cell r="A208" t="str">
            <v>USD20006</v>
          </cell>
          <cell r="B208" t="str">
            <v>IF</v>
          </cell>
          <cell r="C208">
            <v>2000</v>
          </cell>
          <cell r="D208">
            <v>6</v>
          </cell>
          <cell r="E208" t="str">
            <v>USD</v>
          </cell>
          <cell r="F208">
            <v>44.7</v>
          </cell>
        </row>
        <row r="209">
          <cell r="A209" t="str">
            <v>HKD20006</v>
          </cell>
          <cell r="B209" t="str">
            <v>IF</v>
          </cell>
          <cell r="C209">
            <v>2000</v>
          </cell>
          <cell r="D209">
            <v>6</v>
          </cell>
          <cell r="E209" t="str">
            <v>HKD</v>
          </cell>
          <cell r="F209">
            <v>5.74</v>
          </cell>
        </row>
        <row r="210">
          <cell r="A210" t="str">
            <v>YEN20006</v>
          </cell>
          <cell r="B210" t="str">
            <v>IF</v>
          </cell>
          <cell r="C210">
            <v>2000</v>
          </cell>
          <cell r="D210">
            <v>6</v>
          </cell>
          <cell r="E210" t="str">
            <v>YEN</v>
          </cell>
          <cell r="F210">
            <v>0.41399999999999998</v>
          </cell>
        </row>
        <row r="211">
          <cell r="A211" t="str">
            <v>DM20006</v>
          </cell>
          <cell r="B211" t="str">
            <v>IF</v>
          </cell>
          <cell r="C211">
            <v>2000</v>
          </cell>
          <cell r="D211">
            <v>6</v>
          </cell>
          <cell r="E211" t="str">
            <v>DM</v>
          </cell>
          <cell r="F211">
            <v>21.29</v>
          </cell>
        </row>
        <row r="212">
          <cell r="A212" t="str">
            <v>INR20006</v>
          </cell>
          <cell r="B212" t="str">
            <v>IF</v>
          </cell>
          <cell r="C212">
            <v>2000</v>
          </cell>
          <cell r="D212">
            <v>6</v>
          </cell>
          <cell r="E212" t="str">
            <v>INR</v>
          </cell>
          <cell r="F212">
            <v>1</v>
          </cell>
        </row>
        <row r="213">
          <cell r="A213" t="str">
            <v>SGD20006</v>
          </cell>
          <cell r="B213" t="str">
            <v>IF</v>
          </cell>
          <cell r="C213">
            <v>2000</v>
          </cell>
          <cell r="D213">
            <v>6</v>
          </cell>
          <cell r="E213" t="str">
            <v>SGD</v>
          </cell>
          <cell r="F213">
            <v>25.81</v>
          </cell>
        </row>
        <row r="214">
          <cell r="A214" t="str">
            <v>GBP20006</v>
          </cell>
          <cell r="B214" t="str">
            <v>IF</v>
          </cell>
          <cell r="C214">
            <v>2000</v>
          </cell>
          <cell r="D214">
            <v>6</v>
          </cell>
          <cell r="E214" t="str">
            <v>GBP</v>
          </cell>
          <cell r="F214">
            <v>67.08</v>
          </cell>
        </row>
        <row r="215">
          <cell r="A215" t="str">
            <v>MYR20006</v>
          </cell>
          <cell r="B215" t="str">
            <v>IF</v>
          </cell>
          <cell r="C215">
            <v>2000</v>
          </cell>
          <cell r="D215">
            <v>6</v>
          </cell>
          <cell r="E215" t="str">
            <v>MYR</v>
          </cell>
          <cell r="F215">
            <v>11.76</v>
          </cell>
        </row>
        <row r="216">
          <cell r="A216" t="str">
            <v>CAD20006</v>
          </cell>
          <cell r="B216" t="str">
            <v>IF</v>
          </cell>
          <cell r="C216">
            <v>2000</v>
          </cell>
          <cell r="D216">
            <v>6</v>
          </cell>
          <cell r="E216" t="str">
            <v>CAD</v>
          </cell>
          <cell r="F216">
            <v>29.89</v>
          </cell>
        </row>
        <row r="217">
          <cell r="A217" t="str">
            <v>AUD20006</v>
          </cell>
          <cell r="B217" t="str">
            <v>IF</v>
          </cell>
          <cell r="C217">
            <v>2000</v>
          </cell>
          <cell r="D217">
            <v>6</v>
          </cell>
          <cell r="E217" t="str">
            <v>AUD</v>
          </cell>
          <cell r="F217">
            <v>25.48</v>
          </cell>
        </row>
        <row r="218">
          <cell r="A218" t="str">
            <v>EUR20006</v>
          </cell>
          <cell r="B218" t="str">
            <v>IF</v>
          </cell>
          <cell r="C218">
            <v>2000</v>
          </cell>
          <cell r="D218">
            <v>6</v>
          </cell>
          <cell r="E218" t="str">
            <v>EUR</v>
          </cell>
          <cell r="F218">
            <v>41.87</v>
          </cell>
        </row>
        <row r="219">
          <cell r="A219" t="str">
            <v>SLR20006</v>
          </cell>
          <cell r="B219" t="str">
            <v>IF</v>
          </cell>
          <cell r="C219">
            <v>2000</v>
          </cell>
          <cell r="D219">
            <v>6</v>
          </cell>
          <cell r="E219" t="str">
            <v>SLR</v>
          </cell>
          <cell r="F219">
            <v>0.57799999999999996</v>
          </cell>
        </row>
        <row r="220">
          <cell r="A220" t="str">
            <v>NLG20006</v>
          </cell>
          <cell r="B220" t="str">
            <v>IF</v>
          </cell>
          <cell r="C220">
            <v>2000</v>
          </cell>
          <cell r="D220">
            <v>6</v>
          </cell>
          <cell r="E220" t="str">
            <v>NLG</v>
          </cell>
          <cell r="F220">
            <v>22.056999999999999</v>
          </cell>
        </row>
        <row r="221">
          <cell r="A221" t="str">
            <v>SEK20006</v>
          </cell>
          <cell r="B221" t="str">
            <v>IF</v>
          </cell>
          <cell r="C221">
            <v>2000</v>
          </cell>
          <cell r="D221">
            <v>6</v>
          </cell>
          <cell r="E221" t="str">
            <v>SEK</v>
          </cell>
          <cell r="F221">
            <v>5</v>
          </cell>
        </row>
        <row r="222">
          <cell r="A222" t="str">
            <v>BHT20006</v>
          </cell>
          <cell r="B222" t="str">
            <v>IF</v>
          </cell>
          <cell r="C222">
            <v>2000</v>
          </cell>
          <cell r="D222">
            <v>6</v>
          </cell>
          <cell r="E222" t="str">
            <v>BHT</v>
          </cell>
          <cell r="F222">
            <v>1.373</v>
          </cell>
        </row>
        <row r="223">
          <cell r="A223" t="str">
            <v>USD20007</v>
          </cell>
          <cell r="B223" t="str">
            <v>IF</v>
          </cell>
          <cell r="C223">
            <v>2000</v>
          </cell>
          <cell r="D223">
            <v>7</v>
          </cell>
          <cell r="E223" t="str">
            <v>USD</v>
          </cell>
          <cell r="F223">
            <v>44.81</v>
          </cell>
        </row>
        <row r="224">
          <cell r="A224" t="str">
            <v>HKD20007</v>
          </cell>
          <cell r="B224" t="str">
            <v>IF</v>
          </cell>
          <cell r="C224">
            <v>2000</v>
          </cell>
          <cell r="D224">
            <v>7</v>
          </cell>
          <cell r="E224" t="str">
            <v>HKD</v>
          </cell>
          <cell r="F224">
            <v>5.75</v>
          </cell>
        </row>
        <row r="225">
          <cell r="A225" t="str">
            <v>YEN20007</v>
          </cell>
          <cell r="B225" t="str">
            <v>IF</v>
          </cell>
          <cell r="C225">
            <v>2000</v>
          </cell>
          <cell r="D225">
            <v>7</v>
          </cell>
          <cell r="E225" t="str">
            <v>YEN</v>
          </cell>
          <cell r="F225">
            <v>0.42199999999999999</v>
          </cell>
        </row>
        <row r="226">
          <cell r="A226" t="str">
            <v>DM20007</v>
          </cell>
          <cell r="B226" t="str">
            <v>IF</v>
          </cell>
          <cell r="C226">
            <v>2000</v>
          </cell>
          <cell r="D226">
            <v>7</v>
          </cell>
          <cell r="E226" t="str">
            <v>DM</v>
          </cell>
          <cell r="F226">
            <v>21.72</v>
          </cell>
        </row>
        <row r="227">
          <cell r="A227" t="str">
            <v>INR20007</v>
          </cell>
          <cell r="B227" t="str">
            <v>IF</v>
          </cell>
          <cell r="C227">
            <v>2000</v>
          </cell>
          <cell r="D227">
            <v>7</v>
          </cell>
          <cell r="E227" t="str">
            <v>INR</v>
          </cell>
          <cell r="F227">
            <v>1</v>
          </cell>
        </row>
        <row r="228">
          <cell r="A228" t="str">
            <v>SGD20007</v>
          </cell>
          <cell r="B228" t="str">
            <v>IF</v>
          </cell>
          <cell r="C228">
            <v>2000</v>
          </cell>
          <cell r="D228">
            <v>7</v>
          </cell>
          <cell r="E228" t="str">
            <v>SGD</v>
          </cell>
          <cell r="F228">
            <v>25.84</v>
          </cell>
        </row>
        <row r="229">
          <cell r="A229" t="str">
            <v>GBP20007</v>
          </cell>
          <cell r="B229" t="str">
            <v>IF</v>
          </cell>
          <cell r="C229">
            <v>2000</v>
          </cell>
          <cell r="D229">
            <v>7</v>
          </cell>
          <cell r="E229" t="str">
            <v>GBP</v>
          </cell>
          <cell r="F229">
            <v>67.790000000000006</v>
          </cell>
        </row>
        <row r="230">
          <cell r="A230" t="str">
            <v>MYR20007</v>
          </cell>
          <cell r="B230" t="str">
            <v>IF</v>
          </cell>
          <cell r="C230">
            <v>2000</v>
          </cell>
          <cell r="D230">
            <v>7</v>
          </cell>
          <cell r="E230" t="str">
            <v>MYR</v>
          </cell>
          <cell r="F230">
            <v>11.79</v>
          </cell>
        </row>
        <row r="231">
          <cell r="A231" t="str">
            <v>CAD20007</v>
          </cell>
          <cell r="B231" t="str">
            <v>IF</v>
          </cell>
          <cell r="C231">
            <v>2000</v>
          </cell>
          <cell r="D231">
            <v>7</v>
          </cell>
          <cell r="E231" t="str">
            <v>CAD</v>
          </cell>
          <cell r="F231">
            <v>30.16</v>
          </cell>
        </row>
        <row r="232">
          <cell r="A232" t="str">
            <v>AUD20007</v>
          </cell>
          <cell r="B232" t="str">
            <v>IF</v>
          </cell>
          <cell r="C232">
            <v>2000</v>
          </cell>
          <cell r="D232">
            <v>7</v>
          </cell>
          <cell r="E232" t="str">
            <v>AUD</v>
          </cell>
          <cell r="F232">
            <v>26.77</v>
          </cell>
        </row>
        <row r="233">
          <cell r="A233" t="str">
            <v>EUR20007</v>
          </cell>
          <cell r="B233" t="str">
            <v>IF</v>
          </cell>
          <cell r="C233">
            <v>2000</v>
          </cell>
          <cell r="D233">
            <v>7</v>
          </cell>
          <cell r="E233" t="str">
            <v>EUR</v>
          </cell>
          <cell r="F233">
            <v>42.71</v>
          </cell>
        </row>
        <row r="234">
          <cell r="A234" t="str">
            <v>SLR20007</v>
          </cell>
          <cell r="B234" t="str">
            <v>IF</v>
          </cell>
          <cell r="C234">
            <v>2000</v>
          </cell>
          <cell r="D234">
            <v>7</v>
          </cell>
          <cell r="E234" t="str">
            <v>SLR</v>
          </cell>
          <cell r="F234">
            <v>0.57799999999999996</v>
          </cell>
        </row>
        <row r="235">
          <cell r="A235" t="str">
            <v>NLG20007</v>
          </cell>
          <cell r="B235" t="str">
            <v>IF</v>
          </cell>
          <cell r="C235">
            <v>2000</v>
          </cell>
          <cell r="D235">
            <v>7</v>
          </cell>
          <cell r="E235" t="str">
            <v>NLG</v>
          </cell>
          <cell r="F235">
            <v>22.056999999999999</v>
          </cell>
        </row>
        <row r="236">
          <cell r="A236" t="str">
            <v>SEK20007</v>
          </cell>
          <cell r="B236" t="str">
            <v>IF</v>
          </cell>
          <cell r="C236">
            <v>2000</v>
          </cell>
          <cell r="D236">
            <v>7</v>
          </cell>
          <cell r="E236" t="str">
            <v>SEK</v>
          </cell>
          <cell r="F236">
            <v>5.09</v>
          </cell>
        </row>
        <row r="237">
          <cell r="A237" t="str">
            <v>BHT20007</v>
          </cell>
          <cell r="B237" t="str">
            <v>IF</v>
          </cell>
          <cell r="C237">
            <v>2000</v>
          </cell>
          <cell r="D237">
            <v>7</v>
          </cell>
          <cell r="E237" t="str">
            <v>BHT</v>
          </cell>
          <cell r="F237">
            <v>1.373</v>
          </cell>
        </row>
        <row r="238">
          <cell r="A238" t="str">
            <v>USD20008</v>
          </cell>
          <cell r="B238" t="str">
            <v>IF</v>
          </cell>
          <cell r="C238">
            <v>2000</v>
          </cell>
          <cell r="D238">
            <v>8</v>
          </cell>
          <cell r="E238" t="str">
            <v>USD</v>
          </cell>
          <cell r="F238">
            <v>45.44</v>
          </cell>
        </row>
        <row r="239">
          <cell r="A239" t="str">
            <v>HKD20008</v>
          </cell>
          <cell r="B239" t="str">
            <v>IF</v>
          </cell>
          <cell r="C239">
            <v>2000</v>
          </cell>
          <cell r="D239">
            <v>8</v>
          </cell>
          <cell r="E239" t="str">
            <v>HKD</v>
          </cell>
          <cell r="F239">
            <v>5.83</v>
          </cell>
        </row>
        <row r="240">
          <cell r="A240" t="str">
            <v>YEN20008</v>
          </cell>
          <cell r="B240" t="str">
            <v>IF</v>
          </cell>
          <cell r="C240">
            <v>2000</v>
          </cell>
          <cell r="D240">
            <v>8</v>
          </cell>
          <cell r="E240" t="str">
            <v>YEN</v>
          </cell>
          <cell r="F240">
            <v>0.41699999999999998</v>
          </cell>
        </row>
        <row r="241">
          <cell r="A241" t="str">
            <v>DM20008</v>
          </cell>
          <cell r="B241" t="str">
            <v>IF</v>
          </cell>
          <cell r="C241">
            <v>2000</v>
          </cell>
          <cell r="D241">
            <v>8</v>
          </cell>
          <cell r="E241" t="str">
            <v>DM</v>
          </cell>
          <cell r="F241">
            <v>21.28</v>
          </cell>
        </row>
        <row r="242">
          <cell r="A242" t="str">
            <v>INR20008</v>
          </cell>
          <cell r="B242" t="str">
            <v>IF</v>
          </cell>
          <cell r="C242">
            <v>2000</v>
          </cell>
          <cell r="D242">
            <v>8</v>
          </cell>
          <cell r="E242" t="str">
            <v>INR</v>
          </cell>
          <cell r="F242">
            <v>1</v>
          </cell>
        </row>
        <row r="243">
          <cell r="A243" t="str">
            <v>SGD20008</v>
          </cell>
          <cell r="B243" t="str">
            <v>IF</v>
          </cell>
          <cell r="C243">
            <v>2000</v>
          </cell>
          <cell r="D243">
            <v>8</v>
          </cell>
          <cell r="E243" t="str">
            <v>SGD</v>
          </cell>
          <cell r="F243">
            <v>26.31</v>
          </cell>
        </row>
        <row r="244">
          <cell r="A244" t="str">
            <v>GBP20008</v>
          </cell>
          <cell r="B244" t="str">
            <v>IF</v>
          </cell>
          <cell r="C244">
            <v>2000</v>
          </cell>
          <cell r="D244">
            <v>8</v>
          </cell>
          <cell r="E244" t="str">
            <v>GBP</v>
          </cell>
          <cell r="F244">
            <v>67.94</v>
          </cell>
        </row>
        <row r="245">
          <cell r="A245" t="str">
            <v>MYR20008</v>
          </cell>
          <cell r="B245" t="str">
            <v>IF</v>
          </cell>
          <cell r="C245">
            <v>2000</v>
          </cell>
          <cell r="D245">
            <v>8</v>
          </cell>
          <cell r="E245" t="str">
            <v>MYR</v>
          </cell>
          <cell r="F245">
            <v>11.96</v>
          </cell>
        </row>
        <row r="246">
          <cell r="A246" t="str">
            <v>CAD20008</v>
          </cell>
          <cell r="B246" t="str">
            <v>IF</v>
          </cell>
          <cell r="C246">
            <v>2000</v>
          </cell>
          <cell r="D246">
            <v>8</v>
          </cell>
          <cell r="E246" t="str">
            <v>CAD</v>
          </cell>
          <cell r="F246">
            <v>30.71</v>
          </cell>
        </row>
        <row r="247">
          <cell r="A247" t="str">
            <v>AUD20008</v>
          </cell>
          <cell r="B247" t="str">
            <v>IF</v>
          </cell>
          <cell r="C247">
            <v>2000</v>
          </cell>
          <cell r="D247">
            <v>8</v>
          </cell>
          <cell r="E247" t="str">
            <v>AUD</v>
          </cell>
          <cell r="F247">
            <v>26.67</v>
          </cell>
        </row>
        <row r="248">
          <cell r="A248" t="str">
            <v>EUR20008</v>
          </cell>
          <cell r="B248" t="str">
            <v>IF</v>
          </cell>
          <cell r="C248">
            <v>2000</v>
          </cell>
          <cell r="D248">
            <v>8</v>
          </cell>
          <cell r="E248" t="str">
            <v>EUR</v>
          </cell>
          <cell r="F248">
            <v>41.62</v>
          </cell>
        </row>
        <row r="249">
          <cell r="A249" t="str">
            <v>SLR20008</v>
          </cell>
          <cell r="B249" t="str">
            <v>IF</v>
          </cell>
          <cell r="C249">
            <v>2000</v>
          </cell>
          <cell r="D249">
            <v>8</v>
          </cell>
          <cell r="E249" t="str">
            <v>SLR</v>
          </cell>
          <cell r="F249">
            <v>0.57799999999999996</v>
          </cell>
        </row>
        <row r="250">
          <cell r="A250" t="str">
            <v>NLG20008</v>
          </cell>
          <cell r="B250" t="str">
            <v>IF</v>
          </cell>
          <cell r="C250">
            <v>2000</v>
          </cell>
          <cell r="D250">
            <v>8</v>
          </cell>
          <cell r="E250" t="str">
            <v>NLG</v>
          </cell>
          <cell r="F250">
            <v>22.056999999999999</v>
          </cell>
        </row>
        <row r="251">
          <cell r="A251" t="str">
            <v>SEK20008</v>
          </cell>
          <cell r="B251" t="str">
            <v>IF</v>
          </cell>
          <cell r="C251">
            <v>2000</v>
          </cell>
          <cell r="D251">
            <v>8</v>
          </cell>
          <cell r="E251" t="str">
            <v>SEK</v>
          </cell>
          <cell r="F251">
            <v>4.92</v>
          </cell>
        </row>
        <row r="252">
          <cell r="A252" t="str">
            <v>BHT20008</v>
          </cell>
          <cell r="B252" t="str">
            <v>IF</v>
          </cell>
          <cell r="C252">
            <v>2000</v>
          </cell>
          <cell r="D252">
            <v>8</v>
          </cell>
          <cell r="E252" t="str">
            <v>BHT</v>
          </cell>
          <cell r="F252">
            <v>1.373</v>
          </cell>
        </row>
        <row r="253">
          <cell r="A253" t="str">
            <v>USD20009</v>
          </cell>
          <cell r="B253" t="str">
            <v>IF</v>
          </cell>
          <cell r="C253">
            <v>2000</v>
          </cell>
          <cell r="D253">
            <v>9</v>
          </cell>
          <cell r="E253" t="str">
            <v>USD</v>
          </cell>
          <cell r="F253">
            <v>45.95</v>
          </cell>
        </row>
        <row r="254">
          <cell r="A254" t="str">
            <v>HKD20009</v>
          </cell>
          <cell r="B254" t="str">
            <v>IF</v>
          </cell>
          <cell r="C254">
            <v>2000</v>
          </cell>
          <cell r="D254">
            <v>9</v>
          </cell>
          <cell r="E254" t="str">
            <v>HKD</v>
          </cell>
          <cell r="F254">
            <v>5.89</v>
          </cell>
        </row>
        <row r="255">
          <cell r="A255" t="str">
            <v>YEN20009</v>
          </cell>
          <cell r="B255" t="str">
            <v>IF</v>
          </cell>
          <cell r="C255">
            <v>2000</v>
          </cell>
          <cell r="D255">
            <v>9</v>
          </cell>
          <cell r="E255" t="str">
            <v>YEN</v>
          </cell>
          <cell r="F255">
            <v>0.43099999999999999</v>
          </cell>
        </row>
        <row r="256">
          <cell r="A256" t="str">
            <v>DM20009</v>
          </cell>
          <cell r="B256" t="str">
            <v>IF</v>
          </cell>
          <cell r="C256">
            <v>2000</v>
          </cell>
          <cell r="D256">
            <v>9</v>
          </cell>
          <cell r="E256" t="str">
            <v>DM</v>
          </cell>
          <cell r="F256">
            <v>21.01</v>
          </cell>
        </row>
        <row r="257">
          <cell r="A257" t="str">
            <v>INR20009</v>
          </cell>
          <cell r="B257" t="str">
            <v>IF</v>
          </cell>
          <cell r="C257">
            <v>2000</v>
          </cell>
          <cell r="D257">
            <v>9</v>
          </cell>
          <cell r="E257" t="str">
            <v>INR</v>
          </cell>
          <cell r="F257">
            <v>1</v>
          </cell>
        </row>
        <row r="258">
          <cell r="A258" t="str">
            <v>SGD20009</v>
          </cell>
          <cell r="B258" t="str">
            <v>IF</v>
          </cell>
          <cell r="C258">
            <v>2000</v>
          </cell>
          <cell r="D258">
            <v>9</v>
          </cell>
          <cell r="E258" t="str">
            <v>SGD</v>
          </cell>
          <cell r="F258">
            <v>26.71</v>
          </cell>
        </row>
        <row r="259">
          <cell r="A259" t="str">
            <v>GBP20009</v>
          </cell>
          <cell r="B259" t="str">
            <v>IF</v>
          </cell>
          <cell r="C259">
            <v>2000</v>
          </cell>
          <cell r="D259">
            <v>9</v>
          </cell>
          <cell r="E259" t="str">
            <v>GBP</v>
          </cell>
          <cell r="F259">
            <v>66.900000000000006</v>
          </cell>
        </row>
        <row r="260">
          <cell r="A260" t="str">
            <v>MYR20009</v>
          </cell>
          <cell r="B260" t="str">
            <v>IF</v>
          </cell>
          <cell r="C260">
            <v>2000</v>
          </cell>
          <cell r="D260">
            <v>9</v>
          </cell>
          <cell r="E260" t="str">
            <v>MYR</v>
          </cell>
          <cell r="F260">
            <v>12.09</v>
          </cell>
        </row>
        <row r="261">
          <cell r="A261" t="str">
            <v>CAD20009</v>
          </cell>
          <cell r="B261" t="str">
            <v>IF</v>
          </cell>
          <cell r="C261">
            <v>2000</v>
          </cell>
          <cell r="D261">
            <v>9</v>
          </cell>
          <cell r="E261" t="str">
            <v>CAD</v>
          </cell>
          <cell r="F261">
            <v>31.13</v>
          </cell>
        </row>
        <row r="262">
          <cell r="A262" t="str">
            <v>AUD20009</v>
          </cell>
          <cell r="B262" t="str">
            <v>IF</v>
          </cell>
          <cell r="C262">
            <v>2000</v>
          </cell>
          <cell r="D262">
            <v>9</v>
          </cell>
          <cell r="E262" t="str">
            <v>AUD</v>
          </cell>
          <cell r="F262">
            <v>26.38</v>
          </cell>
        </row>
        <row r="263">
          <cell r="A263" t="str">
            <v>EUR20009</v>
          </cell>
          <cell r="B263" t="str">
            <v>IF</v>
          </cell>
          <cell r="C263">
            <v>2000</v>
          </cell>
          <cell r="D263">
            <v>9</v>
          </cell>
          <cell r="E263" t="str">
            <v>EUR</v>
          </cell>
          <cell r="F263">
            <v>41.09</v>
          </cell>
        </row>
        <row r="264">
          <cell r="A264" t="str">
            <v>SLR20009</v>
          </cell>
          <cell r="B264" t="str">
            <v>IF</v>
          </cell>
          <cell r="C264">
            <v>2000</v>
          </cell>
          <cell r="D264">
            <v>9</v>
          </cell>
          <cell r="E264" t="str">
            <v>SLR</v>
          </cell>
          <cell r="F264">
            <v>0.57799999999999996</v>
          </cell>
        </row>
        <row r="265">
          <cell r="A265" t="str">
            <v>NLG20009</v>
          </cell>
          <cell r="B265" t="str">
            <v>IF</v>
          </cell>
          <cell r="C265">
            <v>2000</v>
          </cell>
          <cell r="D265">
            <v>9</v>
          </cell>
          <cell r="E265" t="str">
            <v>NLG</v>
          </cell>
          <cell r="F265">
            <v>22.056999999999999</v>
          </cell>
        </row>
        <row r="266">
          <cell r="A266" t="str">
            <v>SEK20009</v>
          </cell>
          <cell r="B266" t="str">
            <v>IF</v>
          </cell>
          <cell r="C266">
            <v>2000</v>
          </cell>
          <cell r="D266">
            <v>9</v>
          </cell>
          <cell r="E266" t="str">
            <v>SEK</v>
          </cell>
          <cell r="F266">
            <v>4.87</v>
          </cell>
        </row>
        <row r="267">
          <cell r="A267" t="str">
            <v>BHT20009</v>
          </cell>
          <cell r="B267" t="str">
            <v>IF</v>
          </cell>
          <cell r="C267">
            <v>2000</v>
          </cell>
          <cell r="D267">
            <v>9</v>
          </cell>
          <cell r="E267" t="str">
            <v>BHT</v>
          </cell>
          <cell r="F267">
            <v>1.373</v>
          </cell>
        </row>
        <row r="268">
          <cell r="A268" t="str">
            <v>USD200010</v>
          </cell>
          <cell r="B268" t="str">
            <v>IF</v>
          </cell>
          <cell r="C268">
            <v>2000</v>
          </cell>
          <cell r="D268">
            <v>10</v>
          </cell>
          <cell r="E268" t="str">
            <v>USD</v>
          </cell>
          <cell r="F268">
            <v>46.1</v>
          </cell>
        </row>
        <row r="269">
          <cell r="A269" t="str">
            <v>HKD200010</v>
          </cell>
          <cell r="B269" t="str">
            <v>IF</v>
          </cell>
          <cell r="C269">
            <v>2000</v>
          </cell>
          <cell r="D269">
            <v>10</v>
          </cell>
          <cell r="E269" t="str">
            <v>HKD</v>
          </cell>
          <cell r="F269">
            <v>5.99</v>
          </cell>
        </row>
        <row r="270">
          <cell r="A270" t="str">
            <v>YEN200010</v>
          </cell>
          <cell r="B270" t="str">
            <v>IF</v>
          </cell>
          <cell r="C270">
            <v>2000</v>
          </cell>
          <cell r="D270">
            <v>10</v>
          </cell>
          <cell r="E270" t="str">
            <v>YEN</v>
          </cell>
          <cell r="F270">
            <v>0.44</v>
          </cell>
        </row>
        <row r="271">
          <cell r="A271" t="str">
            <v>DM200010</v>
          </cell>
          <cell r="B271" t="str">
            <v>IF</v>
          </cell>
          <cell r="C271">
            <v>2000</v>
          </cell>
          <cell r="D271">
            <v>10</v>
          </cell>
          <cell r="E271" t="str">
            <v>DM</v>
          </cell>
          <cell r="F271">
            <v>21.01</v>
          </cell>
        </row>
        <row r="272">
          <cell r="A272" t="str">
            <v>INR200010</v>
          </cell>
          <cell r="B272" t="str">
            <v>IF</v>
          </cell>
          <cell r="C272">
            <v>2000</v>
          </cell>
          <cell r="D272">
            <v>10</v>
          </cell>
          <cell r="E272" t="str">
            <v>INR</v>
          </cell>
          <cell r="F272">
            <v>1</v>
          </cell>
        </row>
        <row r="273">
          <cell r="A273" t="str">
            <v>SGD200010</v>
          </cell>
          <cell r="B273" t="str">
            <v>IF</v>
          </cell>
          <cell r="C273">
            <v>2000</v>
          </cell>
          <cell r="D273">
            <v>10</v>
          </cell>
          <cell r="E273" t="str">
            <v>SGD</v>
          </cell>
          <cell r="F273">
            <v>26.87</v>
          </cell>
        </row>
        <row r="274">
          <cell r="A274" t="str">
            <v>GBP200010</v>
          </cell>
          <cell r="B274" t="str">
            <v>IF</v>
          </cell>
          <cell r="C274">
            <v>2000</v>
          </cell>
          <cell r="D274">
            <v>10</v>
          </cell>
          <cell r="E274" t="str">
            <v>GBP</v>
          </cell>
          <cell r="F274">
            <v>66.900000000000006</v>
          </cell>
        </row>
        <row r="275">
          <cell r="A275" t="str">
            <v>MYR200010</v>
          </cell>
          <cell r="B275" t="str">
            <v>IF</v>
          </cell>
          <cell r="C275">
            <v>2000</v>
          </cell>
          <cell r="D275">
            <v>10</v>
          </cell>
          <cell r="E275" t="str">
            <v>MYR</v>
          </cell>
          <cell r="F275">
            <v>12.09</v>
          </cell>
        </row>
        <row r="276">
          <cell r="A276" t="str">
            <v>CAD200010</v>
          </cell>
          <cell r="B276" t="str">
            <v>IF</v>
          </cell>
          <cell r="C276">
            <v>2000</v>
          </cell>
          <cell r="D276">
            <v>10</v>
          </cell>
          <cell r="E276" t="str">
            <v>CAD</v>
          </cell>
          <cell r="F276">
            <v>31.13</v>
          </cell>
        </row>
        <row r="277">
          <cell r="A277" t="str">
            <v>AUD200010</v>
          </cell>
          <cell r="B277" t="str">
            <v>IF</v>
          </cell>
          <cell r="C277">
            <v>2000</v>
          </cell>
          <cell r="D277">
            <v>10</v>
          </cell>
          <cell r="E277" t="str">
            <v>AUD</v>
          </cell>
          <cell r="F277">
            <v>26.38</v>
          </cell>
        </row>
        <row r="278">
          <cell r="A278" t="str">
            <v>EUR200010</v>
          </cell>
          <cell r="B278" t="str">
            <v>IF</v>
          </cell>
          <cell r="C278">
            <v>2000</v>
          </cell>
          <cell r="D278">
            <v>10</v>
          </cell>
          <cell r="E278" t="str">
            <v>EUR</v>
          </cell>
          <cell r="F278">
            <v>40</v>
          </cell>
        </row>
        <row r="279">
          <cell r="A279" t="str">
            <v>SLR200010</v>
          </cell>
          <cell r="B279" t="str">
            <v>IF</v>
          </cell>
          <cell r="C279">
            <v>2000</v>
          </cell>
          <cell r="D279">
            <v>10</v>
          </cell>
          <cell r="E279" t="str">
            <v>SLR</v>
          </cell>
          <cell r="F279">
            <v>0.57799999999999996</v>
          </cell>
        </row>
        <row r="280">
          <cell r="A280" t="str">
            <v>NLG200010</v>
          </cell>
          <cell r="B280" t="str">
            <v>IF</v>
          </cell>
          <cell r="C280">
            <v>2000</v>
          </cell>
          <cell r="D280">
            <v>10</v>
          </cell>
          <cell r="E280" t="str">
            <v>NLG</v>
          </cell>
          <cell r="F280">
            <v>22.056999999999999</v>
          </cell>
        </row>
        <row r="281">
          <cell r="A281" t="str">
            <v>SEK200010</v>
          </cell>
          <cell r="B281" t="str">
            <v>IF</v>
          </cell>
          <cell r="C281">
            <v>2000</v>
          </cell>
          <cell r="D281">
            <v>10</v>
          </cell>
          <cell r="E281" t="str">
            <v>SEK</v>
          </cell>
          <cell r="F281">
            <v>4.87</v>
          </cell>
        </row>
        <row r="282">
          <cell r="A282" t="str">
            <v>BHT200010</v>
          </cell>
          <cell r="B282" t="str">
            <v>IF</v>
          </cell>
          <cell r="C282">
            <v>2000</v>
          </cell>
          <cell r="D282">
            <v>10</v>
          </cell>
          <cell r="E282" t="str">
            <v>BHT</v>
          </cell>
          <cell r="F282">
            <v>1.373</v>
          </cell>
        </row>
        <row r="283">
          <cell r="A283" t="str">
            <v>USD200011</v>
          </cell>
          <cell r="B283" t="str">
            <v>IF</v>
          </cell>
          <cell r="C283">
            <v>2000</v>
          </cell>
          <cell r="D283">
            <v>11</v>
          </cell>
          <cell r="E283" t="str">
            <v>USD</v>
          </cell>
          <cell r="F283">
            <v>46.99</v>
          </cell>
        </row>
        <row r="284">
          <cell r="A284" t="str">
            <v>HKD200011</v>
          </cell>
          <cell r="B284" t="str">
            <v>IF</v>
          </cell>
          <cell r="C284">
            <v>2000</v>
          </cell>
          <cell r="D284">
            <v>11</v>
          </cell>
          <cell r="E284" t="str">
            <v>HKD</v>
          </cell>
          <cell r="F284">
            <v>6.02</v>
          </cell>
        </row>
        <row r="285">
          <cell r="A285" t="str">
            <v>YEN200011</v>
          </cell>
          <cell r="B285" t="str">
            <v>IF</v>
          </cell>
          <cell r="C285">
            <v>2000</v>
          </cell>
          <cell r="D285">
            <v>11</v>
          </cell>
          <cell r="E285" t="str">
            <v>YEN</v>
          </cell>
          <cell r="F285">
            <v>0.435</v>
          </cell>
        </row>
        <row r="286">
          <cell r="A286" t="str">
            <v>DM200011</v>
          </cell>
          <cell r="B286" t="str">
            <v>IF</v>
          </cell>
          <cell r="C286">
            <v>2000</v>
          </cell>
          <cell r="D286">
            <v>11</v>
          </cell>
          <cell r="E286" t="str">
            <v>DM</v>
          </cell>
          <cell r="F286">
            <v>20.29</v>
          </cell>
        </row>
        <row r="287">
          <cell r="A287" t="str">
            <v>INR200011</v>
          </cell>
          <cell r="B287" t="str">
            <v>IF</v>
          </cell>
          <cell r="C287">
            <v>2000</v>
          </cell>
          <cell r="D287">
            <v>11</v>
          </cell>
          <cell r="E287" t="str">
            <v>INR</v>
          </cell>
          <cell r="F287">
            <v>1</v>
          </cell>
        </row>
        <row r="288">
          <cell r="A288" t="str">
            <v>SGD200011</v>
          </cell>
          <cell r="B288" t="str">
            <v>IF</v>
          </cell>
          <cell r="C288">
            <v>2000</v>
          </cell>
          <cell r="D288">
            <v>11</v>
          </cell>
          <cell r="E288" t="str">
            <v>SGD</v>
          </cell>
          <cell r="F288">
            <v>26.91</v>
          </cell>
        </row>
        <row r="289">
          <cell r="A289" t="str">
            <v>GBP200011</v>
          </cell>
          <cell r="B289" t="str">
            <v>IF</v>
          </cell>
          <cell r="C289">
            <v>2000</v>
          </cell>
          <cell r="D289">
            <v>11</v>
          </cell>
          <cell r="E289" t="str">
            <v>GBP</v>
          </cell>
          <cell r="F289">
            <v>68.62</v>
          </cell>
        </row>
        <row r="290">
          <cell r="A290" t="str">
            <v>MYR200011</v>
          </cell>
          <cell r="B290" t="str">
            <v>IF</v>
          </cell>
          <cell r="C290">
            <v>2000</v>
          </cell>
          <cell r="D290">
            <v>11</v>
          </cell>
          <cell r="E290" t="str">
            <v>MYR</v>
          </cell>
          <cell r="F290">
            <v>12.09</v>
          </cell>
        </row>
        <row r="291">
          <cell r="A291" t="str">
            <v>CAD200011</v>
          </cell>
          <cell r="B291" t="str">
            <v>IF</v>
          </cell>
          <cell r="C291">
            <v>2000</v>
          </cell>
          <cell r="D291">
            <v>11</v>
          </cell>
          <cell r="E291" t="str">
            <v>CAD</v>
          </cell>
          <cell r="F291">
            <v>31.02</v>
          </cell>
        </row>
        <row r="292">
          <cell r="A292" t="str">
            <v>AUD200011</v>
          </cell>
          <cell r="B292" t="str">
            <v>IF</v>
          </cell>
          <cell r="C292">
            <v>2000</v>
          </cell>
          <cell r="D292">
            <v>11</v>
          </cell>
          <cell r="E292" t="str">
            <v>AUD</v>
          </cell>
          <cell r="F292">
            <v>24.7</v>
          </cell>
        </row>
        <row r="293">
          <cell r="A293" t="str">
            <v>EUR200011</v>
          </cell>
          <cell r="B293" t="str">
            <v>IF</v>
          </cell>
          <cell r="C293">
            <v>2000</v>
          </cell>
          <cell r="D293">
            <v>11</v>
          </cell>
          <cell r="E293" t="str">
            <v>EUR</v>
          </cell>
          <cell r="F293">
            <v>39.68</v>
          </cell>
        </row>
        <row r="294">
          <cell r="A294" t="str">
            <v>SLR200011</v>
          </cell>
          <cell r="B294" t="str">
            <v>IF</v>
          </cell>
          <cell r="C294">
            <v>2000</v>
          </cell>
          <cell r="D294">
            <v>11</v>
          </cell>
          <cell r="E294" t="str">
            <v>SLR</v>
          </cell>
          <cell r="F294">
            <v>0.57799999999999996</v>
          </cell>
        </row>
        <row r="295">
          <cell r="A295" t="str">
            <v>NLG200011</v>
          </cell>
          <cell r="B295" t="str">
            <v>IF</v>
          </cell>
          <cell r="C295">
            <v>2000</v>
          </cell>
          <cell r="D295">
            <v>11</v>
          </cell>
          <cell r="E295" t="str">
            <v>NLG</v>
          </cell>
          <cell r="F295">
            <v>22.056999999999999</v>
          </cell>
        </row>
        <row r="296">
          <cell r="A296" t="str">
            <v>SEK200011</v>
          </cell>
          <cell r="B296" t="str">
            <v>IF</v>
          </cell>
          <cell r="C296">
            <v>2000</v>
          </cell>
          <cell r="D296">
            <v>11</v>
          </cell>
          <cell r="E296" t="str">
            <v>SEK</v>
          </cell>
          <cell r="F296">
            <v>4.87</v>
          </cell>
        </row>
        <row r="297">
          <cell r="A297" t="str">
            <v>BHT200011</v>
          </cell>
          <cell r="B297" t="str">
            <v>IF</v>
          </cell>
          <cell r="C297">
            <v>2000</v>
          </cell>
          <cell r="D297">
            <v>11</v>
          </cell>
          <cell r="E297" t="str">
            <v>BHT</v>
          </cell>
          <cell r="F297">
            <v>1.373</v>
          </cell>
        </row>
        <row r="298">
          <cell r="A298" t="str">
            <v>USD200012</v>
          </cell>
          <cell r="B298" t="str">
            <v>IF</v>
          </cell>
          <cell r="C298">
            <v>2000</v>
          </cell>
          <cell r="D298">
            <v>12</v>
          </cell>
          <cell r="E298" t="str">
            <v>USD</v>
          </cell>
          <cell r="F298">
            <v>46.87</v>
          </cell>
        </row>
        <row r="299">
          <cell r="A299" t="str">
            <v>HKD200012</v>
          </cell>
          <cell r="B299" t="str">
            <v>IF</v>
          </cell>
          <cell r="C299">
            <v>2000</v>
          </cell>
          <cell r="D299">
            <v>12</v>
          </cell>
          <cell r="E299" t="str">
            <v>HKD</v>
          </cell>
          <cell r="F299">
            <v>6.02</v>
          </cell>
        </row>
        <row r="300">
          <cell r="A300" t="str">
            <v>YEN200012</v>
          </cell>
          <cell r="B300" t="str">
            <v>IF</v>
          </cell>
          <cell r="C300">
            <v>2000</v>
          </cell>
          <cell r="D300">
            <v>12</v>
          </cell>
          <cell r="E300" t="str">
            <v>YEN</v>
          </cell>
          <cell r="F300">
            <v>0.42599999999999999</v>
          </cell>
        </row>
        <row r="301">
          <cell r="A301" t="str">
            <v>DM200012</v>
          </cell>
          <cell r="B301" t="str">
            <v>IF</v>
          </cell>
          <cell r="C301">
            <v>2000</v>
          </cell>
          <cell r="D301">
            <v>12</v>
          </cell>
          <cell r="E301" t="str">
            <v>DM</v>
          </cell>
          <cell r="F301">
            <v>21.26</v>
          </cell>
        </row>
        <row r="302">
          <cell r="A302" t="str">
            <v>INR200012</v>
          </cell>
          <cell r="B302" t="str">
            <v>IF</v>
          </cell>
          <cell r="C302">
            <v>2000</v>
          </cell>
          <cell r="D302">
            <v>12</v>
          </cell>
          <cell r="E302" t="str">
            <v>INR</v>
          </cell>
          <cell r="F302">
            <v>1</v>
          </cell>
        </row>
        <row r="303">
          <cell r="A303" t="str">
            <v>SGD200012</v>
          </cell>
          <cell r="B303" t="str">
            <v>IF</v>
          </cell>
          <cell r="C303">
            <v>2000</v>
          </cell>
          <cell r="D303">
            <v>12</v>
          </cell>
          <cell r="E303" t="str">
            <v>SGD</v>
          </cell>
          <cell r="F303">
            <v>27.05</v>
          </cell>
        </row>
        <row r="304">
          <cell r="A304" t="str">
            <v>GBP200012</v>
          </cell>
          <cell r="B304" t="str">
            <v>IF</v>
          </cell>
          <cell r="C304">
            <v>2000</v>
          </cell>
          <cell r="D304">
            <v>12</v>
          </cell>
          <cell r="E304" t="str">
            <v>GBP</v>
          </cell>
          <cell r="F304">
            <v>68.17</v>
          </cell>
        </row>
        <row r="305">
          <cell r="A305" t="str">
            <v>MYR200012</v>
          </cell>
          <cell r="B305" t="str">
            <v>IF</v>
          </cell>
          <cell r="C305">
            <v>2000</v>
          </cell>
          <cell r="D305">
            <v>12</v>
          </cell>
          <cell r="E305" t="str">
            <v>MYR</v>
          </cell>
          <cell r="F305">
            <v>12.09</v>
          </cell>
        </row>
        <row r="306">
          <cell r="A306" t="str">
            <v>CAD200012</v>
          </cell>
          <cell r="B306" t="str">
            <v>IF</v>
          </cell>
          <cell r="C306">
            <v>2000</v>
          </cell>
          <cell r="D306">
            <v>12</v>
          </cell>
          <cell r="E306" t="str">
            <v>CAD</v>
          </cell>
          <cell r="F306">
            <v>30.73</v>
          </cell>
        </row>
        <row r="307">
          <cell r="A307" t="str">
            <v>AUD200012</v>
          </cell>
          <cell r="B307" t="str">
            <v>IF</v>
          </cell>
          <cell r="C307">
            <v>2000</v>
          </cell>
          <cell r="D307">
            <v>12</v>
          </cell>
          <cell r="E307" t="str">
            <v>AUD</v>
          </cell>
          <cell r="F307">
            <v>25.52</v>
          </cell>
        </row>
        <row r="308">
          <cell r="A308" t="str">
            <v>EUR200012</v>
          </cell>
          <cell r="B308" t="str">
            <v>IF</v>
          </cell>
          <cell r="C308">
            <v>2000</v>
          </cell>
          <cell r="D308">
            <v>12</v>
          </cell>
          <cell r="E308" t="str">
            <v>EUR</v>
          </cell>
          <cell r="F308">
            <v>41.58</v>
          </cell>
        </row>
        <row r="309">
          <cell r="A309" t="str">
            <v>SLR200012</v>
          </cell>
          <cell r="B309" t="str">
            <v>IF</v>
          </cell>
          <cell r="C309">
            <v>2000</v>
          </cell>
          <cell r="D309">
            <v>12</v>
          </cell>
          <cell r="E309" t="str">
            <v>SLR</v>
          </cell>
          <cell r="F309">
            <v>0.57799999999999996</v>
          </cell>
        </row>
        <row r="310">
          <cell r="A310" t="str">
            <v>NLG200012</v>
          </cell>
          <cell r="B310" t="str">
            <v>IF</v>
          </cell>
          <cell r="C310">
            <v>2000</v>
          </cell>
          <cell r="D310">
            <v>12</v>
          </cell>
          <cell r="E310" t="str">
            <v>NLG</v>
          </cell>
          <cell r="F310">
            <v>18.87</v>
          </cell>
        </row>
        <row r="311">
          <cell r="A311" t="str">
            <v>SEK200012</v>
          </cell>
          <cell r="B311" t="str">
            <v>IF</v>
          </cell>
          <cell r="C311">
            <v>2000</v>
          </cell>
          <cell r="D311">
            <v>12</v>
          </cell>
          <cell r="E311" t="str">
            <v>SEK</v>
          </cell>
          <cell r="F311">
            <v>4.82</v>
          </cell>
        </row>
        <row r="312">
          <cell r="A312" t="str">
            <v>BHT200012</v>
          </cell>
          <cell r="B312" t="str">
            <v>IF</v>
          </cell>
          <cell r="C312">
            <v>2000</v>
          </cell>
          <cell r="D312">
            <v>12</v>
          </cell>
          <cell r="E312" t="str">
            <v>BHT</v>
          </cell>
          <cell r="F312">
            <v>1.373</v>
          </cell>
        </row>
        <row r="313">
          <cell r="A313" t="str">
            <v>USD20011</v>
          </cell>
          <cell r="B313" t="str">
            <v>IF</v>
          </cell>
          <cell r="C313">
            <v>2001</v>
          </cell>
          <cell r="D313">
            <v>1</v>
          </cell>
          <cell r="E313" t="str">
            <v>USD</v>
          </cell>
          <cell r="F313">
            <v>46.61</v>
          </cell>
        </row>
        <row r="314">
          <cell r="A314" t="str">
            <v>HKD20011</v>
          </cell>
          <cell r="B314" t="str">
            <v>IF</v>
          </cell>
          <cell r="C314">
            <v>2001</v>
          </cell>
          <cell r="D314">
            <v>1</v>
          </cell>
          <cell r="E314" t="str">
            <v>HKD</v>
          </cell>
          <cell r="F314">
            <v>5.98</v>
          </cell>
        </row>
        <row r="315">
          <cell r="A315" t="str">
            <v>YEN20011</v>
          </cell>
          <cell r="B315" t="str">
            <v>IF</v>
          </cell>
          <cell r="C315">
            <v>2001</v>
          </cell>
          <cell r="D315">
            <v>1</v>
          </cell>
          <cell r="E315" t="str">
            <v>YEN</v>
          </cell>
          <cell r="F315">
            <v>0.42599999999999999</v>
          </cell>
        </row>
        <row r="316">
          <cell r="A316" t="str">
            <v>DM20011</v>
          </cell>
          <cell r="B316" t="str">
            <v>IF</v>
          </cell>
          <cell r="C316">
            <v>2001</v>
          </cell>
          <cell r="D316">
            <v>1</v>
          </cell>
          <cell r="E316" t="str">
            <v>DM</v>
          </cell>
          <cell r="F316">
            <v>22.46</v>
          </cell>
        </row>
        <row r="317">
          <cell r="A317" t="str">
            <v>INR20011</v>
          </cell>
          <cell r="B317" t="str">
            <v>IF</v>
          </cell>
          <cell r="C317">
            <v>2001</v>
          </cell>
          <cell r="D317">
            <v>1</v>
          </cell>
          <cell r="E317" t="str">
            <v>INR</v>
          </cell>
          <cell r="F317">
            <v>1</v>
          </cell>
        </row>
        <row r="318">
          <cell r="A318" t="str">
            <v>SGD20011</v>
          </cell>
          <cell r="B318" t="str">
            <v>IF</v>
          </cell>
          <cell r="C318">
            <v>2001</v>
          </cell>
          <cell r="D318">
            <v>1</v>
          </cell>
          <cell r="E318" t="str">
            <v>SGD</v>
          </cell>
          <cell r="F318">
            <v>26.9</v>
          </cell>
        </row>
        <row r="319">
          <cell r="A319" t="str">
            <v>GBP20011</v>
          </cell>
          <cell r="B319" t="str">
            <v>IF</v>
          </cell>
          <cell r="C319">
            <v>2001</v>
          </cell>
          <cell r="D319">
            <v>1</v>
          </cell>
          <cell r="E319" t="str">
            <v>GBP</v>
          </cell>
          <cell r="F319">
            <v>69.72</v>
          </cell>
        </row>
        <row r="320">
          <cell r="A320" t="str">
            <v>MYR20011</v>
          </cell>
          <cell r="B320" t="str">
            <v>IF</v>
          </cell>
          <cell r="C320">
            <v>2001</v>
          </cell>
          <cell r="D320">
            <v>1</v>
          </cell>
          <cell r="E320" t="str">
            <v>MYR</v>
          </cell>
          <cell r="F320">
            <v>12.09</v>
          </cell>
        </row>
        <row r="321">
          <cell r="A321" t="str">
            <v>CAD20011</v>
          </cell>
          <cell r="B321" t="str">
            <v>IF</v>
          </cell>
          <cell r="C321">
            <v>2001</v>
          </cell>
          <cell r="D321">
            <v>1</v>
          </cell>
          <cell r="E321" t="str">
            <v>CAD</v>
          </cell>
          <cell r="F321">
            <v>30.73</v>
          </cell>
        </row>
        <row r="322">
          <cell r="A322" t="str">
            <v>AUD20011</v>
          </cell>
          <cell r="B322" t="str">
            <v>IF</v>
          </cell>
          <cell r="C322">
            <v>2001</v>
          </cell>
          <cell r="D322">
            <v>1</v>
          </cell>
          <cell r="E322" t="str">
            <v>AUD</v>
          </cell>
          <cell r="F322">
            <v>25.52</v>
          </cell>
        </row>
        <row r="323">
          <cell r="A323" t="str">
            <v>EUR20011</v>
          </cell>
          <cell r="B323" t="str">
            <v>IF</v>
          </cell>
          <cell r="C323">
            <v>2001</v>
          </cell>
          <cell r="D323">
            <v>1</v>
          </cell>
          <cell r="E323" t="str">
            <v>EUR</v>
          </cell>
          <cell r="F323">
            <v>43.92</v>
          </cell>
        </row>
        <row r="324">
          <cell r="A324" t="str">
            <v>SLR20011</v>
          </cell>
          <cell r="B324" t="str">
            <v>IF</v>
          </cell>
          <cell r="C324">
            <v>2001</v>
          </cell>
          <cell r="D324">
            <v>1</v>
          </cell>
          <cell r="E324" t="str">
            <v>SLR</v>
          </cell>
          <cell r="F324">
            <v>0.57799999999999996</v>
          </cell>
        </row>
        <row r="325">
          <cell r="A325" t="str">
            <v>NLG20011</v>
          </cell>
          <cell r="B325" t="str">
            <v>IF</v>
          </cell>
          <cell r="C325">
            <v>2001</v>
          </cell>
          <cell r="D325">
            <v>1</v>
          </cell>
          <cell r="E325" t="str">
            <v>NLG</v>
          </cell>
          <cell r="F325">
            <v>18.87</v>
          </cell>
        </row>
        <row r="326">
          <cell r="A326" t="str">
            <v>SEK20011</v>
          </cell>
          <cell r="B326" t="str">
            <v>IF</v>
          </cell>
          <cell r="C326">
            <v>2001</v>
          </cell>
          <cell r="D326">
            <v>1</v>
          </cell>
          <cell r="E326" t="str">
            <v>SEK</v>
          </cell>
          <cell r="F326">
            <v>4.82</v>
          </cell>
        </row>
        <row r="327">
          <cell r="A327" t="str">
            <v>BHT20011</v>
          </cell>
          <cell r="B327" t="str">
            <v>IF</v>
          </cell>
          <cell r="C327">
            <v>2001</v>
          </cell>
          <cell r="D327">
            <v>1</v>
          </cell>
          <cell r="E327" t="str">
            <v>BHT</v>
          </cell>
          <cell r="F327">
            <v>1.373</v>
          </cell>
        </row>
        <row r="328">
          <cell r="A328" t="str">
            <v>USD20012</v>
          </cell>
          <cell r="B328" t="str">
            <v>IF</v>
          </cell>
          <cell r="C328">
            <v>2001</v>
          </cell>
          <cell r="D328">
            <v>2</v>
          </cell>
          <cell r="E328" t="str">
            <v>USD</v>
          </cell>
          <cell r="F328">
            <v>46.56</v>
          </cell>
        </row>
        <row r="329">
          <cell r="A329" t="str">
            <v>HKD20012</v>
          </cell>
          <cell r="B329" t="str">
            <v>IF</v>
          </cell>
          <cell r="C329">
            <v>2001</v>
          </cell>
          <cell r="D329">
            <v>2</v>
          </cell>
          <cell r="E329" t="str">
            <v>HKD</v>
          </cell>
          <cell r="F329">
            <v>5.96</v>
          </cell>
        </row>
        <row r="330">
          <cell r="A330" t="str">
            <v>YEN20012</v>
          </cell>
          <cell r="B330" t="str">
            <v>IF</v>
          </cell>
          <cell r="C330">
            <v>2001</v>
          </cell>
          <cell r="D330">
            <v>2</v>
          </cell>
          <cell r="E330" t="str">
            <v>YEN</v>
          </cell>
          <cell r="F330">
            <v>0.40200000000000002</v>
          </cell>
        </row>
        <row r="331">
          <cell r="A331" t="str">
            <v>DM20012</v>
          </cell>
          <cell r="B331" t="str">
            <v>IF</v>
          </cell>
          <cell r="C331">
            <v>2001</v>
          </cell>
          <cell r="D331">
            <v>2</v>
          </cell>
          <cell r="E331" t="str">
            <v>DM</v>
          </cell>
          <cell r="F331">
            <v>22.14</v>
          </cell>
        </row>
        <row r="332">
          <cell r="A332" t="str">
            <v>INR20012</v>
          </cell>
          <cell r="B332" t="str">
            <v>IF</v>
          </cell>
          <cell r="C332">
            <v>2001</v>
          </cell>
          <cell r="D332">
            <v>2</v>
          </cell>
          <cell r="E332" t="str">
            <v>INR</v>
          </cell>
          <cell r="F332">
            <v>1</v>
          </cell>
        </row>
        <row r="333">
          <cell r="A333" t="str">
            <v>SGD20012</v>
          </cell>
          <cell r="B333" t="str">
            <v>IF</v>
          </cell>
          <cell r="C333">
            <v>2001</v>
          </cell>
          <cell r="D333">
            <v>2</v>
          </cell>
          <cell r="E333" t="str">
            <v>SGD</v>
          </cell>
          <cell r="F333">
            <v>26.82</v>
          </cell>
        </row>
        <row r="334">
          <cell r="A334" t="str">
            <v>GBP20012</v>
          </cell>
          <cell r="B334" t="str">
            <v>IF</v>
          </cell>
          <cell r="C334">
            <v>2001</v>
          </cell>
          <cell r="D334">
            <v>2</v>
          </cell>
          <cell r="E334" t="str">
            <v>GBP</v>
          </cell>
          <cell r="F334">
            <v>68.36</v>
          </cell>
        </row>
        <row r="335">
          <cell r="A335" t="str">
            <v>MYR20012</v>
          </cell>
          <cell r="B335" t="str">
            <v>IF</v>
          </cell>
          <cell r="C335">
            <v>2001</v>
          </cell>
          <cell r="D335">
            <v>2</v>
          </cell>
          <cell r="E335" t="str">
            <v>MYR</v>
          </cell>
          <cell r="F335">
            <v>12.09</v>
          </cell>
        </row>
        <row r="336">
          <cell r="A336" t="str">
            <v>CAD20012</v>
          </cell>
          <cell r="B336" t="str">
            <v>IF</v>
          </cell>
          <cell r="C336">
            <v>2001</v>
          </cell>
          <cell r="D336">
            <v>2</v>
          </cell>
          <cell r="E336" t="str">
            <v>CAD</v>
          </cell>
          <cell r="F336">
            <v>31.27</v>
          </cell>
        </row>
        <row r="337">
          <cell r="A337" t="str">
            <v>AUD20012</v>
          </cell>
          <cell r="B337" t="str">
            <v>IF</v>
          </cell>
          <cell r="C337">
            <v>2001</v>
          </cell>
          <cell r="D337">
            <v>2</v>
          </cell>
          <cell r="E337" t="str">
            <v>AUD</v>
          </cell>
          <cell r="F337">
            <v>25.56</v>
          </cell>
        </row>
        <row r="338">
          <cell r="A338" t="str">
            <v>EUR20012</v>
          </cell>
          <cell r="B338" t="str">
            <v>IF</v>
          </cell>
          <cell r="C338">
            <v>2001</v>
          </cell>
          <cell r="D338">
            <v>2</v>
          </cell>
          <cell r="E338" t="str">
            <v>EUR</v>
          </cell>
          <cell r="F338">
            <v>43.31</v>
          </cell>
        </row>
        <row r="339">
          <cell r="A339" t="str">
            <v>SLR20012</v>
          </cell>
          <cell r="B339" t="str">
            <v>IF</v>
          </cell>
          <cell r="C339">
            <v>2001</v>
          </cell>
          <cell r="D339">
            <v>2</v>
          </cell>
          <cell r="E339" t="str">
            <v>SLR</v>
          </cell>
          <cell r="F339">
            <v>0.57799999999999996</v>
          </cell>
        </row>
        <row r="340">
          <cell r="A340" t="str">
            <v>NLG20012</v>
          </cell>
          <cell r="B340" t="str">
            <v>IF</v>
          </cell>
          <cell r="C340">
            <v>2001</v>
          </cell>
          <cell r="D340">
            <v>2</v>
          </cell>
          <cell r="E340" t="str">
            <v>NLG</v>
          </cell>
          <cell r="F340">
            <v>19.649999999999999</v>
          </cell>
        </row>
        <row r="341">
          <cell r="A341" t="str">
            <v>SEK20012</v>
          </cell>
          <cell r="B341" t="str">
            <v>IF</v>
          </cell>
          <cell r="C341">
            <v>2001</v>
          </cell>
          <cell r="D341">
            <v>2</v>
          </cell>
          <cell r="E341" t="str">
            <v>SEK</v>
          </cell>
          <cell r="F341">
            <v>4.92</v>
          </cell>
        </row>
        <row r="342">
          <cell r="A342" t="str">
            <v>BHT20012</v>
          </cell>
          <cell r="B342" t="str">
            <v>IF</v>
          </cell>
          <cell r="C342">
            <v>2001</v>
          </cell>
          <cell r="D342">
            <v>2</v>
          </cell>
          <cell r="E342" t="str">
            <v>BHT</v>
          </cell>
          <cell r="F342">
            <v>1.373</v>
          </cell>
        </row>
        <row r="343">
          <cell r="A343" t="str">
            <v>USD20013</v>
          </cell>
          <cell r="B343" t="str">
            <v>IF</v>
          </cell>
          <cell r="C343">
            <v>2001</v>
          </cell>
          <cell r="D343">
            <v>3</v>
          </cell>
          <cell r="E343" t="str">
            <v>USD</v>
          </cell>
          <cell r="F343">
            <v>46.67</v>
          </cell>
        </row>
        <row r="344">
          <cell r="A344" t="str">
            <v>HKD20013</v>
          </cell>
          <cell r="B344" t="str">
            <v>IF</v>
          </cell>
          <cell r="C344">
            <v>2001</v>
          </cell>
          <cell r="D344">
            <v>3</v>
          </cell>
          <cell r="E344" t="str">
            <v>HKD</v>
          </cell>
          <cell r="F344">
            <v>5.98</v>
          </cell>
        </row>
        <row r="345">
          <cell r="A345" t="str">
            <v>YEN20013</v>
          </cell>
          <cell r="B345" t="str">
            <v>IF</v>
          </cell>
          <cell r="C345">
            <v>2001</v>
          </cell>
          <cell r="D345">
            <v>3</v>
          </cell>
          <cell r="E345" t="str">
            <v>YEN</v>
          </cell>
          <cell r="F345">
            <v>0.4</v>
          </cell>
        </row>
        <row r="346">
          <cell r="A346" t="str">
            <v>DM20013</v>
          </cell>
          <cell r="B346" t="str">
            <v>IF</v>
          </cell>
          <cell r="C346">
            <v>2001</v>
          </cell>
          <cell r="D346">
            <v>3</v>
          </cell>
          <cell r="E346" t="str">
            <v>DM</v>
          </cell>
          <cell r="F346">
            <v>22.17</v>
          </cell>
        </row>
        <row r="347">
          <cell r="A347" t="str">
            <v>INR20013</v>
          </cell>
          <cell r="B347" t="str">
            <v>IF</v>
          </cell>
          <cell r="C347">
            <v>2001</v>
          </cell>
          <cell r="D347">
            <v>3</v>
          </cell>
          <cell r="E347" t="str">
            <v>INR</v>
          </cell>
          <cell r="F347">
            <v>1</v>
          </cell>
        </row>
        <row r="348">
          <cell r="A348" t="str">
            <v>SGD20013</v>
          </cell>
          <cell r="B348" t="str">
            <v>IF</v>
          </cell>
          <cell r="C348">
            <v>2001</v>
          </cell>
          <cell r="D348">
            <v>3</v>
          </cell>
          <cell r="E348" t="str">
            <v>SGD</v>
          </cell>
          <cell r="F348">
            <v>26.88</v>
          </cell>
        </row>
        <row r="349">
          <cell r="A349" t="str">
            <v>GBP20013</v>
          </cell>
          <cell r="B349" t="str">
            <v>IF</v>
          </cell>
          <cell r="C349">
            <v>2001</v>
          </cell>
          <cell r="D349">
            <v>3</v>
          </cell>
          <cell r="E349" t="str">
            <v>GBP</v>
          </cell>
          <cell r="F349">
            <v>67.87</v>
          </cell>
        </row>
        <row r="350">
          <cell r="A350" t="str">
            <v>MYR20013</v>
          </cell>
          <cell r="B350" t="str">
            <v>IF</v>
          </cell>
          <cell r="C350">
            <v>2001</v>
          </cell>
          <cell r="D350">
            <v>3</v>
          </cell>
          <cell r="E350" t="str">
            <v>MYR</v>
          </cell>
          <cell r="F350">
            <v>12.09</v>
          </cell>
        </row>
        <row r="351">
          <cell r="A351" t="str">
            <v>CAD20013</v>
          </cell>
          <cell r="B351" t="str">
            <v>IF</v>
          </cell>
          <cell r="C351">
            <v>2001</v>
          </cell>
          <cell r="D351">
            <v>3</v>
          </cell>
          <cell r="E351" t="str">
            <v>CAD</v>
          </cell>
          <cell r="F351">
            <v>30.65</v>
          </cell>
        </row>
        <row r="352">
          <cell r="A352" t="str">
            <v>AUD20013</v>
          </cell>
          <cell r="B352" t="str">
            <v>IF</v>
          </cell>
          <cell r="C352">
            <v>2001</v>
          </cell>
          <cell r="D352">
            <v>3</v>
          </cell>
          <cell r="E352" t="str">
            <v>AUD</v>
          </cell>
          <cell r="F352">
            <v>24.7</v>
          </cell>
        </row>
        <row r="353">
          <cell r="A353" t="str">
            <v>EUR20013</v>
          </cell>
          <cell r="B353" t="str">
            <v>IF</v>
          </cell>
          <cell r="C353">
            <v>2001</v>
          </cell>
          <cell r="D353">
            <v>3</v>
          </cell>
          <cell r="E353" t="str">
            <v>EUR</v>
          </cell>
          <cell r="F353">
            <v>43.36</v>
          </cell>
        </row>
        <row r="354">
          <cell r="A354" t="str">
            <v>SLR20013</v>
          </cell>
          <cell r="B354" t="str">
            <v>IF</v>
          </cell>
          <cell r="C354">
            <v>2001</v>
          </cell>
          <cell r="D354">
            <v>3</v>
          </cell>
          <cell r="E354" t="str">
            <v>SLR</v>
          </cell>
          <cell r="F354">
            <v>0.57799999999999996</v>
          </cell>
        </row>
        <row r="355">
          <cell r="A355" t="str">
            <v>NLG20013</v>
          </cell>
          <cell r="B355" t="str">
            <v>IF</v>
          </cell>
          <cell r="C355">
            <v>2001</v>
          </cell>
          <cell r="D355">
            <v>3</v>
          </cell>
          <cell r="E355" t="str">
            <v>NLG</v>
          </cell>
          <cell r="F355">
            <v>19.670000000000002</v>
          </cell>
        </row>
        <row r="356">
          <cell r="A356" t="str">
            <v>SEK20013</v>
          </cell>
          <cell r="B356" t="str">
            <v>IF</v>
          </cell>
          <cell r="C356">
            <v>2001</v>
          </cell>
          <cell r="D356">
            <v>3</v>
          </cell>
          <cell r="E356" t="str">
            <v>SEK</v>
          </cell>
          <cell r="F356">
            <v>4.8099999999999996</v>
          </cell>
        </row>
        <row r="357">
          <cell r="A357" t="str">
            <v>BHT20013</v>
          </cell>
          <cell r="B357" t="str">
            <v>IF</v>
          </cell>
          <cell r="C357">
            <v>2001</v>
          </cell>
          <cell r="D357">
            <v>3</v>
          </cell>
          <cell r="E357" t="str">
            <v>BHT</v>
          </cell>
          <cell r="F357">
            <v>1.373</v>
          </cell>
        </row>
        <row r="358">
          <cell r="A358" t="str">
            <v>USD20014</v>
          </cell>
          <cell r="B358" t="str">
            <v>IF</v>
          </cell>
          <cell r="C358">
            <v>2001</v>
          </cell>
          <cell r="D358">
            <v>4</v>
          </cell>
          <cell r="E358" t="str">
            <v>USD</v>
          </cell>
          <cell r="F358">
            <v>46.68</v>
          </cell>
        </row>
        <row r="359">
          <cell r="A359" t="str">
            <v>HKD20014</v>
          </cell>
          <cell r="B359" t="str">
            <v>IF</v>
          </cell>
          <cell r="C359">
            <v>2001</v>
          </cell>
          <cell r="D359">
            <v>4</v>
          </cell>
          <cell r="E359" t="str">
            <v>HKD</v>
          </cell>
          <cell r="F359">
            <v>5.99</v>
          </cell>
        </row>
        <row r="360">
          <cell r="A360" t="str">
            <v>YEN20014</v>
          </cell>
          <cell r="B360" t="str">
            <v>IF</v>
          </cell>
          <cell r="C360">
            <v>2001</v>
          </cell>
          <cell r="D360">
            <v>4</v>
          </cell>
          <cell r="E360" t="str">
            <v>YEN</v>
          </cell>
          <cell r="F360">
            <v>0.378</v>
          </cell>
        </row>
        <row r="361">
          <cell r="A361" t="str">
            <v>DM20014</v>
          </cell>
          <cell r="B361" t="str">
            <v>IF</v>
          </cell>
          <cell r="C361">
            <v>2001</v>
          </cell>
          <cell r="D361">
            <v>4</v>
          </cell>
          <cell r="E361" t="str">
            <v>DM</v>
          </cell>
          <cell r="F361">
            <v>21.09</v>
          </cell>
        </row>
        <row r="362">
          <cell r="A362" t="str">
            <v>INR20014</v>
          </cell>
          <cell r="B362" t="str">
            <v>IF</v>
          </cell>
          <cell r="C362">
            <v>2001</v>
          </cell>
          <cell r="D362">
            <v>4</v>
          </cell>
          <cell r="E362" t="str">
            <v>INR</v>
          </cell>
          <cell r="F362">
            <v>1</v>
          </cell>
        </row>
        <row r="363">
          <cell r="A363" t="str">
            <v>SGD20014</v>
          </cell>
          <cell r="B363" t="str">
            <v>IF</v>
          </cell>
          <cell r="C363">
            <v>2001</v>
          </cell>
          <cell r="D363">
            <v>4</v>
          </cell>
          <cell r="E363" t="str">
            <v>SGD</v>
          </cell>
          <cell r="F363">
            <v>26.1</v>
          </cell>
        </row>
        <row r="364">
          <cell r="A364" t="str">
            <v>GBP20014</v>
          </cell>
          <cell r="B364" t="str">
            <v>IF</v>
          </cell>
          <cell r="C364">
            <v>2001</v>
          </cell>
          <cell r="D364">
            <v>4</v>
          </cell>
          <cell r="E364" t="str">
            <v>GBP</v>
          </cell>
          <cell r="F364">
            <v>67.099999999999994</v>
          </cell>
        </row>
        <row r="365">
          <cell r="A365" t="str">
            <v>MYR20014</v>
          </cell>
          <cell r="B365" t="str">
            <v>IF</v>
          </cell>
          <cell r="C365">
            <v>2001</v>
          </cell>
          <cell r="D365">
            <v>4</v>
          </cell>
          <cell r="E365" t="str">
            <v>MYR</v>
          </cell>
          <cell r="F365">
            <v>12.09</v>
          </cell>
        </row>
        <row r="366">
          <cell r="A366" t="str">
            <v>CAD20014</v>
          </cell>
          <cell r="B366" t="str">
            <v>IF</v>
          </cell>
          <cell r="C366">
            <v>2001</v>
          </cell>
          <cell r="D366">
            <v>4</v>
          </cell>
          <cell r="E366" t="str">
            <v>CAD</v>
          </cell>
          <cell r="F366">
            <v>30.01</v>
          </cell>
        </row>
        <row r="367">
          <cell r="A367" t="str">
            <v>AUD20014</v>
          </cell>
          <cell r="B367" t="str">
            <v>IF</v>
          </cell>
          <cell r="C367">
            <v>2001</v>
          </cell>
          <cell r="D367">
            <v>4</v>
          </cell>
          <cell r="E367" t="str">
            <v>AUD</v>
          </cell>
          <cell r="F367">
            <v>23</v>
          </cell>
        </row>
        <row r="368">
          <cell r="A368" t="str">
            <v>EUR20014</v>
          </cell>
          <cell r="B368" t="str">
            <v>IF</v>
          </cell>
          <cell r="C368">
            <v>2001</v>
          </cell>
          <cell r="D368">
            <v>4</v>
          </cell>
          <cell r="E368" t="str">
            <v>EUR</v>
          </cell>
          <cell r="F368">
            <v>41.24</v>
          </cell>
        </row>
        <row r="369">
          <cell r="A369" t="str">
            <v>SLR20014</v>
          </cell>
          <cell r="B369" t="str">
            <v>IF</v>
          </cell>
          <cell r="C369">
            <v>2001</v>
          </cell>
          <cell r="D369">
            <v>4</v>
          </cell>
          <cell r="E369" t="str">
            <v>SLR</v>
          </cell>
          <cell r="F369">
            <v>0.57799999999999996</v>
          </cell>
        </row>
        <row r="370">
          <cell r="A370" t="str">
            <v>NLG20014</v>
          </cell>
          <cell r="B370" t="str">
            <v>IF</v>
          </cell>
          <cell r="C370">
            <v>2001</v>
          </cell>
          <cell r="D370">
            <v>4</v>
          </cell>
          <cell r="E370" t="str">
            <v>NLG</v>
          </cell>
          <cell r="F370">
            <v>18.71</v>
          </cell>
        </row>
        <row r="371">
          <cell r="A371" t="str">
            <v>SEK20014</v>
          </cell>
          <cell r="B371" t="str">
            <v>IF</v>
          </cell>
          <cell r="C371">
            <v>2001</v>
          </cell>
          <cell r="D371">
            <v>4</v>
          </cell>
          <cell r="E371" t="str">
            <v>SEK</v>
          </cell>
          <cell r="F371">
            <v>4.5199999999999996</v>
          </cell>
        </row>
        <row r="372">
          <cell r="A372" t="str">
            <v>BHT20014</v>
          </cell>
          <cell r="B372" t="str">
            <v>IF</v>
          </cell>
          <cell r="C372">
            <v>2001</v>
          </cell>
          <cell r="D372">
            <v>4</v>
          </cell>
          <cell r="E372" t="str">
            <v>BHT</v>
          </cell>
          <cell r="F372">
            <v>1.373</v>
          </cell>
        </row>
        <row r="373">
          <cell r="A373" t="str">
            <v>USD20015</v>
          </cell>
          <cell r="B373" t="str">
            <v>IF</v>
          </cell>
          <cell r="C373">
            <v>2001</v>
          </cell>
          <cell r="D373">
            <v>5</v>
          </cell>
          <cell r="E373" t="str">
            <v>USD</v>
          </cell>
          <cell r="F373">
            <v>46.87</v>
          </cell>
        </row>
        <row r="374">
          <cell r="A374" t="str">
            <v>HKD20015</v>
          </cell>
          <cell r="B374" t="str">
            <v>IF</v>
          </cell>
          <cell r="C374">
            <v>2001</v>
          </cell>
          <cell r="D374">
            <v>5</v>
          </cell>
          <cell r="E374" t="str">
            <v>HKD</v>
          </cell>
          <cell r="F374">
            <v>6.01</v>
          </cell>
        </row>
        <row r="375">
          <cell r="A375" t="str">
            <v>YEN20015</v>
          </cell>
          <cell r="B375" t="str">
            <v>IF</v>
          </cell>
          <cell r="C375">
            <v>2001</v>
          </cell>
          <cell r="D375">
            <v>5</v>
          </cell>
          <cell r="E375" t="str">
            <v>YEN</v>
          </cell>
          <cell r="F375">
            <v>0.38</v>
          </cell>
        </row>
        <row r="376">
          <cell r="A376" t="str">
            <v>DM20015</v>
          </cell>
          <cell r="B376" t="str">
            <v>IF</v>
          </cell>
          <cell r="C376">
            <v>2001</v>
          </cell>
          <cell r="D376">
            <v>5</v>
          </cell>
          <cell r="E376" t="str">
            <v>DM</v>
          </cell>
          <cell r="F376">
            <v>21.49</v>
          </cell>
        </row>
        <row r="377">
          <cell r="A377" t="str">
            <v>INR20015</v>
          </cell>
          <cell r="B377" t="str">
            <v>IF</v>
          </cell>
          <cell r="C377">
            <v>2001</v>
          </cell>
          <cell r="D377">
            <v>5</v>
          </cell>
          <cell r="E377" t="str">
            <v>INR</v>
          </cell>
          <cell r="F377">
            <v>1</v>
          </cell>
        </row>
        <row r="378">
          <cell r="A378" t="str">
            <v>SGD20015</v>
          </cell>
          <cell r="B378" t="str">
            <v>IF</v>
          </cell>
          <cell r="C378">
            <v>2001</v>
          </cell>
          <cell r="D378">
            <v>5</v>
          </cell>
          <cell r="E378" t="str">
            <v>SGD</v>
          </cell>
          <cell r="F378">
            <v>25.94</v>
          </cell>
        </row>
        <row r="379">
          <cell r="A379" t="str">
            <v>GBP20015</v>
          </cell>
          <cell r="B379" t="str">
            <v>IF</v>
          </cell>
          <cell r="C379">
            <v>2001</v>
          </cell>
          <cell r="D379">
            <v>5</v>
          </cell>
          <cell r="E379" t="str">
            <v>GBP</v>
          </cell>
          <cell r="F379">
            <v>67.680000000000007</v>
          </cell>
        </row>
        <row r="380">
          <cell r="A380" t="str">
            <v>MYR20015</v>
          </cell>
          <cell r="B380" t="str">
            <v>IF</v>
          </cell>
          <cell r="C380">
            <v>2001</v>
          </cell>
          <cell r="D380">
            <v>5</v>
          </cell>
          <cell r="E380" t="str">
            <v>MYR</v>
          </cell>
          <cell r="F380">
            <v>12.09</v>
          </cell>
        </row>
        <row r="381">
          <cell r="A381" t="str">
            <v>CAD20015</v>
          </cell>
          <cell r="B381" t="str">
            <v>IF</v>
          </cell>
          <cell r="C381">
            <v>2001</v>
          </cell>
          <cell r="D381">
            <v>5</v>
          </cell>
          <cell r="E381" t="str">
            <v>CAD</v>
          </cell>
          <cell r="F381">
            <v>30.74</v>
          </cell>
        </row>
        <row r="382">
          <cell r="A382" t="str">
            <v>AUD20015</v>
          </cell>
          <cell r="B382" t="str">
            <v>IF</v>
          </cell>
          <cell r="C382">
            <v>2001</v>
          </cell>
          <cell r="D382">
            <v>5</v>
          </cell>
          <cell r="E382" t="str">
            <v>AUD</v>
          </cell>
          <cell r="F382">
            <v>24.01</v>
          </cell>
        </row>
        <row r="383">
          <cell r="A383" t="str">
            <v>EUR20015</v>
          </cell>
          <cell r="B383" t="str">
            <v>IF</v>
          </cell>
          <cell r="C383">
            <v>2001</v>
          </cell>
          <cell r="D383">
            <v>5</v>
          </cell>
          <cell r="E383" t="str">
            <v>EUR</v>
          </cell>
          <cell r="F383">
            <v>42.05</v>
          </cell>
        </row>
        <row r="384">
          <cell r="A384" t="str">
            <v>SLR20015</v>
          </cell>
          <cell r="B384" t="str">
            <v>IF</v>
          </cell>
          <cell r="C384">
            <v>2001</v>
          </cell>
          <cell r="D384">
            <v>5</v>
          </cell>
          <cell r="E384" t="str">
            <v>SLR</v>
          </cell>
          <cell r="F384">
            <v>0.57799999999999996</v>
          </cell>
        </row>
        <row r="385">
          <cell r="A385" t="str">
            <v>NLG20015</v>
          </cell>
          <cell r="B385" t="str">
            <v>IF</v>
          </cell>
          <cell r="C385">
            <v>2001</v>
          </cell>
          <cell r="D385">
            <v>5</v>
          </cell>
          <cell r="E385" t="str">
            <v>NLG</v>
          </cell>
          <cell r="F385">
            <v>19.079999999999998</v>
          </cell>
        </row>
        <row r="386">
          <cell r="A386" t="str">
            <v>SEK20015</v>
          </cell>
          <cell r="B386" t="str">
            <v>IF</v>
          </cell>
          <cell r="C386">
            <v>2001</v>
          </cell>
          <cell r="D386">
            <v>5</v>
          </cell>
          <cell r="E386" t="str">
            <v>SEK</v>
          </cell>
          <cell r="F386">
            <v>4.6399999999999997</v>
          </cell>
        </row>
        <row r="387">
          <cell r="A387" t="str">
            <v>BHT20015</v>
          </cell>
          <cell r="B387" t="str">
            <v>IF</v>
          </cell>
          <cell r="C387">
            <v>2001</v>
          </cell>
          <cell r="D387">
            <v>5</v>
          </cell>
          <cell r="E387" t="str">
            <v>BHT</v>
          </cell>
          <cell r="F387">
            <v>1.373</v>
          </cell>
        </row>
        <row r="388">
          <cell r="A388" t="str">
            <v>USD20016</v>
          </cell>
          <cell r="B388" t="str">
            <v>IF</v>
          </cell>
          <cell r="C388">
            <v>2001</v>
          </cell>
          <cell r="D388">
            <v>6</v>
          </cell>
          <cell r="E388" t="str">
            <v>USD</v>
          </cell>
          <cell r="F388">
            <v>47</v>
          </cell>
        </row>
        <row r="389">
          <cell r="A389" t="str">
            <v>HKD20016</v>
          </cell>
          <cell r="B389" t="str">
            <v>IF</v>
          </cell>
          <cell r="C389">
            <v>2001</v>
          </cell>
          <cell r="D389">
            <v>6</v>
          </cell>
          <cell r="E389" t="str">
            <v>HKD</v>
          </cell>
          <cell r="F389">
            <v>6.0250000000000004</v>
          </cell>
        </row>
        <row r="390">
          <cell r="A390" t="str">
            <v>YEN20016</v>
          </cell>
          <cell r="B390" t="str">
            <v>IF</v>
          </cell>
          <cell r="C390">
            <v>2001</v>
          </cell>
          <cell r="D390">
            <v>6</v>
          </cell>
          <cell r="E390" t="str">
            <v>YEN</v>
          </cell>
          <cell r="F390">
            <v>0.39500000000000002</v>
          </cell>
        </row>
        <row r="391">
          <cell r="A391" t="str">
            <v>DM20016</v>
          </cell>
          <cell r="B391" t="str">
            <v>IF</v>
          </cell>
          <cell r="C391">
            <v>2001</v>
          </cell>
          <cell r="D391">
            <v>6</v>
          </cell>
          <cell r="E391" t="str">
            <v>DM</v>
          </cell>
          <cell r="F391">
            <v>20.323</v>
          </cell>
        </row>
        <row r="392">
          <cell r="A392" t="str">
            <v>INR20016</v>
          </cell>
          <cell r="B392" t="str">
            <v>IF</v>
          </cell>
          <cell r="C392">
            <v>2001</v>
          </cell>
          <cell r="D392">
            <v>6</v>
          </cell>
          <cell r="E392" t="str">
            <v>INR</v>
          </cell>
          <cell r="F392">
            <v>1</v>
          </cell>
        </row>
        <row r="393">
          <cell r="A393" t="str">
            <v>SGD20016</v>
          </cell>
          <cell r="B393" t="str">
            <v>IF</v>
          </cell>
          <cell r="C393">
            <v>2001</v>
          </cell>
          <cell r="D393">
            <v>6</v>
          </cell>
          <cell r="E393" t="str">
            <v>SGD</v>
          </cell>
          <cell r="F393">
            <v>25.971</v>
          </cell>
        </row>
        <row r="394">
          <cell r="A394" t="str">
            <v>GBP20016</v>
          </cell>
          <cell r="B394" t="str">
            <v>IF</v>
          </cell>
          <cell r="C394">
            <v>2001</v>
          </cell>
          <cell r="D394">
            <v>6</v>
          </cell>
          <cell r="E394" t="str">
            <v>GBP</v>
          </cell>
          <cell r="F394">
            <v>66.637</v>
          </cell>
        </row>
        <row r="395">
          <cell r="A395" t="str">
            <v>MYR20016</v>
          </cell>
          <cell r="B395" t="str">
            <v>IF</v>
          </cell>
          <cell r="C395">
            <v>2001</v>
          </cell>
          <cell r="D395">
            <v>6</v>
          </cell>
          <cell r="E395" t="str">
            <v>MYR</v>
          </cell>
          <cell r="F395">
            <v>12.369</v>
          </cell>
        </row>
        <row r="396">
          <cell r="A396" t="str">
            <v>CAD20016</v>
          </cell>
          <cell r="B396" t="str">
            <v>IF</v>
          </cell>
          <cell r="C396">
            <v>2001</v>
          </cell>
          <cell r="D396">
            <v>6</v>
          </cell>
          <cell r="E396" t="str">
            <v>CAD</v>
          </cell>
          <cell r="F396">
            <v>30.404</v>
          </cell>
        </row>
        <row r="397">
          <cell r="A397" t="str">
            <v>AUD20016</v>
          </cell>
          <cell r="B397" t="str">
            <v>IF</v>
          </cell>
          <cell r="C397">
            <v>2001</v>
          </cell>
          <cell r="D397">
            <v>6</v>
          </cell>
          <cell r="E397" t="str">
            <v>AUD</v>
          </cell>
          <cell r="F397">
            <v>23.824999999999999</v>
          </cell>
        </row>
        <row r="398">
          <cell r="A398" t="str">
            <v>EUR20016</v>
          </cell>
          <cell r="B398" t="str">
            <v>IF</v>
          </cell>
          <cell r="C398">
            <v>2001</v>
          </cell>
          <cell r="D398">
            <v>6</v>
          </cell>
          <cell r="E398" t="str">
            <v>EUR</v>
          </cell>
          <cell r="F398">
            <v>39.747999999999998</v>
          </cell>
        </row>
        <row r="399">
          <cell r="A399" t="str">
            <v>SLR20016</v>
          </cell>
          <cell r="B399" t="str">
            <v>IF</v>
          </cell>
          <cell r="C399">
            <v>2001</v>
          </cell>
          <cell r="D399">
            <v>6</v>
          </cell>
          <cell r="E399" t="str">
            <v>SLR</v>
          </cell>
          <cell r="F399">
            <v>0.57799999999999996</v>
          </cell>
        </row>
        <row r="400">
          <cell r="A400" t="str">
            <v>NLG20016</v>
          </cell>
          <cell r="B400" t="str">
            <v>IF</v>
          </cell>
          <cell r="C400">
            <v>2001</v>
          </cell>
          <cell r="D400">
            <v>6</v>
          </cell>
          <cell r="E400" t="str">
            <v>NLG</v>
          </cell>
          <cell r="F400">
            <v>18.036999999999999</v>
          </cell>
        </row>
        <row r="401">
          <cell r="A401" t="str">
            <v>SEK20016</v>
          </cell>
          <cell r="B401" t="str">
            <v>IF</v>
          </cell>
          <cell r="C401">
            <v>2001</v>
          </cell>
          <cell r="D401">
            <v>6</v>
          </cell>
          <cell r="E401" t="str">
            <v>SEK</v>
          </cell>
          <cell r="F401">
            <v>4.3570000000000002</v>
          </cell>
        </row>
        <row r="402">
          <cell r="A402" t="str">
            <v>BHT20016</v>
          </cell>
          <cell r="B402" t="str">
            <v>IF</v>
          </cell>
          <cell r="C402">
            <v>2001</v>
          </cell>
          <cell r="D402">
            <v>6</v>
          </cell>
          <cell r="E402" t="str">
            <v>BHT</v>
          </cell>
          <cell r="F402">
            <v>1.373</v>
          </cell>
        </row>
        <row r="403">
          <cell r="A403" t="str">
            <v>USD20017</v>
          </cell>
          <cell r="B403" t="str">
            <v>IF</v>
          </cell>
          <cell r="C403">
            <v>2001</v>
          </cell>
          <cell r="D403">
            <v>7</v>
          </cell>
          <cell r="E403" t="str">
            <v>USD</v>
          </cell>
          <cell r="F403">
            <v>47.09</v>
          </cell>
        </row>
        <row r="404">
          <cell r="A404" t="str">
            <v>HKD20017</v>
          </cell>
          <cell r="B404" t="str">
            <v>IF</v>
          </cell>
          <cell r="C404">
            <v>2001</v>
          </cell>
          <cell r="D404">
            <v>7</v>
          </cell>
          <cell r="E404" t="str">
            <v>HKD</v>
          </cell>
          <cell r="F404">
            <v>6.04</v>
          </cell>
        </row>
        <row r="405">
          <cell r="A405" t="str">
            <v>YEN20017</v>
          </cell>
          <cell r="B405" t="str">
            <v>IF</v>
          </cell>
          <cell r="C405">
            <v>2001</v>
          </cell>
          <cell r="D405">
            <v>7</v>
          </cell>
          <cell r="E405" t="str">
            <v>YEN</v>
          </cell>
          <cell r="F405">
            <v>0.38300000000000001</v>
          </cell>
        </row>
        <row r="406">
          <cell r="A406" t="str">
            <v>DM20017</v>
          </cell>
          <cell r="B406" t="str">
            <v>IF</v>
          </cell>
          <cell r="C406">
            <v>2001</v>
          </cell>
          <cell r="D406">
            <v>7</v>
          </cell>
          <cell r="E406" t="str">
            <v>DM</v>
          </cell>
          <cell r="F406">
            <v>20.49</v>
          </cell>
        </row>
        <row r="407">
          <cell r="A407" t="str">
            <v>INR20017</v>
          </cell>
          <cell r="B407" t="str">
            <v>IF</v>
          </cell>
          <cell r="C407">
            <v>2001</v>
          </cell>
          <cell r="D407">
            <v>7</v>
          </cell>
          <cell r="E407" t="str">
            <v>INR</v>
          </cell>
          <cell r="F407">
            <v>1</v>
          </cell>
        </row>
        <row r="408">
          <cell r="A408" t="str">
            <v>SGD20017</v>
          </cell>
          <cell r="B408" t="str">
            <v>IF</v>
          </cell>
          <cell r="C408">
            <v>2001</v>
          </cell>
          <cell r="D408">
            <v>7</v>
          </cell>
          <cell r="E408" t="str">
            <v>SGD</v>
          </cell>
          <cell r="F408">
            <v>26.04</v>
          </cell>
        </row>
        <row r="409">
          <cell r="A409" t="str">
            <v>GBP20017</v>
          </cell>
          <cell r="B409" t="str">
            <v>IF</v>
          </cell>
          <cell r="C409">
            <v>2001</v>
          </cell>
          <cell r="D409">
            <v>7</v>
          </cell>
          <cell r="E409" t="str">
            <v>GBP</v>
          </cell>
          <cell r="F409">
            <v>66.760000000000005</v>
          </cell>
        </row>
        <row r="410">
          <cell r="A410" t="str">
            <v>MYR20017</v>
          </cell>
          <cell r="B410" t="str">
            <v>IF</v>
          </cell>
          <cell r="C410">
            <v>2001</v>
          </cell>
          <cell r="D410">
            <v>7</v>
          </cell>
          <cell r="E410" t="str">
            <v>MYR</v>
          </cell>
          <cell r="F410">
            <v>12.369</v>
          </cell>
        </row>
        <row r="411">
          <cell r="A411" t="str">
            <v>CAD20017</v>
          </cell>
          <cell r="B411" t="str">
            <v>IF</v>
          </cell>
          <cell r="C411">
            <v>2001</v>
          </cell>
          <cell r="D411">
            <v>7</v>
          </cell>
          <cell r="E411" t="str">
            <v>CAD</v>
          </cell>
          <cell r="F411">
            <v>31.25</v>
          </cell>
        </row>
        <row r="412">
          <cell r="A412" t="str">
            <v>AUD20017</v>
          </cell>
          <cell r="B412" t="str">
            <v>IF</v>
          </cell>
          <cell r="C412">
            <v>2001</v>
          </cell>
          <cell r="D412">
            <v>7</v>
          </cell>
          <cell r="E412" t="str">
            <v>AUD</v>
          </cell>
          <cell r="F412">
            <v>24.02</v>
          </cell>
        </row>
        <row r="413">
          <cell r="A413" t="str">
            <v>EUR20017</v>
          </cell>
          <cell r="B413" t="str">
            <v>IF</v>
          </cell>
          <cell r="C413">
            <v>2001</v>
          </cell>
          <cell r="D413">
            <v>7</v>
          </cell>
          <cell r="E413" t="str">
            <v>EUR</v>
          </cell>
          <cell r="F413">
            <v>40.08</v>
          </cell>
        </row>
        <row r="414">
          <cell r="A414" t="str">
            <v>SLR20017</v>
          </cell>
          <cell r="B414" t="str">
            <v>IF</v>
          </cell>
          <cell r="C414">
            <v>2001</v>
          </cell>
          <cell r="D414">
            <v>7</v>
          </cell>
          <cell r="E414" t="str">
            <v>SLR</v>
          </cell>
          <cell r="F414">
            <v>0.57799999999999996</v>
          </cell>
        </row>
        <row r="415">
          <cell r="A415" t="str">
            <v>NLG20017</v>
          </cell>
          <cell r="B415" t="str">
            <v>IF</v>
          </cell>
          <cell r="C415">
            <v>2001</v>
          </cell>
          <cell r="D415">
            <v>7</v>
          </cell>
          <cell r="E415" t="str">
            <v>NLG</v>
          </cell>
          <cell r="F415">
            <v>18.18</v>
          </cell>
        </row>
        <row r="416">
          <cell r="A416" t="str">
            <v>SEK20017</v>
          </cell>
          <cell r="B416" t="str">
            <v>IF</v>
          </cell>
          <cell r="C416">
            <v>2001</v>
          </cell>
          <cell r="D416">
            <v>7</v>
          </cell>
          <cell r="E416" t="str">
            <v>SEK</v>
          </cell>
          <cell r="F416">
            <v>4.37</v>
          </cell>
        </row>
        <row r="417">
          <cell r="A417" t="str">
            <v>BHT20017</v>
          </cell>
          <cell r="B417" t="str">
            <v>IF</v>
          </cell>
          <cell r="C417">
            <v>2001</v>
          </cell>
          <cell r="D417">
            <v>7</v>
          </cell>
          <cell r="E417" t="str">
            <v>BHT</v>
          </cell>
          <cell r="F417">
            <v>1.373</v>
          </cell>
        </row>
        <row r="418">
          <cell r="A418" t="str">
            <v>USD20018</v>
          </cell>
          <cell r="B418" t="str">
            <v>IF</v>
          </cell>
          <cell r="C418">
            <v>2001</v>
          </cell>
          <cell r="D418">
            <v>8</v>
          </cell>
          <cell r="E418" t="str">
            <v>USD</v>
          </cell>
          <cell r="F418">
            <v>47.18</v>
          </cell>
        </row>
        <row r="419">
          <cell r="A419" t="str">
            <v>HKD20018</v>
          </cell>
          <cell r="B419" t="str">
            <v>IF</v>
          </cell>
          <cell r="C419">
            <v>2001</v>
          </cell>
          <cell r="D419">
            <v>8</v>
          </cell>
          <cell r="E419" t="str">
            <v>HKD</v>
          </cell>
          <cell r="F419">
            <v>6.06</v>
          </cell>
        </row>
        <row r="420">
          <cell r="A420" t="str">
            <v>YEN20018</v>
          </cell>
          <cell r="B420" t="str">
            <v>IF</v>
          </cell>
          <cell r="C420">
            <v>2001</v>
          </cell>
          <cell r="D420">
            <v>8</v>
          </cell>
          <cell r="E420" t="str">
            <v>YEN</v>
          </cell>
          <cell r="F420">
            <v>0.38</v>
          </cell>
        </row>
        <row r="421">
          <cell r="A421" t="str">
            <v>DM20018</v>
          </cell>
          <cell r="B421" t="str">
            <v>IF</v>
          </cell>
          <cell r="C421">
            <v>2001</v>
          </cell>
          <cell r="D421">
            <v>8</v>
          </cell>
          <cell r="E421" t="str">
            <v>DM</v>
          </cell>
          <cell r="F421">
            <v>21.27</v>
          </cell>
        </row>
        <row r="422">
          <cell r="A422" t="str">
            <v>INR20018</v>
          </cell>
          <cell r="B422" t="str">
            <v>IF</v>
          </cell>
          <cell r="C422">
            <v>2001</v>
          </cell>
          <cell r="D422">
            <v>8</v>
          </cell>
          <cell r="E422" t="str">
            <v>INR</v>
          </cell>
          <cell r="F422">
            <v>1</v>
          </cell>
        </row>
        <row r="423">
          <cell r="A423" t="str">
            <v>SGD20018</v>
          </cell>
          <cell r="B423" t="str">
            <v>IF</v>
          </cell>
          <cell r="C423">
            <v>2001</v>
          </cell>
          <cell r="D423">
            <v>8</v>
          </cell>
          <cell r="E423" t="str">
            <v>SGD</v>
          </cell>
          <cell r="F423">
            <v>26.38</v>
          </cell>
        </row>
        <row r="424">
          <cell r="A424" t="str">
            <v>GBP20018</v>
          </cell>
          <cell r="B424" t="str">
            <v>IF</v>
          </cell>
          <cell r="C424">
            <v>2001</v>
          </cell>
          <cell r="D424">
            <v>8</v>
          </cell>
          <cell r="E424" t="str">
            <v>GBP</v>
          </cell>
          <cell r="F424">
            <v>67.88</v>
          </cell>
        </row>
        <row r="425">
          <cell r="A425" t="str">
            <v>MYR20018</v>
          </cell>
          <cell r="B425" t="str">
            <v>IF</v>
          </cell>
          <cell r="C425">
            <v>2001</v>
          </cell>
          <cell r="D425">
            <v>8</v>
          </cell>
          <cell r="E425" t="str">
            <v>MYR</v>
          </cell>
          <cell r="F425">
            <v>13.37</v>
          </cell>
        </row>
        <row r="426">
          <cell r="A426" t="str">
            <v>CAD20018</v>
          </cell>
          <cell r="B426" t="str">
            <v>IF</v>
          </cell>
          <cell r="C426">
            <v>2001</v>
          </cell>
          <cell r="D426">
            <v>8</v>
          </cell>
          <cell r="E426" t="str">
            <v>CAD</v>
          </cell>
          <cell r="F426">
            <v>31.25</v>
          </cell>
        </row>
        <row r="427">
          <cell r="A427" t="str">
            <v>AUD20018</v>
          </cell>
          <cell r="B427" t="str">
            <v>IF</v>
          </cell>
          <cell r="C427">
            <v>2001</v>
          </cell>
          <cell r="D427">
            <v>8</v>
          </cell>
          <cell r="E427" t="str">
            <v>AUD</v>
          </cell>
          <cell r="F427">
            <v>23.98</v>
          </cell>
        </row>
        <row r="428">
          <cell r="A428" t="str">
            <v>EUR20018</v>
          </cell>
          <cell r="B428" t="str">
            <v>IF</v>
          </cell>
          <cell r="C428">
            <v>2001</v>
          </cell>
          <cell r="D428">
            <v>8</v>
          </cell>
          <cell r="E428" t="str">
            <v>EUR</v>
          </cell>
          <cell r="F428">
            <v>41.62</v>
          </cell>
        </row>
        <row r="429">
          <cell r="A429" t="str">
            <v>SLR20018</v>
          </cell>
          <cell r="B429" t="str">
            <v>IF</v>
          </cell>
          <cell r="C429">
            <v>2001</v>
          </cell>
          <cell r="D429">
            <v>8</v>
          </cell>
          <cell r="E429" t="str">
            <v>SLR</v>
          </cell>
          <cell r="F429">
            <v>0.57999999999999996</v>
          </cell>
        </row>
        <row r="430">
          <cell r="A430" t="str">
            <v>NLG20018</v>
          </cell>
          <cell r="B430" t="str">
            <v>IF</v>
          </cell>
          <cell r="C430">
            <v>2001</v>
          </cell>
          <cell r="D430">
            <v>8</v>
          </cell>
          <cell r="E430" t="str">
            <v>NLG</v>
          </cell>
          <cell r="F430">
            <v>18.89</v>
          </cell>
        </row>
        <row r="431">
          <cell r="A431" t="str">
            <v>SEK20018</v>
          </cell>
          <cell r="B431" t="str">
            <v>IF</v>
          </cell>
          <cell r="C431">
            <v>2001</v>
          </cell>
          <cell r="D431">
            <v>8</v>
          </cell>
          <cell r="E431" t="str">
            <v>SEK</v>
          </cell>
          <cell r="F431">
            <v>4.5199999999999996</v>
          </cell>
        </row>
        <row r="432">
          <cell r="A432" t="str">
            <v>BHT20018</v>
          </cell>
          <cell r="B432" t="str">
            <v>IF</v>
          </cell>
          <cell r="C432">
            <v>2001</v>
          </cell>
          <cell r="D432">
            <v>8</v>
          </cell>
          <cell r="E432" t="str">
            <v>BHT</v>
          </cell>
          <cell r="F432">
            <v>1.37</v>
          </cell>
        </row>
        <row r="433">
          <cell r="A433" t="str">
            <v>USD20019</v>
          </cell>
          <cell r="B433" t="str">
            <v>IF</v>
          </cell>
          <cell r="C433">
            <v>2001</v>
          </cell>
          <cell r="D433">
            <v>9</v>
          </cell>
          <cell r="E433" t="str">
            <v>USD</v>
          </cell>
          <cell r="F433">
            <v>47.18</v>
          </cell>
        </row>
        <row r="434">
          <cell r="A434" t="str">
            <v>HKD20019</v>
          </cell>
          <cell r="B434" t="str">
            <v>IF</v>
          </cell>
          <cell r="C434">
            <v>2001</v>
          </cell>
          <cell r="D434">
            <v>9</v>
          </cell>
          <cell r="E434" t="str">
            <v>HKD</v>
          </cell>
          <cell r="F434">
            <v>6.06</v>
          </cell>
        </row>
        <row r="435">
          <cell r="A435" t="str">
            <v>YEN20019</v>
          </cell>
          <cell r="B435" t="str">
            <v>IF</v>
          </cell>
          <cell r="C435">
            <v>2001</v>
          </cell>
          <cell r="D435">
            <v>9</v>
          </cell>
          <cell r="E435" t="str">
            <v>YEN</v>
          </cell>
          <cell r="F435">
            <v>0.4</v>
          </cell>
        </row>
        <row r="436">
          <cell r="A436" t="str">
            <v>DM20019</v>
          </cell>
          <cell r="B436" t="str">
            <v>IF</v>
          </cell>
          <cell r="C436">
            <v>2001</v>
          </cell>
          <cell r="D436">
            <v>9</v>
          </cell>
          <cell r="E436" t="str">
            <v>DM</v>
          </cell>
          <cell r="F436">
            <v>22.29</v>
          </cell>
        </row>
        <row r="437">
          <cell r="A437" t="str">
            <v>INR20019</v>
          </cell>
          <cell r="B437" t="str">
            <v>IF</v>
          </cell>
          <cell r="C437">
            <v>2001</v>
          </cell>
          <cell r="D437">
            <v>9</v>
          </cell>
          <cell r="E437" t="str">
            <v>INR</v>
          </cell>
          <cell r="F437">
            <v>1</v>
          </cell>
        </row>
        <row r="438">
          <cell r="A438" t="str">
            <v>SGD20019</v>
          </cell>
          <cell r="B438" t="str">
            <v>IF</v>
          </cell>
          <cell r="C438">
            <v>2001</v>
          </cell>
          <cell r="D438">
            <v>9</v>
          </cell>
          <cell r="E438" t="str">
            <v>SGD</v>
          </cell>
          <cell r="F438">
            <v>27.32</v>
          </cell>
        </row>
        <row r="439">
          <cell r="A439" t="str">
            <v>GBP20019</v>
          </cell>
          <cell r="B439" t="str">
            <v>IF</v>
          </cell>
          <cell r="C439">
            <v>2001</v>
          </cell>
          <cell r="D439">
            <v>9</v>
          </cell>
          <cell r="E439" t="str">
            <v>GBP</v>
          </cell>
          <cell r="F439">
            <v>69.3</v>
          </cell>
        </row>
        <row r="440">
          <cell r="A440" t="str">
            <v>MYR20019</v>
          </cell>
          <cell r="B440" t="str">
            <v>IF</v>
          </cell>
          <cell r="C440">
            <v>2001</v>
          </cell>
          <cell r="D440">
            <v>9</v>
          </cell>
          <cell r="E440" t="str">
            <v>MYR</v>
          </cell>
          <cell r="F440">
            <v>13.37</v>
          </cell>
        </row>
        <row r="441">
          <cell r="A441" t="str">
            <v>CAD20019</v>
          </cell>
          <cell r="B441" t="str">
            <v>IF</v>
          </cell>
          <cell r="C441">
            <v>2001</v>
          </cell>
          <cell r="D441">
            <v>9</v>
          </cell>
          <cell r="E441" t="str">
            <v>CAD</v>
          </cell>
          <cell r="F441">
            <v>30.86</v>
          </cell>
        </row>
        <row r="442">
          <cell r="A442" t="str">
            <v>AUD20019</v>
          </cell>
          <cell r="B442" t="str">
            <v>IF</v>
          </cell>
          <cell r="C442">
            <v>2001</v>
          </cell>
          <cell r="D442">
            <v>9</v>
          </cell>
          <cell r="E442" t="str">
            <v>AUD</v>
          </cell>
          <cell r="F442">
            <v>25.36</v>
          </cell>
        </row>
        <row r="443">
          <cell r="A443" t="str">
            <v>EUR20019</v>
          </cell>
          <cell r="B443" t="str">
            <v>IF</v>
          </cell>
          <cell r="C443">
            <v>2001</v>
          </cell>
          <cell r="D443">
            <v>9</v>
          </cell>
          <cell r="E443" t="str">
            <v>EUR</v>
          </cell>
          <cell r="F443">
            <v>43.61</v>
          </cell>
        </row>
        <row r="444">
          <cell r="A444" t="str">
            <v>SLR20019</v>
          </cell>
          <cell r="B444" t="str">
            <v>IF</v>
          </cell>
          <cell r="C444">
            <v>2001</v>
          </cell>
          <cell r="D444">
            <v>9</v>
          </cell>
          <cell r="E444" t="str">
            <v>SLR</v>
          </cell>
          <cell r="F444">
            <v>0.57999999999999996</v>
          </cell>
        </row>
        <row r="445">
          <cell r="A445" t="str">
            <v>NLG20019</v>
          </cell>
          <cell r="B445" t="str">
            <v>IF</v>
          </cell>
          <cell r="C445">
            <v>2001</v>
          </cell>
          <cell r="D445">
            <v>9</v>
          </cell>
          <cell r="E445" t="str">
            <v>NLG</v>
          </cell>
          <cell r="F445">
            <v>19.79</v>
          </cell>
        </row>
        <row r="446">
          <cell r="A446" t="str">
            <v>SEK20019</v>
          </cell>
          <cell r="B446" t="str">
            <v>IF</v>
          </cell>
          <cell r="C446">
            <v>2001</v>
          </cell>
          <cell r="D446">
            <v>9</v>
          </cell>
          <cell r="E446" t="str">
            <v>SEK</v>
          </cell>
          <cell r="F446">
            <v>4.5999999999999996</v>
          </cell>
        </row>
        <row r="447">
          <cell r="A447" t="str">
            <v>BHT20019</v>
          </cell>
          <cell r="B447" t="str">
            <v>IF</v>
          </cell>
          <cell r="C447">
            <v>2001</v>
          </cell>
          <cell r="D447">
            <v>9</v>
          </cell>
          <cell r="E447" t="str">
            <v>BHT</v>
          </cell>
          <cell r="F447">
            <v>1.37</v>
          </cell>
        </row>
        <row r="448">
          <cell r="A448" t="str">
            <v>USD200110</v>
          </cell>
          <cell r="B448" t="str">
            <v>IF</v>
          </cell>
          <cell r="C448">
            <v>2001</v>
          </cell>
          <cell r="D448">
            <v>10</v>
          </cell>
          <cell r="E448" t="str">
            <v>USD</v>
          </cell>
          <cell r="F448">
            <v>47.9</v>
          </cell>
        </row>
        <row r="449">
          <cell r="A449" t="str">
            <v>HKD200110</v>
          </cell>
          <cell r="B449" t="str">
            <v>IF</v>
          </cell>
          <cell r="C449">
            <v>2001</v>
          </cell>
          <cell r="D449">
            <v>10</v>
          </cell>
          <cell r="E449" t="str">
            <v>HKD</v>
          </cell>
          <cell r="F449">
            <v>6.15</v>
          </cell>
        </row>
        <row r="450">
          <cell r="A450" t="str">
            <v>YEN200110</v>
          </cell>
          <cell r="B450" t="str">
            <v>IF</v>
          </cell>
          <cell r="C450">
            <v>2001</v>
          </cell>
          <cell r="D450">
            <v>10</v>
          </cell>
          <cell r="E450" t="str">
            <v>YEN</v>
          </cell>
          <cell r="F450">
            <v>0.4</v>
          </cell>
        </row>
        <row r="451">
          <cell r="A451" t="str">
            <v>DM200110</v>
          </cell>
          <cell r="B451" t="str">
            <v>IF</v>
          </cell>
          <cell r="C451">
            <v>2001</v>
          </cell>
          <cell r="D451">
            <v>10</v>
          </cell>
          <cell r="E451" t="str">
            <v>DM</v>
          </cell>
          <cell r="F451">
            <v>22.56</v>
          </cell>
        </row>
        <row r="452">
          <cell r="A452" t="str">
            <v>INR200110</v>
          </cell>
          <cell r="B452" t="str">
            <v>IF</v>
          </cell>
          <cell r="C452">
            <v>2001</v>
          </cell>
          <cell r="D452">
            <v>10</v>
          </cell>
          <cell r="E452" t="str">
            <v>INR</v>
          </cell>
          <cell r="F452">
            <v>1</v>
          </cell>
        </row>
        <row r="453">
          <cell r="A453" t="str">
            <v>SGD200110</v>
          </cell>
          <cell r="B453" t="str">
            <v>IF</v>
          </cell>
          <cell r="C453">
            <v>2001</v>
          </cell>
          <cell r="D453">
            <v>10</v>
          </cell>
          <cell r="E453" t="str">
            <v>SGD</v>
          </cell>
          <cell r="F453">
            <v>27.32</v>
          </cell>
        </row>
        <row r="454">
          <cell r="A454" t="str">
            <v>GBP200110</v>
          </cell>
          <cell r="B454" t="str">
            <v>IF</v>
          </cell>
          <cell r="C454">
            <v>2001</v>
          </cell>
          <cell r="D454">
            <v>10</v>
          </cell>
          <cell r="E454" t="str">
            <v>GBP</v>
          </cell>
          <cell r="F454">
            <v>70.98</v>
          </cell>
        </row>
        <row r="455">
          <cell r="A455" t="str">
            <v>MYR200110</v>
          </cell>
          <cell r="B455" t="str">
            <v>IF</v>
          </cell>
          <cell r="C455">
            <v>2001</v>
          </cell>
          <cell r="D455">
            <v>10</v>
          </cell>
          <cell r="E455" t="str">
            <v>MYR</v>
          </cell>
          <cell r="F455">
            <v>13.37</v>
          </cell>
        </row>
        <row r="456">
          <cell r="A456" t="str">
            <v>CAD200110</v>
          </cell>
          <cell r="B456" t="str">
            <v>IF</v>
          </cell>
          <cell r="C456">
            <v>2001</v>
          </cell>
          <cell r="D456">
            <v>10</v>
          </cell>
          <cell r="E456" t="str">
            <v>CAD</v>
          </cell>
          <cell r="F456">
            <v>30.68</v>
          </cell>
        </row>
        <row r="457">
          <cell r="A457" t="str">
            <v>AUD200110</v>
          </cell>
          <cell r="B457" t="str">
            <v>IF</v>
          </cell>
          <cell r="C457">
            <v>2001</v>
          </cell>
          <cell r="D457">
            <v>10</v>
          </cell>
          <cell r="E457" t="str">
            <v>AUD</v>
          </cell>
          <cell r="F457">
            <v>23.6</v>
          </cell>
        </row>
        <row r="458">
          <cell r="A458" t="str">
            <v>EUR200110</v>
          </cell>
          <cell r="B458" t="str">
            <v>IF</v>
          </cell>
          <cell r="C458">
            <v>2001</v>
          </cell>
          <cell r="D458">
            <v>10</v>
          </cell>
          <cell r="E458" t="str">
            <v>EUR</v>
          </cell>
          <cell r="F458">
            <v>44.12</v>
          </cell>
        </row>
        <row r="459">
          <cell r="A459" t="str">
            <v>SLR200110</v>
          </cell>
          <cell r="B459" t="str">
            <v>IF</v>
          </cell>
          <cell r="C459">
            <v>2001</v>
          </cell>
          <cell r="D459">
            <v>10</v>
          </cell>
          <cell r="E459" t="str">
            <v>SLR</v>
          </cell>
          <cell r="F459">
            <v>0.57999999999999996</v>
          </cell>
        </row>
        <row r="460">
          <cell r="A460" t="str">
            <v>NLG200110</v>
          </cell>
          <cell r="B460" t="str">
            <v>IF</v>
          </cell>
          <cell r="C460">
            <v>2001</v>
          </cell>
          <cell r="D460">
            <v>10</v>
          </cell>
          <cell r="E460" t="str">
            <v>NLG</v>
          </cell>
          <cell r="F460">
            <v>20.02</v>
          </cell>
        </row>
        <row r="461">
          <cell r="A461" t="str">
            <v>SEK200110</v>
          </cell>
          <cell r="B461" t="str">
            <v>IF</v>
          </cell>
          <cell r="C461">
            <v>2001</v>
          </cell>
          <cell r="D461">
            <v>10</v>
          </cell>
          <cell r="E461" t="str">
            <v>SEK</v>
          </cell>
          <cell r="F461">
            <v>4.51</v>
          </cell>
        </row>
        <row r="462">
          <cell r="A462" t="str">
            <v>BHT200110</v>
          </cell>
          <cell r="B462" t="str">
            <v>IF</v>
          </cell>
          <cell r="C462">
            <v>2001</v>
          </cell>
          <cell r="D462">
            <v>10</v>
          </cell>
          <cell r="E462" t="str">
            <v>BHT</v>
          </cell>
          <cell r="F462">
            <v>1.37</v>
          </cell>
        </row>
        <row r="463">
          <cell r="A463" t="str">
            <v>USD200111</v>
          </cell>
          <cell r="B463" t="str">
            <v>IF</v>
          </cell>
          <cell r="C463">
            <v>2001</v>
          </cell>
          <cell r="D463">
            <v>11</v>
          </cell>
          <cell r="E463" t="str">
            <v>USD</v>
          </cell>
          <cell r="F463">
            <v>48.02</v>
          </cell>
        </row>
        <row r="464">
          <cell r="A464" t="str">
            <v>HKD200111</v>
          </cell>
          <cell r="B464" t="str">
            <v>IF</v>
          </cell>
          <cell r="C464">
            <v>2001</v>
          </cell>
          <cell r="D464">
            <v>11</v>
          </cell>
          <cell r="E464" t="str">
            <v>HKD</v>
          </cell>
          <cell r="F464">
            <v>6.17</v>
          </cell>
        </row>
        <row r="465">
          <cell r="A465" t="str">
            <v>YEN200111</v>
          </cell>
          <cell r="B465" t="str">
            <v>IF</v>
          </cell>
          <cell r="C465">
            <v>2001</v>
          </cell>
          <cell r="D465">
            <v>11</v>
          </cell>
          <cell r="E465" t="str">
            <v>YEN</v>
          </cell>
          <cell r="F465">
            <v>0.4</v>
          </cell>
        </row>
        <row r="466">
          <cell r="A466" t="str">
            <v>DM200111</v>
          </cell>
          <cell r="B466" t="str">
            <v>IF</v>
          </cell>
          <cell r="C466">
            <v>2001</v>
          </cell>
          <cell r="D466">
            <v>11</v>
          </cell>
          <cell r="E466" t="str">
            <v>DM</v>
          </cell>
          <cell r="F466">
            <v>22.4</v>
          </cell>
        </row>
        <row r="467">
          <cell r="A467" t="str">
            <v>INR200111</v>
          </cell>
          <cell r="B467" t="str">
            <v>IF</v>
          </cell>
          <cell r="C467">
            <v>2001</v>
          </cell>
          <cell r="D467">
            <v>11</v>
          </cell>
          <cell r="E467" t="str">
            <v>INR</v>
          </cell>
          <cell r="F467">
            <v>1</v>
          </cell>
        </row>
        <row r="468">
          <cell r="A468" t="str">
            <v>SGD200111</v>
          </cell>
          <cell r="B468" t="str">
            <v>IF</v>
          </cell>
          <cell r="C468">
            <v>2001</v>
          </cell>
          <cell r="D468">
            <v>11</v>
          </cell>
          <cell r="E468" t="str">
            <v>SGD</v>
          </cell>
          <cell r="F468">
            <v>26.51</v>
          </cell>
        </row>
        <row r="469">
          <cell r="A469" t="str">
            <v>GBP200111</v>
          </cell>
          <cell r="B469" t="str">
            <v>IF</v>
          </cell>
          <cell r="C469">
            <v>2001</v>
          </cell>
          <cell r="D469">
            <v>11</v>
          </cell>
          <cell r="E469" t="str">
            <v>GBP</v>
          </cell>
          <cell r="F469">
            <v>70.239999999999995</v>
          </cell>
        </row>
        <row r="470">
          <cell r="A470" t="str">
            <v>MYR200111</v>
          </cell>
          <cell r="B470" t="str">
            <v>IF</v>
          </cell>
          <cell r="C470">
            <v>2001</v>
          </cell>
          <cell r="D470">
            <v>11</v>
          </cell>
          <cell r="E470" t="str">
            <v>MYR</v>
          </cell>
          <cell r="F470">
            <v>13.37</v>
          </cell>
        </row>
        <row r="471">
          <cell r="A471" t="str">
            <v>CAD200111</v>
          </cell>
          <cell r="B471" t="str">
            <v>IF</v>
          </cell>
          <cell r="C471">
            <v>2001</v>
          </cell>
          <cell r="D471">
            <v>11</v>
          </cell>
          <cell r="E471" t="str">
            <v>CAD</v>
          </cell>
          <cell r="F471">
            <v>30.76</v>
          </cell>
        </row>
        <row r="472">
          <cell r="A472" t="str">
            <v>AUD200111</v>
          </cell>
          <cell r="B472" t="str">
            <v>IF</v>
          </cell>
          <cell r="C472">
            <v>2001</v>
          </cell>
          <cell r="D472">
            <v>11</v>
          </cell>
          <cell r="E472" t="str">
            <v>AUD</v>
          </cell>
          <cell r="F472">
            <v>24.38</v>
          </cell>
        </row>
        <row r="473">
          <cell r="A473" t="str">
            <v>EUR200111</v>
          </cell>
          <cell r="B473" t="str">
            <v>IF</v>
          </cell>
          <cell r="C473">
            <v>2001</v>
          </cell>
          <cell r="D473">
            <v>11</v>
          </cell>
          <cell r="E473" t="str">
            <v>EUR</v>
          </cell>
          <cell r="F473">
            <v>43.83</v>
          </cell>
        </row>
        <row r="474">
          <cell r="A474" t="str">
            <v>SLR200111</v>
          </cell>
          <cell r="B474" t="str">
            <v>IF</v>
          </cell>
          <cell r="C474">
            <v>2001</v>
          </cell>
          <cell r="D474">
            <v>11</v>
          </cell>
          <cell r="E474" t="str">
            <v>SLR</v>
          </cell>
          <cell r="F474">
            <v>0.57999999999999996</v>
          </cell>
        </row>
        <row r="475">
          <cell r="A475" t="str">
            <v>NLG200111</v>
          </cell>
          <cell r="B475" t="str">
            <v>IF</v>
          </cell>
          <cell r="C475">
            <v>2001</v>
          </cell>
          <cell r="D475">
            <v>11</v>
          </cell>
          <cell r="E475" t="str">
            <v>NLG</v>
          </cell>
          <cell r="F475">
            <v>19.89</v>
          </cell>
        </row>
        <row r="476">
          <cell r="A476" t="str">
            <v>SEK200111</v>
          </cell>
          <cell r="B476" t="str">
            <v>IF</v>
          </cell>
          <cell r="C476">
            <v>2001</v>
          </cell>
          <cell r="D476">
            <v>11</v>
          </cell>
          <cell r="E476" t="str">
            <v>SEK</v>
          </cell>
          <cell r="F476">
            <v>4.58</v>
          </cell>
        </row>
        <row r="477">
          <cell r="A477" t="str">
            <v>BHT200111</v>
          </cell>
          <cell r="B477" t="str">
            <v>IF</v>
          </cell>
          <cell r="C477">
            <v>2001</v>
          </cell>
          <cell r="D477">
            <v>11</v>
          </cell>
          <cell r="E477" t="str">
            <v>BHT</v>
          </cell>
          <cell r="F477">
            <v>1.37</v>
          </cell>
        </row>
        <row r="478">
          <cell r="A478" t="str">
            <v>USD200112</v>
          </cell>
          <cell r="B478" t="str">
            <v>IF</v>
          </cell>
          <cell r="C478">
            <v>2001</v>
          </cell>
          <cell r="D478">
            <v>12</v>
          </cell>
          <cell r="E478" t="str">
            <v>USD</v>
          </cell>
          <cell r="F478">
            <v>47.96</v>
          </cell>
        </row>
        <row r="479">
          <cell r="A479" t="str">
            <v>HKD200112</v>
          </cell>
          <cell r="B479" t="str">
            <v>IF</v>
          </cell>
          <cell r="C479">
            <v>2001</v>
          </cell>
          <cell r="D479">
            <v>12</v>
          </cell>
          <cell r="E479" t="str">
            <v>HKD</v>
          </cell>
          <cell r="F479">
            <v>6.17</v>
          </cell>
        </row>
        <row r="480">
          <cell r="A480" t="str">
            <v>YEN200112</v>
          </cell>
          <cell r="B480" t="str">
            <v>IF</v>
          </cell>
          <cell r="C480">
            <v>2001</v>
          </cell>
          <cell r="D480">
            <v>12</v>
          </cell>
          <cell r="E480" t="str">
            <v>YEN</v>
          </cell>
          <cell r="F480">
            <v>0.4</v>
          </cell>
        </row>
        <row r="481">
          <cell r="A481" t="str">
            <v>DM200112</v>
          </cell>
          <cell r="B481" t="str">
            <v>IF</v>
          </cell>
          <cell r="C481">
            <v>2001</v>
          </cell>
          <cell r="D481">
            <v>12</v>
          </cell>
          <cell r="E481" t="str">
            <v>DM</v>
          </cell>
          <cell r="F481">
            <v>21.9</v>
          </cell>
        </row>
        <row r="482">
          <cell r="A482" t="str">
            <v>INR200112</v>
          </cell>
          <cell r="B482" t="str">
            <v>IF</v>
          </cell>
          <cell r="C482">
            <v>2001</v>
          </cell>
          <cell r="D482">
            <v>12</v>
          </cell>
          <cell r="E482" t="str">
            <v>INR</v>
          </cell>
          <cell r="F482">
            <v>1</v>
          </cell>
        </row>
        <row r="483">
          <cell r="A483" t="str">
            <v>SGD200112</v>
          </cell>
          <cell r="B483" t="str">
            <v>IF</v>
          </cell>
          <cell r="C483">
            <v>2001</v>
          </cell>
          <cell r="D483">
            <v>12</v>
          </cell>
          <cell r="E483" t="str">
            <v>SGD</v>
          </cell>
          <cell r="F483">
            <v>26.38</v>
          </cell>
        </row>
        <row r="484">
          <cell r="A484" t="str">
            <v>GBP200112</v>
          </cell>
          <cell r="B484" t="str">
            <v>IF</v>
          </cell>
          <cell r="C484">
            <v>2001</v>
          </cell>
          <cell r="D484">
            <v>12</v>
          </cell>
          <cell r="E484" t="str">
            <v>GBP</v>
          </cell>
          <cell r="F484">
            <v>68.77</v>
          </cell>
        </row>
        <row r="485">
          <cell r="A485" t="str">
            <v>MYR200112</v>
          </cell>
          <cell r="B485" t="str">
            <v>IF</v>
          </cell>
          <cell r="C485">
            <v>2001</v>
          </cell>
          <cell r="D485">
            <v>12</v>
          </cell>
          <cell r="E485" t="str">
            <v>MYR</v>
          </cell>
          <cell r="F485">
            <v>13.37</v>
          </cell>
        </row>
        <row r="486">
          <cell r="A486" t="str">
            <v>CAD200112</v>
          </cell>
          <cell r="B486" t="str">
            <v>IF</v>
          </cell>
          <cell r="C486">
            <v>2001</v>
          </cell>
          <cell r="D486">
            <v>12</v>
          </cell>
          <cell r="E486" t="str">
            <v>CAD</v>
          </cell>
          <cell r="F486">
            <v>30.76</v>
          </cell>
        </row>
        <row r="487">
          <cell r="A487" t="str">
            <v>AUD200112</v>
          </cell>
          <cell r="B487" t="str">
            <v>IF</v>
          </cell>
          <cell r="C487">
            <v>2001</v>
          </cell>
          <cell r="D487">
            <v>12</v>
          </cell>
          <cell r="E487" t="str">
            <v>AUD</v>
          </cell>
          <cell r="F487">
            <v>24.38</v>
          </cell>
        </row>
        <row r="488">
          <cell r="A488" t="str">
            <v>EUR200112</v>
          </cell>
          <cell r="B488" t="str">
            <v>IF</v>
          </cell>
          <cell r="C488">
            <v>2001</v>
          </cell>
          <cell r="D488">
            <v>12</v>
          </cell>
          <cell r="E488" t="str">
            <v>EUR</v>
          </cell>
          <cell r="F488">
            <v>42.85</v>
          </cell>
        </row>
        <row r="489">
          <cell r="A489" t="str">
            <v>SLR200112</v>
          </cell>
          <cell r="B489" t="str">
            <v>IF</v>
          </cell>
          <cell r="C489">
            <v>2001</v>
          </cell>
          <cell r="D489">
            <v>12</v>
          </cell>
          <cell r="E489" t="str">
            <v>SLR</v>
          </cell>
          <cell r="F489">
            <v>0.57999999999999996</v>
          </cell>
        </row>
        <row r="490">
          <cell r="A490" t="str">
            <v>NLG200112</v>
          </cell>
          <cell r="B490" t="str">
            <v>IF</v>
          </cell>
          <cell r="C490">
            <v>2001</v>
          </cell>
          <cell r="D490">
            <v>12</v>
          </cell>
          <cell r="E490" t="str">
            <v>NLG</v>
          </cell>
          <cell r="F490">
            <v>19.89</v>
          </cell>
        </row>
        <row r="491">
          <cell r="A491" t="str">
            <v>SEK200112</v>
          </cell>
          <cell r="B491" t="str">
            <v>IF</v>
          </cell>
          <cell r="C491">
            <v>2001</v>
          </cell>
          <cell r="D491">
            <v>12</v>
          </cell>
          <cell r="E491" t="str">
            <v>SEK</v>
          </cell>
          <cell r="F491">
            <v>4.54</v>
          </cell>
        </row>
        <row r="492">
          <cell r="A492" t="str">
            <v>BHT200112</v>
          </cell>
          <cell r="B492" t="str">
            <v>IF</v>
          </cell>
          <cell r="C492">
            <v>2001</v>
          </cell>
          <cell r="D492">
            <v>12</v>
          </cell>
          <cell r="E492" t="str">
            <v>BHT</v>
          </cell>
          <cell r="F492">
            <v>1.37</v>
          </cell>
        </row>
        <row r="493">
          <cell r="A493" t="str">
            <v>USD20021</v>
          </cell>
          <cell r="B493" t="str">
            <v>IF</v>
          </cell>
          <cell r="C493">
            <v>2002</v>
          </cell>
          <cell r="D493">
            <v>1</v>
          </cell>
          <cell r="E493" t="str">
            <v>USD</v>
          </cell>
          <cell r="F493">
            <v>48.17</v>
          </cell>
        </row>
        <row r="494">
          <cell r="A494" t="str">
            <v>HKD20021</v>
          </cell>
          <cell r="B494" t="str">
            <v>IF</v>
          </cell>
          <cell r="C494">
            <v>2002</v>
          </cell>
          <cell r="D494">
            <v>1</v>
          </cell>
          <cell r="E494" t="str">
            <v>HKD</v>
          </cell>
          <cell r="F494">
            <v>6.18</v>
          </cell>
        </row>
        <row r="495">
          <cell r="A495" t="str">
            <v>YEN20021</v>
          </cell>
          <cell r="B495" t="str">
            <v>IF</v>
          </cell>
          <cell r="C495">
            <v>2002</v>
          </cell>
          <cell r="D495">
            <v>1</v>
          </cell>
          <cell r="E495" t="str">
            <v>YEN</v>
          </cell>
          <cell r="F495">
            <v>0.37</v>
          </cell>
        </row>
        <row r="496">
          <cell r="A496" t="str">
            <v>DM20021</v>
          </cell>
          <cell r="B496" t="str">
            <v>IF</v>
          </cell>
          <cell r="C496">
            <v>2002</v>
          </cell>
          <cell r="D496">
            <v>1</v>
          </cell>
          <cell r="E496" t="str">
            <v>DM</v>
          </cell>
          <cell r="F496">
            <v>21.9</v>
          </cell>
        </row>
        <row r="497">
          <cell r="A497" t="str">
            <v>INR20021</v>
          </cell>
          <cell r="B497" t="str">
            <v>IF</v>
          </cell>
          <cell r="C497">
            <v>2002</v>
          </cell>
          <cell r="D497">
            <v>1</v>
          </cell>
          <cell r="E497" t="str">
            <v>INR</v>
          </cell>
          <cell r="F497">
            <v>1</v>
          </cell>
        </row>
        <row r="498">
          <cell r="A498" t="str">
            <v>SGD20021</v>
          </cell>
          <cell r="B498" t="str">
            <v>IF</v>
          </cell>
          <cell r="C498">
            <v>2002</v>
          </cell>
          <cell r="D498">
            <v>1</v>
          </cell>
          <cell r="E498" t="str">
            <v>SGD</v>
          </cell>
          <cell r="F498">
            <v>26.02</v>
          </cell>
        </row>
        <row r="499">
          <cell r="A499" t="str">
            <v>GBP20021</v>
          </cell>
          <cell r="B499" t="str">
            <v>IF</v>
          </cell>
          <cell r="C499">
            <v>2002</v>
          </cell>
          <cell r="D499">
            <v>1</v>
          </cell>
          <cell r="E499" t="str">
            <v>GBP</v>
          </cell>
          <cell r="F499">
            <v>69.849999999999994</v>
          </cell>
        </row>
        <row r="500">
          <cell r="A500" t="str">
            <v>MYR20021</v>
          </cell>
          <cell r="B500" t="str">
            <v>IF</v>
          </cell>
          <cell r="C500">
            <v>2002</v>
          </cell>
          <cell r="D500">
            <v>1</v>
          </cell>
          <cell r="E500" t="str">
            <v>MYR</v>
          </cell>
          <cell r="F500">
            <v>13.37</v>
          </cell>
        </row>
        <row r="501">
          <cell r="A501" t="str">
            <v>CAD20021</v>
          </cell>
          <cell r="B501" t="str">
            <v>IF</v>
          </cell>
          <cell r="C501">
            <v>2002</v>
          </cell>
          <cell r="D501">
            <v>1</v>
          </cell>
          <cell r="E501" t="str">
            <v>CAD</v>
          </cell>
          <cell r="F501">
            <v>30.76</v>
          </cell>
        </row>
        <row r="502">
          <cell r="A502" t="str">
            <v>AUD20021</v>
          </cell>
          <cell r="B502" t="str">
            <v>IF</v>
          </cell>
          <cell r="C502">
            <v>2002</v>
          </cell>
          <cell r="D502">
            <v>1</v>
          </cell>
          <cell r="E502" t="str">
            <v>AUD</v>
          </cell>
          <cell r="F502">
            <v>24.38</v>
          </cell>
        </row>
        <row r="503">
          <cell r="A503" t="str">
            <v>EUR20021</v>
          </cell>
          <cell r="B503" t="str">
            <v>IF</v>
          </cell>
          <cell r="C503">
            <v>2002</v>
          </cell>
          <cell r="D503">
            <v>1</v>
          </cell>
          <cell r="E503" t="str">
            <v>EUR</v>
          </cell>
          <cell r="F503">
            <v>42.63</v>
          </cell>
        </row>
        <row r="504">
          <cell r="A504" t="str">
            <v>SLR20021</v>
          </cell>
          <cell r="B504" t="str">
            <v>IF</v>
          </cell>
          <cell r="C504">
            <v>2002</v>
          </cell>
          <cell r="D504">
            <v>1</v>
          </cell>
          <cell r="E504" t="str">
            <v>SLR</v>
          </cell>
          <cell r="F504">
            <v>0.57999999999999996</v>
          </cell>
        </row>
        <row r="505">
          <cell r="A505" t="str">
            <v>NLG20021</v>
          </cell>
          <cell r="B505" t="str">
            <v>IF</v>
          </cell>
          <cell r="C505">
            <v>2002</v>
          </cell>
          <cell r="D505">
            <v>1</v>
          </cell>
          <cell r="E505" t="str">
            <v>NLG</v>
          </cell>
          <cell r="F505">
            <v>19.89</v>
          </cell>
        </row>
        <row r="506">
          <cell r="A506" t="str">
            <v>SEK20021</v>
          </cell>
          <cell r="B506" t="str">
            <v>IF</v>
          </cell>
          <cell r="C506">
            <v>2002</v>
          </cell>
          <cell r="D506">
            <v>1</v>
          </cell>
          <cell r="E506" t="str">
            <v>SEK</v>
          </cell>
          <cell r="F506">
            <v>4.54</v>
          </cell>
        </row>
        <row r="507">
          <cell r="A507" t="str">
            <v>BHT20021</v>
          </cell>
          <cell r="B507" t="str">
            <v>IF</v>
          </cell>
          <cell r="C507">
            <v>2002</v>
          </cell>
          <cell r="D507">
            <v>1</v>
          </cell>
          <cell r="E507" t="str">
            <v>BHT</v>
          </cell>
          <cell r="F507">
            <v>1.37</v>
          </cell>
        </row>
        <row r="508">
          <cell r="A508" t="str">
            <v>USD20022</v>
          </cell>
          <cell r="B508" t="str">
            <v>IF</v>
          </cell>
          <cell r="C508">
            <v>2002</v>
          </cell>
          <cell r="D508">
            <v>2</v>
          </cell>
          <cell r="E508" t="str">
            <v>USD</v>
          </cell>
          <cell r="F508">
            <v>48.58</v>
          </cell>
        </row>
        <row r="509">
          <cell r="A509" t="str">
            <v>HKD20022</v>
          </cell>
          <cell r="B509" t="str">
            <v>IF</v>
          </cell>
          <cell r="C509">
            <v>2002</v>
          </cell>
          <cell r="D509">
            <v>2</v>
          </cell>
          <cell r="E509" t="str">
            <v>HKD</v>
          </cell>
          <cell r="F509">
            <v>6.24</v>
          </cell>
        </row>
        <row r="510">
          <cell r="A510" t="str">
            <v>YEN20022</v>
          </cell>
          <cell r="B510" t="str">
            <v>IF</v>
          </cell>
          <cell r="C510">
            <v>2002</v>
          </cell>
          <cell r="D510">
            <v>2</v>
          </cell>
          <cell r="E510" t="str">
            <v>YEN</v>
          </cell>
          <cell r="F510">
            <v>0.37</v>
          </cell>
        </row>
        <row r="511">
          <cell r="A511" t="str">
            <v>DM20022</v>
          </cell>
          <cell r="B511" t="str">
            <v>IF</v>
          </cell>
          <cell r="C511">
            <v>2002</v>
          </cell>
          <cell r="D511">
            <v>2</v>
          </cell>
          <cell r="E511" t="str">
            <v>DM</v>
          </cell>
          <cell r="F511">
            <v>21.9</v>
          </cell>
        </row>
        <row r="512">
          <cell r="A512" t="str">
            <v>INR20022</v>
          </cell>
          <cell r="B512" t="str">
            <v>IF</v>
          </cell>
          <cell r="C512">
            <v>2002</v>
          </cell>
          <cell r="D512">
            <v>2</v>
          </cell>
          <cell r="E512" t="str">
            <v>INR</v>
          </cell>
          <cell r="F512">
            <v>1</v>
          </cell>
        </row>
        <row r="513">
          <cell r="A513" t="str">
            <v>SGD20022</v>
          </cell>
          <cell r="B513" t="str">
            <v>IF</v>
          </cell>
          <cell r="C513">
            <v>2002</v>
          </cell>
          <cell r="D513">
            <v>2</v>
          </cell>
          <cell r="E513" t="str">
            <v>SGD</v>
          </cell>
          <cell r="F513">
            <v>26.69</v>
          </cell>
        </row>
        <row r="514">
          <cell r="A514" t="str">
            <v>GBP20022</v>
          </cell>
          <cell r="B514" t="str">
            <v>IF</v>
          </cell>
          <cell r="C514">
            <v>2002</v>
          </cell>
          <cell r="D514">
            <v>2</v>
          </cell>
          <cell r="E514" t="str">
            <v>GBP</v>
          </cell>
          <cell r="F514">
            <v>69.16</v>
          </cell>
        </row>
        <row r="515">
          <cell r="A515" t="str">
            <v>MYR20022</v>
          </cell>
          <cell r="B515" t="str">
            <v>IF</v>
          </cell>
          <cell r="C515">
            <v>2002</v>
          </cell>
          <cell r="D515">
            <v>2</v>
          </cell>
          <cell r="E515" t="str">
            <v>MYR</v>
          </cell>
          <cell r="F515">
            <v>13.37</v>
          </cell>
        </row>
        <row r="516">
          <cell r="A516" t="str">
            <v>CAD20022</v>
          </cell>
          <cell r="B516" t="str">
            <v>IF</v>
          </cell>
          <cell r="C516">
            <v>2002</v>
          </cell>
          <cell r="D516">
            <v>2</v>
          </cell>
          <cell r="E516" t="str">
            <v>CAD</v>
          </cell>
          <cell r="F516">
            <v>30.94</v>
          </cell>
        </row>
        <row r="517">
          <cell r="A517" t="str">
            <v>AUD20022</v>
          </cell>
          <cell r="B517" t="str">
            <v>IF</v>
          </cell>
          <cell r="C517">
            <v>2002</v>
          </cell>
          <cell r="D517">
            <v>2</v>
          </cell>
          <cell r="E517" t="str">
            <v>AUD</v>
          </cell>
          <cell r="F517">
            <v>24.82</v>
          </cell>
        </row>
        <row r="518">
          <cell r="A518" t="str">
            <v>EUR20022</v>
          </cell>
          <cell r="B518" t="str">
            <v>IF</v>
          </cell>
          <cell r="C518">
            <v>2002</v>
          </cell>
          <cell r="D518">
            <v>2</v>
          </cell>
          <cell r="E518" t="str">
            <v>EUR</v>
          </cell>
          <cell r="F518">
            <v>42.18</v>
          </cell>
        </row>
        <row r="519">
          <cell r="A519" t="str">
            <v>SLR20022</v>
          </cell>
          <cell r="B519" t="str">
            <v>IF</v>
          </cell>
          <cell r="C519">
            <v>2002</v>
          </cell>
          <cell r="D519">
            <v>2</v>
          </cell>
          <cell r="E519" t="str">
            <v>SLR</v>
          </cell>
          <cell r="F519">
            <v>0.57999999999999996</v>
          </cell>
        </row>
        <row r="520">
          <cell r="A520" t="str">
            <v>NLG20022</v>
          </cell>
          <cell r="B520" t="str">
            <v>IF</v>
          </cell>
          <cell r="C520">
            <v>2002</v>
          </cell>
          <cell r="D520">
            <v>2</v>
          </cell>
          <cell r="E520" t="str">
            <v>NLG</v>
          </cell>
          <cell r="F520">
            <v>19.89</v>
          </cell>
        </row>
        <row r="521">
          <cell r="A521" t="str">
            <v>SEK20022</v>
          </cell>
          <cell r="B521" t="str">
            <v>IF</v>
          </cell>
          <cell r="C521">
            <v>2002</v>
          </cell>
          <cell r="D521">
            <v>2</v>
          </cell>
          <cell r="E521" t="str">
            <v>SEK</v>
          </cell>
          <cell r="F521">
            <v>4.5999999999999996</v>
          </cell>
        </row>
        <row r="522">
          <cell r="A522" t="str">
            <v>BHT20022</v>
          </cell>
          <cell r="B522" t="str">
            <v>IF</v>
          </cell>
          <cell r="C522">
            <v>2002</v>
          </cell>
          <cell r="D522">
            <v>2</v>
          </cell>
          <cell r="E522" t="str">
            <v>BHT</v>
          </cell>
          <cell r="F522">
            <v>1.37</v>
          </cell>
        </row>
        <row r="523">
          <cell r="A523" t="str">
            <v>USD20023</v>
          </cell>
          <cell r="B523" t="str">
            <v>IF</v>
          </cell>
          <cell r="C523">
            <v>2002</v>
          </cell>
          <cell r="D523">
            <v>3</v>
          </cell>
          <cell r="E523" t="str">
            <v>USD</v>
          </cell>
          <cell r="F523">
            <v>48.79</v>
          </cell>
        </row>
        <row r="524">
          <cell r="A524" t="str">
            <v>HKD20023</v>
          </cell>
          <cell r="B524" t="str">
            <v>IF</v>
          </cell>
          <cell r="C524">
            <v>2002</v>
          </cell>
          <cell r="D524">
            <v>3</v>
          </cell>
          <cell r="E524" t="str">
            <v>HKD</v>
          </cell>
          <cell r="F524">
            <v>6.26</v>
          </cell>
        </row>
        <row r="525">
          <cell r="A525" t="str">
            <v>YEN20023</v>
          </cell>
          <cell r="B525" t="str">
            <v>IF</v>
          </cell>
          <cell r="C525">
            <v>2002</v>
          </cell>
          <cell r="D525">
            <v>3</v>
          </cell>
          <cell r="E525" t="str">
            <v>YEN</v>
          </cell>
          <cell r="F525">
            <v>0.36</v>
          </cell>
        </row>
        <row r="526">
          <cell r="A526" t="str">
            <v>DM20023</v>
          </cell>
          <cell r="B526" t="str">
            <v>IF</v>
          </cell>
          <cell r="C526">
            <v>2002</v>
          </cell>
          <cell r="D526">
            <v>3</v>
          </cell>
          <cell r="E526" t="str">
            <v>DM</v>
          </cell>
          <cell r="F526">
            <v>21.9</v>
          </cell>
        </row>
        <row r="527">
          <cell r="A527" t="str">
            <v>INR20023</v>
          </cell>
          <cell r="B527" t="str">
            <v>IF</v>
          </cell>
          <cell r="C527">
            <v>2002</v>
          </cell>
          <cell r="D527">
            <v>3</v>
          </cell>
          <cell r="E527" t="str">
            <v>INR</v>
          </cell>
          <cell r="F527">
            <v>1</v>
          </cell>
        </row>
        <row r="528">
          <cell r="A528" t="str">
            <v>SGD20023</v>
          </cell>
          <cell r="B528" t="str">
            <v>IF</v>
          </cell>
          <cell r="C528">
            <v>2002</v>
          </cell>
          <cell r="D528">
            <v>3</v>
          </cell>
          <cell r="E528" t="str">
            <v>SGD</v>
          </cell>
          <cell r="F528">
            <v>26.76</v>
          </cell>
        </row>
        <row r="529">
          <cell r="A529" t="str">
            <v>GBP20023</v>
          </cell>
          <cell r="B529" t="str">
            <v>IF</v>
          </cell>
          <cell r="C529">
            <v>2002</v>
          </cell>
          <cell r="D529">
            <v>3</v>
          </cell>
          <cell r="E529" t="str">
            <v>GBP</v>
          </cell>
          <cell r="F529">
            <v>69.56</v>
          </cell>
        </row>
        <row r="530">
          <cell r="A530" t="str">
            <v>MYR20023</v>
          </cell>
          <cell r="B530" t="str">
            <v>IF</v>
          </cell>
          <cell r="C530">
            <v>2002</v>
          </cell>
          <cell r="D530">
            <v>3</v>
          </cell>
          <cell r="E530" t="str">
            <v>MYR</v>
          </cell>
          <cell r="F530">
            <v>13.37</v>
          </cell>
        </row>
        <row r="531">
          <cell r="A531" t="str">
            <v>CAD20023</v>
          </cell>
          <cell r="B531" t="str">
            <v>IF</v>
          </cell>
          <cell r="C531">
            <v>2002</v>
          </cell>
          <cell r="D531">
            <v>3</v>
          </cell>
          <cell r="E531" t="str">
            <v>CAD</v>
          </cell>
          <cell r="F531">
            <v>30.66</v>
          </cell>
        </row>
        <row r="532">
          <cell r="A532" t="str">
            <v>AUD20023</v>
          </cell>
          <cell r="B532" t="str">
            <v>IF</v>
          </cell>
          <cell r="C532">
            <v>2002</v>
          </cell>
          <cell r="D532">
            <v>3</v>
          </cell>
          <cell r="E532" t="str">
            <v>AUD</v>
          </cell>
          <cell r="F532">
            <v>25.2</v>
          </cell>
        </row>
        <row r="533">
          <cell r="A533" t="str">
            <v>EUR20023</v>
          </cell>
          <cell r="B533" t="str">
            <v>IF</v>
          </cell>
          <cell r="C533">
            <v>2002</v>
          </cell>
          <cell r="D533">
            <v>3</v>
          </cell>
          <cell r="E533" t="str">
            <v>EUR</v>
          </cell>
          <cell r="F533">
            <v>42.46</v>
          </cell>
        </row>
        <row r="534">
          <cell r="A534" t="str">
            <v>SLR20023</v>
          </cell>
          <cell r="B534" t="str">
            <v>IF</v>
          </cell>
          <cell r="C534">
            <v>2002</v>
          </cell>
          <cell r="D534">
            <v>3</v>
          </cell>
          <cell r="E534" t="str">
            <v>SLR</v>
          </cell>
          <cell r="F534">
            <v>0.57999999999999996</v>
          </cell>
        </row>
        <row r="535">
          <cell r="A535" t="str">
            <v>NLG20023</v>
          </cell>
          <cell r="B535" t="str">
            <v>IF</v>
          </cell>
          <cell r="C535">
            <v>2002</v>
          </cell>
          <cell r="D535">
            <v>3</v>
          </cell>
          <cell r="E535" t="str">
            <v>NLG</v>
          </cell>
          <cell r="F535">
            <v>19.89</v>
          </cell>
        </row>
        <row r="536">
          <cell r="A536" t="str">
            <v>SEK20023</v>
          </cell>
          <cell r="B536" t="str">
            <v>IF</v>
          </cell>
          <cell r="C536">
            <v>2002</v>
          </cell>
          <cell r="D536">
            <v>3</v>
          </cell>
          <cell r="E536" t="str">
            <v>SEK</v>
          </cell>
          <cell r="F536">
            <v>4.7</v>
          </cell>
        </row>
        <row r="537">
          <cell r="A537" t="str">
            <v>BHT20023</v>
          </cell>
          <cell r="B537" t="str">
            <v>IF</v>
          </cell>
          <cell r="C537">
            <v>2002</v>
          </cell>
          <cell r="D537">
            <v>3</v>
          </cell>
          <cell r="E537" t="str">
            <v>BHT</v>
          </cell>
          <cell r="F537">
            <v>1.37</v>
          </cell>
        </row>
        <row r="538">
          <cell r="A538" t="str">
            <v>USD20024</v>
          </cell>
          <cell r="B538" t="str">
            <v>IF</v>
          </cell>
          <cell r="C538">
            <v>2002</v>
          </cell>
          <cell r="D538">
            <v>4</v>
          </cell>
          <cell r="E538" t="str">
            <v>USD</v>
          </cell>
          <cell r="F538">
            <v>48.84</v>
          </cell>
        </row>
        <row r="539">
          <cell r="A539" t="str">
            <v>HKD20024</v>
          </cell>
          <cell r="B539" t="str">
            <v>IF</v>
          </cell>
          <cell r="C539">
            <v>2002</v>
          </cell>
          <cell r="D539">
            <v>4</v>
          </cell>
          <cell r="E539" t="str">
            <v>HKD</v>
          </cell>
          <cell r="F539">
            <v>6.27</v>
          </cell>
        </row>
        <row r="540">
          <cell r="A540" t="str">
            <v>YEN20024</v>
          </cell>
          <cell r="B540" t="str">
            <v>IF</v>
          </cell>
          <cell r="C540">
            <v>2002</v>
          </cell>
          <cell r="D540">
            <v>4</v>
          </cell>
          <cell r="E540" t="str">
            <v>YEN</v>
          </cell>
          <cell r="F540">
            <v>0.37</v>
          </cell>
        </row>
        <row r="541">
          <cell r="A541" t="str">
            <v>DM20024</v>
          </cell>
          <cell r="B541" t="str">
            <v>IF</v>
          </cell>
          <cell r="C541">
            <v>2002</v>
          </cell>
          <cell r="D541">
            <v>4</v>
          </cell>
          <cell r="E541" t="str">
            <v>DM</v>
          </cell>
          <cell r="F541">
            <v>21.9</v>
          </cell>
        </row>
        <row r="542">
          <cell r="A542" t="str">
            <v>INR20024</v>
          </cell>
          <cell r="B542" t="str">
            <v>IF</v>
          </cell>
          <cell r="C542">
            <v>2002</v>
          </cell>
          <cell r="D542">
            <v>4</v>
          </cell>
          <cell r="E542" t="str">
            <v>INR</v>
          </cell>
          <cell r="F542">
            <v>1</v>
          </cell>
        </row>
        <row r="543">
          <cell r="A543" t="str">
            <v>SGD20024</v>
          </cell>
          <cell r="B543" t="str">
            <v>IF</v>
          </cell>
          <cell r="C543">
            <v>2002</v>
          </cell>
          <cell r="D543">
            <v>4</v>
          </cell>
          <cell r="E543" t="str">
            <v>SGD</v>
          </cell>
          <cell r="F543">
            <v>26.61</v>
          </cell>
        </row>
        <row r="544">
          <cell r="A544" t="str">
            <v>GBP20024</v>
          </cell>
          <cell r="B544" t="str">
            <v>IF</v>
          </cell>
          <cell r="C544">
            <v>2002</v>
          </cell>
          <cell r="D544">
            <v>4</v>
          </cell>
          <cell r="E544" t="str">
            <v>GBP</v>
          </cell>
          <cell r="F544">
            <v>70.150000000000006</v>
          </cell>
        </row>
        <row r="545">
          <cell r="A545" t="str">
            <v>MYR20024</v>
          </cell>
          <cell r="B545" t="str">
            <v>IF</v>
          </cell>
          <cell r="C545">
            <v>2002</v>
          </cell>
          <cell r="D545">
            <v>4</v>
          </cell>
          <cell r="E545" t="str">
            <v>MYR</v>
          </cell>
          <cell r="F545">
            <v>13.37</v>
          </cell>
        </row>
        <row r="546">
          <cell r="A546" t="str">
            <v>CAD20024</v>
          </cell>
          <cell r="B546" t="str">
            <v>IF</v>
          </cell>
          <cell r="C546">
            <v>2002</v>
          </cell>
          <cell r="D546">
            <v>4</v>
          </cell>
          <cell r="E546" t="str">
            <v>CAD</v>
          </cell>
          <cell r="F546">
            <v>31.08</v>
          </cell>
        </row>
        <row r="547">
          <cell r="A547" t="str">
            <v>AUD20024</v>
          </cell>
          <cell r="B547" t="str">
            <v>IF</v>
          </cell>
          <cell r="C547">
            <v>2002</v>
          </cell>
          <cell r="D547">
            <v>4</v>
          </cell>
          <cell r="E547" t="str">
            <v>AUD</v>
          </cell>
          <cell r="F547">
            <v>25.92</v>
          </cell>
        </row>
        <row r="548">
          <cell r="A548" t="str">
            <v>EUR20024</v>
          </cell>
          <cell r="B548" t="str">
            <v>IF</v>
          </cell>
          <cell r="C548">
            <v>2002</v>
          </cell>
          <cell r="D548">
            <v>4</v>
          </cell>
          <cell r="E548" t="str">
            <v>EUR</v>
          </cell>
          <cell r="F548">
            <v>43.05</v>
          </cell>
        </row>
        <row r="549">
          <cell r="A549" t="str">
            <v>SLR20024</v>
          </cell>
          <cell r="B549" t="str">
            <v>IF</v>
          </cell>
          <cell r="C549">
            <v>2002</v>
          </cell>
          <cell r="D549">
            <v>4</v>
          </cell>
          <cell r="E549" t="str">
            <v>SLR</v>
          </cell>
          <cell r="F549">
            <v>0.57999999999999996</v>
          </cell>
        </row>
        <row r="550">
          <cell r="A550" t="str">
            <v>NLG20024</v>
          </cell>
          <cell r="B550" t="str">
            <v>IF</v>
          </cell>
          <cell r="C550">
            <v>2002</v>
          </cell>
          <cell r="D550">
            <v>4</v>
          </cell>
          <cell r="E550" t="str">
            <v>NLG</v>
          </cell>
          <cell r="F550">
            <v>19.89</v>
          </cell>
        </row>
        <row r="551">
          <cell r="A551" t="str">
            <v>SEK20024</v>
          </cell>
          <cell r="B551" t="str">
            <v>IF</v>
          </cell>
          <cell r="C551">
            <v>2002</v>
          </cell>
          <cell r="D551">
            <v>4</v>
          </cell>
          <cell r="E551" t="str">
            <v>SEK</v>
          </cell>
          <cell r="F551">
            <v>4.79</v>
          </cell>
        </row>
        <row r="552">
          <cell r="A552" t="str">
            <v>BHT20024</v>
          </cell>
          <cell r="B552" t="str">
            <v>IF</v>
          </cell>
          <cell r="C552">
            <v>2002</v>
          </cell>
          <cell r="D552">
            <v>4</v>
          </cell>
          <cell r="E552" t="str">
            <v>BHT</v>
          </cell>
          <cell r="F552">
            <v>1.1200000000000001</v>
          </cell>
        </row>
        <row r="553">
          <cell r="A553" t="str">
            <v>USD20025</v>
          </cell>
          <cell r="B553" t="str">
            <v>IF</v>
          </cell>
          <cell r="C553">
            <v>2002</v>
          </cell>
          <cell r="D553">
            <v>5</v>
          </cell>
          <cell r="E553" t="str">
            <v>USD</v>
          </cell>
          <cell r="F553">
            <v>48.99</v>
          </cell>
        </row>
        <row r="554">
          <cell r="A554" t="str">
            <v>HKD20025</v>
          </cell>
          <cell r="B554" t="str">
            <v>IF</v>
          </cell>
          <cell r="C554">
            <v>2002</v>
          </cell>
          <cell r="D554">
            <v>5</v>
          </cell>
          <cell r="E554" t="str">
            <v>HKD</v>
          </cell>
          <cell r="F554">
            <v>6.3</v>
          </cell>
        </row>
        <row r="555">
          <cell r="A555" t="str">
            <v>YEN20025</v>
          </cell>
          <cell r="B555" t="str">
            <v>IF</v>
          </cell>
          <cell r="C555">
            <v>2002</v>
          </cell>
          <cell r="D555">
            <v>5</v>
          </cell>
          <cell r="E555" t="str">
            <v>YEN</v>
          </cell>
          <cell r="F555">
            <v>0.38</v>
          </cell>
        </row>
        <row r="556">
          <cell r="A556" t="str">
            <v>DM20025</v>
          </cell>
          <cell r="B556" t="str">
            <v>IF</v>
          </cell>
          <cell r="C556">
            <v>2002</v>
          </cell>
          <cell r="D556">
            <v>5</v>
          </cell>
          <cell r="E556" t="str">
            <v>DM</v>
          </cell>
          <cell r="F556">
            <v>21.9</v>
          </cell>
        </row>
        <row r="557">
          <cell r="A557" t="str">
            <v>INR20025</v>
          </cell>
          <cell r="B557" t="str">
            <v>IF</v>
          </cell>
          <cell r="C557">
            <v>2002</v>
          </cell>
          <cell r="D557">
            <v>5</v>
          </cell>
          <cell r="E557" t="str">
            <v>INR</v>
          </cell>
          <cell r="F557">
            <v>1</v>
          </cell>
        </row>
        <row r="558">
          <cell r="A558" t="str">
            <v>SGD20025</v>
          </cell>
          <cell r="B558" t="str">
            <v>IF</v>
          </cell>
          <cell r="C558">
            <v>2002</v>
          </cell>
          <cell r="D558">
            <v>5</v>
          </cell>
          <cell r="E558" t="str">
            <v>SGD</v>
          </cell>
          <cell r="F558">
            <v>27.28</v>
          </cell>
        </row>
        <row r="559">
          <cell r="A559" t="str">
            <v>GBP20025</v>
          </cell>
          <cell r="B559" t="str">
            <v>IF</v>
          </cell>
          <cell r="C559">
            <v>2002</v>
          </cell>
          <cell r="D559">
            <v>5</v>
          </cell>
          <cell r="E559" t="str">
            <v>GBP</v>
          </cell>
          <cell r="F559">
            <v>72</v>
          </cell>
        </row>
        <row r="560">
          <cell r="A560" t="str">
            <v>MYR20025</v>
          </cell>
          <cell r="B560" t="str">
            <v>IF</v>
          </cell>
          <cell r="C560">
            <v>2002</v>
          </cell>
          <cell r="D560">
            <v>5</v>
          </cell>
          <cell r="E560" t="str">
            <v>MYR</v>
          </cell>
          <cell r="F560">
            <v>13.37</v>
          </cell>
        </row>
        <row r="561">
          <cell r="A561" t="str">
            <v>CAD20025</v>
          </cell>
          <cell r="B561" t="str">
            <v>IF</v>
          </cell>
          <cell r="C561">
            <v>2002</v>
          </cell>
          <cell r="D561">
            <v>5</v>
          </cell>
          <cell r="E561" t="str">
            <v>CAD</v>
          </cell>
          <cell r="F561">
            <v>31.67</v>
          </cell>
        </row>
        <row r="562">
          <cell r="A562" t="str">
            <v>AUD20025</v>
          </cell>
          <cell r="B562" t="str">
            <v>IF</v>
          </cell>
          <cell r="C562">
            <v>2002</v>
          </cell>
          <cell r="D562">
            <v>5</v>
          </cell>
          <cell r="E562" t="str">
            <v>AUD</v>
          </cell>
          <cell r="F562">
            <v>26.67</v>
          </cell>
        </row>
        <row r="563">
          <cell r="A563" t="str">
            <v>EUR20025</v>
          </cell>
          <cell r="B563" t="str">
            <v>IF</v>
          </cell>
          <cell r="C563">
            <v>2002</v>
          </cell>
          <cell r="D563">
            <v>5</v>
          </cell>
          <cell r="E563" t="str">
            <v>EUR</v>
          </cell>
          <cell r="F563">
            <v>44.61</v>
          </cell>
        </row>
        <row r="564">
          <cell r="A564" t="str">
            <v>SLR20025</v>
          </cell>
          <cell r="B564" t="str">
            <v>IF</v>
          </cell>
          <cell r="C564">
            <v>2002</v>
          </cell>
          <cell r="D564">
            <v>5</v>
          </cell>
          <cell r="E564" t="str">
            <v>SLR</v>
          </cell>
          <cell r="F564">
            <v>0.57999999999999996</v>
          </cell>
        </row>
        <row r="565">
          <cell r="A565" t="str">
            <v>NLG20025</v>
          </cell>
          <cell r="B565" t="str">
            <v>IF</v>
          </cell>
          <cell r="C565">
            <v>2002</v>
          </cell>
          <cell r="D565">
            <v>5</v>
          </cell>
          <cell r="E565" t="str">
            <v>NLG</v>
          </cell>
          <cell r="F565">
            <v>19.89</v>
          </cell>
        </row>
        <row r="566">
          <cell r="A566" t="str">
            <v>SEK20025</v>
          </cell>
          <cell r="B566" t="str">
            <v>IF</v>
          </cell>
          <cell r="C566">
            <v>2002</v>
          </cell>
          <cell r="D566">
            <v>5</v>
          </cell>
          <cell r="E566" t="str">
            <v>SEK</v>
          </cell>
          <cell r="F566">
            <v>4.8600000000000003</v>
          </cell>
        </row>
        <row r="567">
          <cell r="A567" t="str">
            <v>BHT20025</v>
          </cell>
          <cell r="B567" t="str">
            <v>IF</v>
          </cell>
          <cell r="C567">
            <v>2002</v>
          </cell>
          <cell r="D567">
            <v>5</v>
          </cell>
          <cell r="E567" t="str">
            <v>BHT</v>
          </cell>
          <cell r="F567">
            <v>1.1200000000000001</v>
          </cell>
        </row>
        <row r="568">
          <cell r="A568" t="str">
            <v>USD20026</v>
          </cell>
          <cell r="B568" t="str">
            <v>IF</v>
          </cell>
          <cell r="C568">
            <v>2002</v>
          </cell>
          <cell r="D568">
            <v>6</v>
          </cell>
          <cell r="E568" t="str">
            <v>USD</v>
          </cell>
          <cell r="F568">
            <v>49.04</v>
          </cell>
        </row>
        <row r="569">
          <cell r="A569" t="str">
            <v>HKD20026</v>
          </cell>
          <cell r="B569" t="str">
            <v>IF</v>
          </cell>
          <cell r="C569">
            <v>2002</v>
          </cell>
          <cell r="D569">
            <v>6</v>
          </cell>
          <cell r="E569" t="str">
            <v>HKD</v>
          </cell>
          <cell r="F569">
            <v>6.3</v>
          </cell>
        </row>
        <row r="570">
          <cell r="A570" t="str">
            <v>YEN20026</v>
          </cell>
          <cell r="B570" t="str">
            <v>IF</v>
          </cell>
          <cell r="C570">
            <v>2002</v>
          </cell>
          <cell r="D570">
            <v>6</v>
          </cell>
          <cell r="E570" t="str">
            <v>YEN</v>
          </cell>
          <cell r="F570">
            <v>0.4</v>
          </cell>
        </row>
        <row r="571">
          <cell r="A571" t="str">
            <v>DM20026</v>
          </cell>
          <cell r="B571" t="str">
            <v>IF</v>
          </cell>
          <cell r="C571">
            <v>2002</v>
          </cell>
          <cell r="D571">
            <v>6</v>
          </cell>
          <cell r="E571" t="str">
            <v>DM</v>
          </cell>
          <cell r="F571">
            <v>21.9</v>
          </cell>
        </row>
        <row r="572">
          <cell r="A572" t="str">
            <v>INR20026</v>
          </cell>
          <cell r="B572" t="str">
            <v>IF</v>
          </cell>
          <cell r="C572">
            <v>2002</v>
          </cell>
          <cell r="D572">
            <v>6</v>
          </cell>
          <cell r="E572" t="str">
            <v>INR</v>
          </cell>
          <cell r="F572">
            <v>1</v>
          </cell>
        </row>
        <row r="573">
          <cell r="A573" t="str">
            <v>SGD20026</v>
          </cell>
          <cell r="B573" t="str">
            <v>IF</v>
          </cell>
          <cell r="C573">
            <v>2002</v>
          </cell>
          <cell r="D573">
            <v>6</v>
          </cell>
          <cell r="E573" t="str">
            <v>SGD</v>
          </cell>
          <cell r="F573">
            <v>27.59</v>
          </cell>
        </row>
        <row r="574">
          <cell r="A574" t="str">
            <v>GBP20026</v>
          </cell>
          <cell r="B574" t="str">
            <v>IF</v>
          </cell>
          <cell r="C574">
            <v>2002</v>
          </cell>
          <cell r="D574">
            <v>6</v>
          </cell>
          <cell r="E574" t="str">
            <v>GBP</v>
          </cell>
          <cell r="F574">
            <v>72.23</v>
          </cell>
        </row>
        <row r="575">
          <cell r="A575" t="str">
            <v>MYR20026</v>
          </cell>
          <cell r="B575" t="str">
            <v>IF</v>
          </cell>
          <cell r="C575">
            <v>2002</v>
          </cell>
          <cell r="D575">
            <v>6</v>
          </cell>
          <cell r="E575" t="str">
            <v>MYR</v>
          </cell>
          <cell r="F575">
            <v>13.37</v>
          </cell>
        </row>
        <row r="576">
          <cell r="A576" t="str">
            <v>CAD20026</v>
          </cell>
          <cell r="B576" t="str">
            <v>IF</v>
          </cell>
          <cell r="C576">
            <v>2002</v>
          </cell>
          <cell r="D576">
            <v>6</v>
          </cell>
          <cell r="E576" t="str">
            <v>CAD</v>
          </cell>
          <cell r="F576">
            <v>32.33</v>
          </cell>
        </row>
        <row r="577">
          <cell r="A577" t="str">
            <v>AUD20026</v>
          </cell>
          <cell r="B577" t="str">
            <v>IF</v>
          </cell>
          <cell r="C577">
            <v>2002</v>
          </cell>
          <cell r="D577">
            <v>6</v>
          </cell>
          <cell r="E577" t="str">
            <v>AUD</v>
          </cell>
          <cell r="F577">
            <v>27.9</v>
          </cell>
        </row>
        <row r="578">
          <cell r="A578" t="str">
            <v>EUR20026</v>
          </cell>
          <cell r="B578" t="str">
            <v>IF</v>
          </cell>
          <cell r="C578">
            <v>2002</v>
          </cell>
          <cell r="D578">
            <v>6</v>
          </cell>
          <cell r="E578" t="str">
            <v>EUR</v>
          </cell>
          <cell r="F578">
            <v>46.24</v>
          </cell>
        </row>
        <row r="579">
          <cell r="A579" t="str">
            <v>SLR20026</v>
          </cell>
          <cell r="B579" t="str">
            <v>IF</v>
          </cell>
          <cell r="C579">
            <v>2002</v>
          </cell>
          <cell r="D579">
            <v>6</v>
          </cell>
          <cell r="E579" t="str">
            <v>SLR</v>
          </cell>
          <cell r="F579">
            <v>0.57999999999999996</v>
          </cell>
        </row>
        <row r="580">
          <cell r="A580" t="str">
            <v>NLG20026</v>
          </cell>
          <cell r="B580" t="str">
            <v>IF</v>
          </cell>
          <cell r="C580">
            <v>2002</v>
          </cell>
          <cell r="D580">
            <v>6</v>
          </cell>
          <cell r="E580" t="str">
            <v>NLG</v>
          </cell>
          <cell r="F580">
            <v>19.89</v>
          </cell>
        </row>
        <row r="581">
          <cell r="A581" t="str">
            <v>SEK20026</v>
          </cell>
          <cell r="B581" t="str">
            <v>IF</v>
          </cell>
          <cell r="C581">
            <v>2002</v>
          </cell>
          <cell r="D581">
            <v>6</v>
          </cell>
          <cell r="E581" t="str">
            <v>SEK</v>
          </cell>
          <cell r="F581">
            <v>5.0599999999999996</v>
          </cell>
        </row>
        <row r="582">
          <cell r="A582" t="str">
            <v>BHT20026</v>
          </cell>
          <cell r="B582" t="str">
            <v>IF</v>
          </cell>
          <cell r="C582">
            <v>2002</v>
          </cell>
          <cell r="D582">
            <v>6</v>
          </cell>
          <cell r="E582" t="str">
            <v>BHT</v>
          </cell>
          <cell r="F582">
            <v>1.1200000000000001</v>
          </cell>
        </row>
        <row r="583">
          <cell r="A583" t="str">
            <v>USD20027</v>
          </cell>
          <cell r="B583" t="str">
            <v>IF</v>
          </cell>
          <cell r="C583">
            <v>2002</v>
          </cell>
          <cell r="D583">
            <v>7</v>
          </cell>
          <cell r="E583" t="str">
            <v>USD</v>
          </cell>
          <cell r="F583">
            <v>48.85</v>
          </cell>
        </row>
        <row r="584">
          <cell r="A584" t="str">
            <v>HKD20027</v>
          </cell>
          <cell r="B584" t="str">
            <v>IF</v>
          </cell>
          <cell r="C584">
            <v>2002</v>
          </cell>
          <cell r="D584">
            <v>7</v>
          </cell>
          <cell r="E584" t="str">
            <v>HKD</v>
          </cell>
          <cell r="F584">
            <v>6.28</v>
          </cell>
        </row>
        <row r="585">
          <cell r="A585" t="str">
            <v>YEN20027</v>
          </cell>
          <cell r="B585" t="str">
            <v>IF</v>
          </cell>
          <cell r="C585">
            <v>2002</v>
          </cell>
          <cell r="D585">
            <v>7</v>
          </cell>
          <cell r="E585" t="str">
            <v>YEN</v>
          </cell>
          <cell r="F585">
            <v>0.41199999999999998</v>
          </cell>
        </row>
        <row r="586">
          <cell r="A586" t="str">
            <v>DM20027</v>
          </cell>
          <cell r="B586" t="str">
            <v>IF</v>
          </cell>
          <cell r="C586">
            <v>2002</v>
          </cell>
          <cell r="D586">
            <v>7</v>
          </cell>
          <cell r="E586" t="str">
            <v>DM</v>
          </cell>
          <cell r="F586">
            <v>21.9</v>
          </cell>
        </row>
        <row r="587">
          <cell r="A587" t="str">
            <v>INR20027</v>
          </cell>
          <cell r="B587" t="str">
            <v>IF</v>
          </cell>
          <cell r="C587">
            <v>2002</v>
          </cell>
          <cell r="D587">
            <v>7</v>
          </cell>
          <cell r="E587" t="str">
            <v>INR</v>
          </cell>
          <cell r="F587">
            <v>1</v>
          </cell>
        </row>
        <row r="588">
          <cell r="A588" t="str">
            <v>SGD20027</v>
          </cell>
          <cell r="B588" t="str">
            <v>IF</v>
          </cell>
          <cell r="C588">
            <v>2002</v>
          </cell>
          <cell r="D588">
            <v>7</v>
          </cell>
          <cell r="E588" t="str">
            <v>SGD</v>
          </cell>
          <cell r="F588">
            <v>27.87</v>
          </cell>
        </row>
        <row r="589">
          <cell r="A589" t="str">
            <v>GBP20027</v>
          </cell>
          <cell r="B589" t="str">
            <v>IF</v>
          </cell>
          <cell r="C589">
            <v>2002</v>
          </cell>
          <cell r="D589">
            <v>7</v>
          </cell>
          <cell r="E589" t="str">
            <v>GBP</v>
          </cell>
          <cell r="F589">
            <v>75.14</v>
          </cell>
        </row>
        <row r="590">
          <cell r="A590" t="str">
            <v>MYR20027</v>
          </cell>
          <cell r="B590" t="str">
            <v>IF</v>
          </cell>
          <cell r="C590">
            <v>2002</v>
          </cell>
          <cell r="D590">
            <v>7</v>
          </cell>
          <cell r="E590" t="str">
            <v>MYR</v>
          </cell>
          <cell r="F590">
            <v>13.37</v>
          </cell>
        </row>
        <row r="591">
          <cell r="A591" t="str">
            <v>CAD20027</v>
          </cell>
          <cell r="B591" t="str">
            <v>IF</v>
          </cell>
          <cell r="C591">
            <v>2002</v>
          </cell>
          <cell r="D591">
            <v>7</v>
          </cell>
          <cell r="E591" t="str">
            <v>CAD</v>
          </cell>
          <cell r="F591">
            <v>32.71</v>
          </cell>
        </row>
        <row r="592">
          <cell r="A592" t="str">
            <v>AUD20027</v>
          </cell>
          <cell r="B592" t="str">
            <v>IF</v>
          </cell>
          <cell r="C592">
            <v>2002</v>
          </cell>
          <cell r="D592">
            <v>7</v>
          </cell>
          <cell r="E592" t="str">
            <v>AUD</v>
          </cell>
          <cell r="F592">
            <v>27.85</v>
          </cell>
        </row>
        <row r="593">
          <cell r="A593" t="str">
            <v>EUR20027</v>
          </cell>
          <cell r="B593" t="str">
            <v>IF</v>
          </cell>
          <cell r="C593">
            <v>2002</v>
          </cell>
          <cell r="D593">
            <v>7</v>
          </cell>
          <cell r="E593" t="str">
            <v>EUR</v>
          </cell>
          <cell r="F593">
            <v>48.64</v>
          </cell>
        </row>
        <row r="594">
          <cell r="A594" t="str">
            <v>SLR20027</v>
          </cell>
          <cell r="B594" t="str">
            <v>IF</v>
          </cell>
          <cell r="C594">
            <v>2002</v>
          </cell>
          <cell r="D594">
            <v>7</v>
          </cell>
          <cell r="E594" t="str">
            <v>SLR</v>
          </cell>
          <cell r="F594">
            <v>0.57999999999999996</v>
          </cell>
        </row>
        <row r="595">
          <cell r="A595" t="str">
            <v>NLG20027</v>
          </cell>
          <cell r="B595" t="str">
            <v>IF</v>
          </cell>
          <cell r="C595">
            <v>2002</v>
          </cell>
          <cell r="D595">
            <v>7</v>
          </cell>
          <cell r="E595" t="str">
            <v>NLG</v>
          </cell>
          <cell r="F595">
            <v>19.89</v>
          </cell>
        </row>
        <row r="596">
          <cell r="A596" t="str">
            <v>SEK20027</v>
          </cell>
          <cell r="B596" t="str">
            <v>IF</v>
          </cell>
          <cell r="C596">
            <v>2002</v>
          </cell>
          <cell r="D596">
            <v>7</v>
          </cell>
          <cell r="E596" t="str">
            <v>SEK</v>
          </cell>
          <cell r="F596">
            <v>5.38</v>
          </cell>
        </row>
        <row r="597">
          <cell r="A597" t="str">
            <v>BHT20027</v>
          </cell>
          <cell r="B597" t="str">
            <v>IF</v>
          </cell>
          <cell r="C597">
            <v>2002</v>
          </cell>
          <cell r="D597">
            <v>7</v>
          </cell>
          <cell r="E597" t="str">
            <v>BHT</v>
          </cell>
          <cell r="F597">
            <v>1.1200000000000001</v>
          </cell>
        </row>
        <row r="598">
          <cell r="A598" t="str">
            <v>USD20028</v>
          </cell>
          <cell r="B598" t="str">
            <v>IF</v>
          </cell>
          <cell r="C598">
            <v>2002</v>
          </cell>
          <cell r="D598">
            <v>8</v>
          </cell>
          <cell r="E598" t="str">
            <v>USD</v>
          </cell>
          <cell r="F598">
            <v>48.64</v>
          </cell>
        </row>
        <row r="599">
          <cell r="A599" t="str">
            <v>HKD20028</v>
          </cell>
          <cell r="B599" t="str">
            <v>IF</v>
          </cell>
          <cell r="C599">
            <v>2002</v>
          </cell>
          <cell r="D599">
            <v>8</v>
          </cell>
          <cell r="E599" t="str">
            <v>HKD</v>
          </cell>
          <cell r="F599">
            <v>6.26</v>
          </cell>
        </row>
        <row r="600">
          <cell r="A600" t="str">
            <v>YEN20028</v>
          </cell>
          <cell r="B600" t="str">
            <v>IF</v>
          </cell>
          <cell r="C600">
            <v>2002</v>
          </cell>
          <cell r="D600">
            <v>8</v>
          </cell>
          <cell r="E600" t="str">
            <v>YEN</v>
          </cell>
          <cell r="F600">
            <v>0.41</v>
          </cell>
        </row>
        <row r="601">
          <cell r="A601" t="str">
            <v>DM20028</v>
          </cell>
          <cell r="B601" t="str">
            <v>IF</v>
          </cell>
          <cell r="C601">
            <v>2002</v>
          </cell>
          <cell r="D601">
            <v>8</v>
          </cell>
          <cell r="E601" t="str">
            <v>DM</v>
          </cell>
          <cell r="F601">
            <v>21.9</v>
          </cell>
        </row>
        <row r="602">
          <cell r="A602" t="str">
            <v>INR20028</v>
          </cell>
          <cell r="B602" t="str">
            <v>IF</v>
          </cell>
          <cell r="C602">
            <v>2002</v>
          </cell>
          <cell r="D602">
            <v>8</v>
          </cell>
          <cell r="E602" t="str">
            <v>INR</v>
          </cell>
          <cell r="F602">
            <v>1</v>
          </cell>
        </row>
        <row r="603">
          <cell r="A603" t="str">
            <v>SGD20028</v>
          </cell>
          <cell r="B603" t="str">
            <v>IF</v>
          </cell>
          <cell r="C603">
            <v>2002</v>
          </cell>
          <cell r="D603">
            <v>8</v>
          </cell>
          <cell r="E603" t="str">
            <v>SGD</v>
          </cell>
          <cell r="F603">
            <v>27.84</v>
          </cell>
        </row>
        <row r="604">
          <cell r="A604" t="str">
            <v>GBP20028</v>
          </cell>
          <cell r="B604" t="str">
            <v>IF</v>
          </cell>
          <cell r="C604">
            <v>2002</v>
          </cell>
          <cell r="D604">
            <v>8</v>
          </cell>
          <cell r="E604" t="str">
            <v>GBP</v>
          </cell>
          <cell r="F604">
            <v>77.16</v>
          </cell>
        </row>
        <row r="605">
          <cell r="A605" t="str">
            <v>MYR20028</v>
          </cell>
          <cell r="B605" t="str">
            <v>IF</v>
          </cell>
          <cell r="C605">
            <v>2002</v>
          </cell>
          <cell r="D605">
            <v>8</v>
          </cell>
          <cell r="E605" t="str">
            <v>MYR</v>
          </cell>
          <cell r="F605">
            <v>13.37</v>
          </cell>
        </row>
        <row r="606">
          <cell r="A606" t="str">
            <v>CAD20028</v>
          </cell>
          <cell r="B606" t="str">
            <v>IF</v>
          </cell>
          <cell r="C606">
            <v>2002</v>
          </cell>
          <cell r="D606">
            <v>8</v>
          </cell>
          <cell r="E606" t="str">
            <v>CAD</v>
          </cell>
          <cell r="F606">
            <v>31.34</v>
          </cell>
        </row>
        <row r="607">
          <cell r="A607" t="str">
            <v>AUD20028</v>
          </cell>
          <cell r="B607" t="str">
            <v>IF</v>
          </cell>
          <cell r="C607">
            <v>2002</v>
          </cell>
          <cell r="D607">
            <v>8</v>
          </cell>
          <cell r="E607" t="str">
            <v>AUD</v>
          </cell>
          <cell r="F607">
            <v>26.86</v>
          </cell>
        </row>
        <row r="608">
          <cell r="A608" t="str">
            <v>EUR20028</v>
          </cell>
          <cell r="B608" t="str">
            <v>IF</v>
          </cell>
          <cell r="C608">
            <v>2002</v>
          </cell>
          <cell r="D608">
            <v>8</v>
          </cell>
          <cell r="E608" t="str">
            <v>EUR</v>
          </cell>
          <cell r="F608">
            <v>48.15</v>
          </cell>
        </row>
        <row r="609">
          <cell r="A609" t="str">
            <v>SLR20028</v>
          </cell>
          <cell r="B609" t="str">
            <v>IF</v>
          </cell>
          <cell r="C609">
            <v>2002</v>
          </cell>
          <cell r="D609">
            <v>8</v>
          </cell>
          <cell r="E609" t="str">
            <v>SLR</v>
          </cell>
          <cell r="F609">
            <v>0.57999999999999996</v>
          </cell>
        </row>
        <row r="610">
          <cell r="A610" t="str">
            <v>NLG20028</v>
          </cell>
          <cell r="B610" t="str">
            <v>IF</v>
          </cell>
          <cell r="C610">
            <v>2002</v>
          </cell>
          <cell r="D610">
            <v>8</v>
          </cell>
          <cell r="E610" t="str">
            <v>NLG</v>
          </cell>
          <cell r="F610">
            <v>19.89</v>
          </cell>
        </row>
        <row r="611">
          <cell r="A611" t="str">
            <v>SEK20028</v>
          </cell>
          <cell r="B611" t="str">
            <v>IF</v>
          </cell>
          <cell r="C611">
            <v>2002</v>
          </cell>
          <cell r="D611">
            <v>8</v>
          </cell>
          <cell r="E611" t="str">
            <v>SEK</v>
          </cell>
          <cell r="F611">
            <v>5.38</v>
          </cell>
        </row>
        <row r="612">
          <cell r="A612" t="str">
            <v>BHT20028</v>
          </cell>
          <cell r="B612" t="str">
            <v>IF</v>
          </cell>
          <cell r="C612">
            <v>2002</v>
          </cell>
          <cell r="D612">
            <v>8</v>
          </cell>
          <cell r="E612" t="str">
            <v>BHT</v>
          </cell>
          <cell r="F612">
            <v>1.1599999999999999</v>
          </cell>
        </row>
        <row r="613">
          <cell r="A613" t="str">
            <v>USD20029</v>
          </cell>
          <cell r="B613" t="str">
            <v>IF</v>
          </cell>
          <cell r="C613">
            <v>2002</v>
          </cell>
          <cell r="D613">
            <v>9</v>
          </cell>
          <cell r="E613" t="str">
            <v>USD</v>
          </cell>
          <cell r="F613">
            <v>48.45</v>
          </cell>
        </row>
        <row r="614">
          <cell r="A614" t="str">
            <v>HKD20029</v>
          </cell>
          <cell r="B614" t="str">
            <v>IF</v>
          </cell>
          <cell r="C614">
            <v>2002</v>
          </cell>
          <cell r="D614">
            <v>9</v>
          </cell>
          <cell r="E614" t="str">
            <v>HKD</v>
          </cell>
          <cell r="F614">
            <v>6.25</v>
          </cell>
        </row>
        <row r="615">
          <cell r="A615" t="str">
            <v>YEN20029</v>
          </cell>
          <cell r="B615" t="str">
            <v>IF</v>
          </cell>
          <cell r="C615">
            <v>2002</v>
          </cell>
          <cell r="D615">
            <v>9</v>
          </cell>
          <cell r="E615" t="str">
            <v>YEN</v>
          </cell>
          <cell r="F615">
            <v>0.42</v>
          </cell>
        </row>
        <row r="616">
          <cell r="A616" t="str">
            <v>DM20029</v>
          </cell>
          <cell r="B616" t="str">
            <v>IF</v>
          </cell>
          <cell r="C616">
            <v>2002</v>
          </cell>
          <cell r="D616">
            <v>9</v>
          </cell>
          <cell r="E616" t="str">
            <v>DM</v>
          </cell>
          <cell r="F616">
            <v>21.9</v>
          </cell>
        </row>
        <row r="617">
          <cell r="A617" t="str">
            <v>INR20029</v>
          </cell>
          <cell r="B617" t="str">
            <v>IF</v>
          </cell>
          <cell r="C617">
            <v>2002</v>
          </cell>
          <cell r="D617">
            <v>9</v>
          </cell>
          <cell r="E617" t="str">
            <v>INR</v>
          </cell>
          <cell r="F617">
            <v>1</v>
          </cell>
        </row>
        <row r="618">
          <cell r="A618" t="str">
            <v>SGD20029</v>
          </cell>
          <cell r="B618" t="str">
            <v>IF</v>
          </cell>
          <cell r="C618">
            <v>2002</v>
          </cell>
          <cell r="D618">
            <v>9</v>
          </cell>
          <cell r="E618" t="str">
            <v>SGD</v>
          </cell>
          <cell r="F618">
            <v>28.03</v>
          </cell>
        </row>
        <row r="619">
          <cell r="A619" t="str">
            <v>GBP20029</v>
          </cell>
          <cell r="B619" t="str">
            <v>IF</v>
          </cell>
          <cell r="C619">
            <v>2002</v>
          </cell>
          <cell r="D619">
            <v>9</v>
          </cell>
          <cell r="E619" t="str">
            <v>GBP</v>
          </cell>
          <cell r="F619">
            <v>75.86</v>
          </cell>
        </row>
        <row r="620">
          <cell r="A620" t="str">
            <v>MYR20029</v>
          </cell>
          <cell r="B620" t="str">
            <v>IF</v>
          </cell>
          <cell r="C620">
            <v>2002</v>
          </cell>
          <cell r="D620">
            <v>9</v>
          </cell>
          <cell r="E620" t="str">
            <v>MYR</v>
          </cell>
          <cell r="F620">
            <v>13.37</v>
          </cell>
        </row>
        <row r="621">
          <cell r="A621" t="str">
            <v>CAD20029</v>
          </cell>
          <cell r="B621" t="str">
            <v>IF</v>
          </cell>
          <cell r="C621">
            <v>2002</v>
          </cell>
          <cell r="D621">
            <v>9</v>
          </cell>
          <cell r="E621" t="str">
            <v>CAD</v>
          </cell>
          <cell r="F621">
            <v>31.58</v>
          </cell>
        </row>
        <row r="622">
          <cell r="A622" t="str">
            <v>AUD20029</v>
          </cell>
          <cell r="B622" t="str">
            <v>IF</v>
          </cell>
          <cell r="C622">
            <v>2002</v>
          </cell>
          <cell r="D622">
            <v>9</v>
          </cell>
          <cell r="E622" t="str">
            <v>AUD</v>
          </cell>
          <cell r="F622">
            <v>27.06</v>
          </cell>
        </row>
        <row r="623">
          <cell r="A623" t="str">
            <v>EUR20029</v>
          </cell>
          <cell r="B623" t="str">
            <v>IF</v>
          </cell>
          <cell r="C623">
            <v>2002</v>
          </cell>
          <cell r="D623">
            <v>9</v>
          </cell>
          <cell r="E623" t="str">
            <v>EUR</v>
          </cell>
          <cell r="F623">
            <v>47.52</v>
          </cell>
        </row>
        <row r="624">
          <cell r="A624" t="str">
            <v>SLR20029</v>
          </cell>
          <cell r="B624" t="str">
            <v>IF</v>
          </cell>
          <cell r="C624">
            <v>2002</v>
          </cell>
          <cell r="D624">
            <v>9</v>
          </cell>
          <cell r="E624" t="str">
            <v>SLR</v>
          </cell>
          <cell r="F624">
            <v>0.57999999999999996</v>
          </cell>
        </row>
        <row r="625">
          <cell r="A625" t="str">
            <v>NLG20029</v>
          </cell>
          <cell r="B625" t="str">
            <v>IF</v>
          </cell>
          <cell r="C625">
            <v>2002</v>
          </cell>
          <cell r="D625">
            <v>9</v>
          </cell>
          <cell r="E625" t="str">
            <v>NLG</v>
          </cell>
          <cell r="F625">
            <v>19.89</v>
          </cell>
        </row>
        <row r="626">
          <cell r="A626" t="str">
            <v>SEK20029</v>
          </cell>
          <cell r="B626" t="str">
            <v>IF</v>
          </cell>
          <cell r="C626">
            <v>2002</v>
          </cell>
          <cell r="D626">
            <v>9</v>
          </cell>
          <cell r="E626" t="str">
            <v>SEK</v>
          </cell>
          <cell r="F626">
            <v>5.29</v>
          </cell>
        </row>
        <row r="627">
          <cell r="A627" t="str">
            <v>BHT20029</v>
          </cell>
          <cell r="B627" t="str">
            <v>IF</v>
          </cell>
          <cell r="C627">
            <v>2002</v>
          </cell>
          <cell r="D627">
            <v>9</v>
          </cell>
          <cell r="E627" t="str">
            <v>BHT</v>
          </cell>
          <cell r="F627">
            <v>1.1499999999999999</v>
          </cell>
        </row>
        <row r="628">
          <cell r="A628" t="str">
            <v>USD200210</v>
          </cell>
          <cell r="B628" t="str">
            <v>IF</v>
          </cell>
          <cell r="C628">
            <v>2002</v>
          </cell>
          <cell r="D628">
            <v>10</v>
          </cell>
          <cell r="E628" t="str">
            <v>USD</v>
          </cell>
          <cell r="F628">
            <v>48.36</v>
          </cell>
        </row>
        <row r="629">
          <cell r="A629" t="str">
            <v>HKD200210</v>
          </cell>
          <cell r="B629" t="str">
            <v>IF</v>
          </cell>
          <cell r="C629">
            <v>2002</v>
          </cell>
          <cell r="D629">
            <v>10</v>
          </cell>
          <cell r="E629" t="str">
            <v>HKD</v>
          </cell>
          <cell r="F629">
            <v>6.3</v>
          </cell>
        </row>
        <row r="630">
          <cell r="A630" t="str">
            <v>YEN200210</v>
          </cell>
          <cell r="B630" t="str">
            <v>IF</v>
          </cell>
          <cell r="C630">
            <v>2002</v>
          </cell>
          <cell r="D630">
            <v>10</v>
          </cell>
          <cell r="E630" t="str">
            <v>YEN</v>
          </cell>
          <cell r="F630">
            <v>0.4</v>
          </cell>
        </row>
        <row r="631">
          <cell r="A631" t="str">
            <v>DM200210</v>
          </cell>
          <cell r="B631" t="str">
            <v>IF</v>
          </cell>
          <cell r="C631">
            <v>2002</v>
          </cell>
          <cell r="D631">
            <v>10</v>
          </cell>
          <cell r="E631" t="str">
            <v>DM</v>
          </cell>
          <cell r="F631">
            <v>21.9</v>
          </cell>
        </row>
        <row r="632">
          <cell r="A632" t="str">
            <v>INR200210</v>
          </cell>
          <cell r="B632" t="str">
            <v>IF</v>
          </cell>
          <cell r="C632">
            <v>2002</v>
          </cell>
          <cell r="D632">
            <v>10</v>
          </cell>
          <cell r="E632" t="str">
            <v>INR</v>
          </cell>
          <cell r="F632">
            <v>1</v>
          </cell>
        </row>
        <row r="633">
          <cell r="A633" t="str">
            <v>SGD200210</v>
          </cell>
          <cell r="B633" t="str">
            <v>IF</v>
          </cell>
          <cell r="C633">
            <v>2002</v>
          </cell>
          <cell r="D633">
            <v>10</v>
          </cell>
          <cell r="E633" t="str">
            <v>SGD</v>
          </cell>
          <cell r="F633">
            <v>27.47</v>
          </cell>
        </row>
        <row r="634">
          <cell r="A634" t="str">
            <v>GBP200210</v>
          </cell>
          <cell r="B634" t="str">
            <v>IF</v>
          </cell>
          <cell r="C634">
            <v>2002</v>
          </cell>
          <cell r="D634">
            <v>10</v>
          </cell>
          <cell r="E634" t="str">
            <v>GBP</v>
          </cell>
          <cell r="F634">
            <v>75.75</v>
          </cell>
        </row>
        <row r="635">
          <cell r="A635" t="str">
            <v>MYR200210</v>
          </cell>
          <cell r="B635" t="str">
            <v>IF</v>
          </cell>
          <cell r="C635">
            <v>2002</v>
          </cell>
          <cell r="D635">
            <v>10</v>
          </cell>
          <cell r="E635" t="str">
            <v>MYR</v>
          </cell>
          <cell r="F635">
            <v>13.37</v>
          </cell>
        </row>
        <row r="636">
          <cell r="A636" t="str">
            <v>CAD200210</v>
          </cell>
          <cell r="B636" t="str">
            <v>IF</v>
          </cell>
          <cell r="C636">
            <v>2002</v>
          </cell>
          <cell r="D636">
            <v>10</v>
          </cell>
          <cell r="E636" t="str">
            <v>CAD</v>
          </cell>
          <cell r="F636">
            <v>31.17</v>
          </cell>
        </row>
        <row r="637">
          <cell r="A637" t="str">
            <v>AUD200210</v>
          </cell>
          <cell r="B637" t="str">
            <v>IF</v>
          </cell>
          <cell r="C637">
            <v>2002</v>
          </cell>
          <cell r="D637">
            <v>10</v>
          </cell>
          <cell r="E637" t="str">
            <v>AUD</v>
          </cell>
          <cell r="F637">
            <v>26.61</v>
          </cell>
        </row>
        <row r="638">
          <cell r="A638" t="str">
            <v>EUR200210</v>
          </cell>
          <cell r="B638" t="str">
            <v>IF</v>
          </cell>
          <cell r="C638">
            <v>2002</v>
          </cell>
          <cell r="D638">
            <v>10</v>
          </cell>
          <cell r="E638" t="str">
            <v>EUR</v>
          </cell>
          <cell r="F638">
            <v>47.76</v>
          </cell>
        </row>
        <row r="639">
          <cell r="A639" t="str">
            <v>SLR200210</v>
          </cell>
          <cell r="B639" t="str">
            <v>IF</v>
          </cell>
          <cell r="C639">
            <v>2002</v>
          </cell>
          <cell r="D639">
            <v>10</v>
          </cell>
          <cell r="E639" t="str">
            <v>SLR</v>
          </cell>
          <cell r="F639">
            <v>0.57999999999999996</v>
          </cell>
        </row>
        <row r="640">
          <cell r="A640" t="str">
            <v>NLG200210</v>
          </cell>
          <cell r="B640" t="str">
            <v>IF</v>
          </cell>
          <cell r="C640">
            <v>2002</v>
          </cell>
          <cell r="D640">
            <v>10</v>
          </cell>
          <cell r="E640" t="str">
            <v>NLG</v>
          </cell>
          <cell r="F640">
            <v>19.89</v>
          </cell>
        </row>
        <row r="641">
          <cell r="A641" t="str">
            <v>SEK200210</v>
          </cell>
          <cell r="B641" t="str">
            <v>IF</v>
          </cell>
          <cell r="C641">
            <v>2002</v>
          </cell>
          <cell r="D641">
            <v>10</v>
          </cell>
          <cell r="E641" t="str">
            <v>SEK</v>
          </cell>
          <cell r="F641">
            <v>5.24</v>
          </cell>
        </row>
        <row r="642">
          <cell r="A642" t="str">
            <v>BHT200210</v>
          </cell>
          <cell r="B642" t="str">
            <v>IF</v>
          </cell>
          <cell r="C642">
            <v>2002</v>
          </cell>
          <cell r="D642">
            <v>10</v>
          </cell>
          <cell r="E642" t="str">
            <v>BHT</v>
          </cell>
          <cell r="F642">
            <v>1.1200000000000001</v>
          </cell>
        </row>
        <row r="643">
          <cell r="A643" t="str">
            <v>USD200211</v>
          </cell>
          <cell r="B643" t="str">
            <v>IF</v>
          </cell>
          <cell r="C643">
            <v>2002</v>
          </cell>
          <cell r="D643">
            <v>11</v>
          </cell>
          <cell r="E643" t="str">
            <v>USD</v>
          </cell>
          <cell r="F643">
            <v>48.32</v>
          </cell>
        </row>
        <row r="644">
          <cell r="A644" t="str">
            <v>HKD200211</v>
          </cell>
          <cell r="B644" t="str">
            <v>IF</v>
          </cell>
          <cell r="C644">
            <v>2002</v>
          </cell>
          <cell r="D644">
            <v>11</v>
          </cell>
          <cell r="E644" t="str">
            <v>HKD</v>
          </cell>
          <cell r="F644">
            <v>6.35</v>
          </cell>
        </row>
        <row r="645">
          <cell r="A645" t="str">
            <v>YEN200211</v>
          </cell>
          <cell r="B645" t="str">
            <v>IF</v>
          </cell>
          <cell r="C645">
            <v>2002</v>
          </cell>
          <cell r="D645">
            <v>11</v>
          </cell>
          <cell r="E645" t="str">
            <v>YEN</v>
          </cell>
          <cell r="F645">
            <v>0.4</v>
          </cell>
        </row>
        <row r="646">
          <cell r="A646" t="str">
            <v>DM200211</v>
          </cell>
          <cell r="B646" t="str">
            <v>IF</v>
          </cell>
          <cell r="C646">
            <v>2002</v>
          </cell>
          <cell r="D646">
            <v>11</v>
          </cell>
          <cell r="E646" t="str">
            <v>DM</v>
          </cell>
          <cell r="F646">
            <v>21.9</v>
          </cell>
        </row>
        <row r="647">
          <cell r="A647" t="str">
            <v>INR200211</v>
          </cell>
          <cell r="B647" t="str">
            <v>IF</v>
          </cell>
          <cell r="C647">
            <v>2002</v>
          </cell>
          <cell r="D647">
            <v>11</v>
          </cell>
          <cell r="E647" t="str">
            <v>INR</v>
          </cell>
          <cell r="F647">
            <v>1</v>
          </cell>
        </row>
        <row r="648">
          <cell r="A648" t="str">
            <v>SGD200211</v>
          </cell>
          <cell r="B648" t="str">
            <v>IF</v>
          </cell>
          <cell r="C648">
            <v>2002</v>
          </cell>
          <cell r="D648">
            <v>11</v>
          </cell>
          <cell r="E648" t="str">
            <v>SGD</v>
          </cell>
          <cell r="F648">
            <v>27.58</v>
          </cell>
        </row>
        <row r="649">
          <cell r="A649" t="str">
            <v>GBP200211</v>
          </cell>
          <cell r="B649" t="str">
            <v>IF</v>
          </cell>
          <cell r="C649">
            <v>2002</v>
          </cell>
          <cell r="D649">
            <v>11</v>
          </cell>
          <cell r="E649" t="str">
            <v>GBP</v>
          </cell>
          <cell r="F649">
            <v>76.34</v>
          </cell>
        </row>
        <row r="650">
          <cell r="A650" t="str">
            <v>MYR200211</v>
          </cell>
          <cell r="B650" t="str">
            <v>IF</v>
          </cell>
          <cell r="C650">
            <v>2002</v>
          </cell>
          <cell r="D650">
            <v>11</v>
          </cell>
          <cell r="E650" t="str">
            <v>MYR</v>
          </cell>
          <cell r="F650">
            <v>13.37</v>
          </cell>
        </row>
        <row r="651">
          <cell r="A651" t="str">
            <v>CAD200211</v>
          </cell>
          <cell r="B651" t="str">
            <v>IF</v>
          </cell>
          <cell r="C651">
            <v>2002</v>
          </cell>
          <cell r="D651">
            <v>11</v>
          </cell>
          <cell r="E651" t="str">
            <v>CAD</v>
          </cell>
          <cell r="F651">
            <v>31.44</v>
          </cell>
        </row>
        <row r="652">
          <cell r="A652" t="str">
            <v>AUD200211</v>
          </cell>
          <cell r="B652" t="str">
            <v>IF</v>
          </cell>
          <cell r="C652">
            <v>2002</v>
          </cell>
          <cell r="D652">
            <v>11</v>
          </cell>
          <cell r="E652" t="str">
            <v>AUD</v>
          </cell>
          <cell r="F652">
            <v>27.08</v>
          </cell>
        </row>
        <row r="653">
          <cell r="A653" t="str">
            <v>EUR200211</v>
          </cell>
          <cell r="B653" t="str">
            <v>IF</v>
          </cell>
          <cell r="C653">
            <v>2002</v>
          </cell>
          <cell r="D653">
            <v>11</v>
          </cell>
          <cell r="E653" t="str">
            <v>EUR</v>
          </cell>
          <cell r="F653">
            <v>48.02</v>
          </cell>
        </row>
        <row r="654">
          <cell r="A654" t="str">
            <v>SLR200211</v>
          </cell>
          <cell r="B654" t="str">
            <v>IF</v>
          </cell>
          <cell r="C654">
            <v>2002</v>
          </cell>
          <cell r="D654">
            <v>11</v>
          </cell>
          <cell r="E654" t="str">
            <v>SLR</v>
          </cell>
          <cell r="F654">
            <v>0.5</v>
          </cell>
        </row>
        <row r="655">
          <cell r="A655" t="str">
            <v>NLG200211</v>
          </cell>
          <cell r="B655" t="str">
            <v>IF</v>
          </cell>
          <cell r="C655">
            <v>2002</v>
          </cell>
          <cell r="D655">
            <v>11</v>
          </cell>
          <cell r="E655" t="str">
            <v>NLG</v>
          </cell>
          <cell r="F655">
            <v>19.89</v>
          </cell>
        </row>
        <row r="656">
          <cell r="A656" t="str">
            <v>SEK200211</v>
          </cell>
          <cell r="B656" t="str">
            <v>IF</v>
          </cell>
          <cell r="C656">
            <v>2002</v>
          </cell>
          <cell r="D656">
            <v>11</v>
          </cell>
          <cell r="E656" t="str">
            <v>SEK</v>
          </cell>
          <cell r="F656">
            <v>5.35</v>
          </cell>
        </row>
        <row r="657">
          <cell r="A657" t="str">
            <v>BHT200211</v>
          </cell>
          <cell r="B657" t="str">
            <v>IF</v>
          </cell>
          <cell r="C657">
            <v>2002</v>
          </cell>
          <cell r="D657">
            <v>11</v>
          </cell>
          <cell r="E657" t="str">
            <v>BHT</v>
          </cell>
          <cell r="F657">
            <v>1.1200000000000001</v>
          </cell>
        </row>
        <row r="658">
          <cell r="A658" t="str">
            <v>USD200212</v>
          </cell>
          <cell r="B658" t="str">
            <v>IF</v>
          </cell>
          <cell r="C658">
            <v>2002</v>
          </cell>
          <cell r="D658">
            <v>12</v>
          </cell>
          <cell r="E658" t="str">
            <v>USD</v>
          </cell>
          <cell r="F658">
            <v>48.3</v>
          </cell>
        </row>
        <row r="659">
          <cell r="A659" t="str">
            <v>HKD200212</v>
          </cell>
          <cell r="B659" t="str">
            <v>IF</v>
          </cell>
          <cell r="C659">
            <v>2002</v>
          </cell>
          <cell r="D659">
            <v>12</v>
          </cell>
          <cell r="E659" t="str">
            <v>HKD</v>
          </cell>
          <cell r="F659">
            <v>6.21</v>
          </cell>
        </row>
        <row r="660">
          <cell r="A660" t="str">
            <v>YEN200212</v>
          </cell>
          <cell r="B660" t="str">
            <v>IF</v>
          </cell>
          <cell r="C660">
            <v>2002</v>
          </cell>
          <cell r="D660">
            <v>12</v>
          </cell>
          <cell r="E660" t="str">
            <v>YEN</v>
          </cell>
          <cell r="F660">
            <v>0.4</v>
          </cell>
        </row>
        <row r="661">
          <cell r="A661" t="str">
            <v>DM200212</v>
          </cell>
          <cell r="B661" t="str">
            <v>IF</v>
          </cell>
          <cell r="C661">
            <v>2002</v>
          </cell>
          <cell r="D661">
            <v>12</v>
          </cell>
          <cell r="E661" t="str">
            <v>DM</v>
          </cell>
          <cell r="F661">
            <v>21.9</v>
          </cell>
        </row>
        <row r="662">
          <cell r="A662" t="str">
            <v>INR200212</v>
          </cell>
          <cell r="B662" t="str">
            <v>IF</v>
          </cell>
          <cell r="C662">
            <v>2002</v>
          </cell>
          <cell r="D662">
            <v>12</v>
          </cell>
          <cell r="E662" t="str">
            <v>INR</v>
          </cell>
          <cell r="F662">
            <v>1</v>
          </cell>
        </row>
        <row r="663">
          <cell r="A663" t="str">
            <v>SGD200212</v>
          </cell>
          <cell r="B663" t="str">
            <v>IF</v>
          </cell>
          <cell r="C663">
            <v>2002</v>
          </cell>
          <cell r="D663">
            <v>12</v>
          </cell>
          <cell r="E663" t="str">
            <v>SGD</v>
          </cell>
          <cell r="F663">
            <v>27.64</v>
          </cell>
        </row>
        <row r="664">
          <cell r="A664" t="str">
            <v>GBP200212</v>
          </cell>
          <cell r="B664" t="str">
            <v>IF</v>
          </cell>
          <cell r="C664">
            <v>2002</v>
          </cell>
          <cell r="D664">
            <v>12</v>
          </cell>
          <cell r="E664" t="str">
            <v>GBP</v>
          </cell>
          <cell r="F664">
            <v>75.55</v>
          </cell>
        </row>
        <row r="665">
          <cell r="A665" t="str">
            <v>MYR200212</v>
          </cell>
          <cell r="B665" t="str">
            <v>IF</v>
          </cell>
          <cell r="C665">
            <v>2002</v>
          </cell>
          <cell r="D665">
            <v>12</v>
          </cell>
          <cell r="E665" t="str">
            <v>MYR</v>
          </cell>
          <cell r="F665">
            <v>13.37</v>
          </cell>
        </row>
        <row r="666">
          <cell r="A666" t="str">
            <v>CAD200212</v>
          </cell>
          <cell r="B666" t="str">
            <v>IF</v>
          </cell>
          <cell r="C666">
            <v>2002</v>
          </cell>
          <cell r="D666">
            <v>12</v>
          </cell>
          <cell r="E666" t="str">
            <v>CAD</v>
          </cell>
          <cell r="F666">
            <v>31.1</v>
          </cell>
        </row>
        <row r="667">
          <cell r="A667" t="str">
            <v>AUD200212</v>
          </cell>
          <cell r="B667" t="str">
            <v>IF</v>
          </cell>
          <cell r="C667">
            <v>2002</v>
          </cell>
          <cell r="D667">
            <v>12</v>
          </cell>
          <cell r="E667" t="str">
            <v>AUD</v>
          </cell>
          <cell r="F667">
            <v>27.34</v>
          </cell>
        </row>
        <row r="668">
          <cell r="A668" t="str">
            <v>EUR200212</v>
          </cell>
          <cell r="B668" t="str">
            <v>IF</v>
          </cell>
          <cell r="C668">
            <v>2002</v>
          </cell>
          <cell r="D668">
            <v>12</v>
          </cell>
          <cell r="E668" t="str">
            <v>EUR</v>
          </cell>
          <cell r="F668">
            <v>48.4</v>
          </cell>
        </row>
        <row r="669">
          <cell r="A669" t="str">
            <v>SLR200212</v>
          </cell>
          <cell r="B669" t="str">
            <v>IF</v>
          </cell>
          <cell r="C669">
            <v>2002</v>
          </cell>
          <cell r="D669">
            <v>12</v>
          </cell>
          <cell r="E669" t="str">
            <v>SLR</v>
          </cell>
          <cell r="F669">
            <v>0.5</v>
          </cell>
        </row>
        <row r="670">
          <cell r="A670" t="str">
            <v>NLG200212</v>
          </cell>
          <cell r="B670" t="str">
            <v>IF</v>
          </cell>
          <cell r="C670">
            <v>2002</v>
          </cell>
          <cell r="D670">
            <v>12</v>
          </cell>
          <cell r="E670" t="str">
            <v>NLG</v>
          </cell>
          <cell r="F670">
            <v>19.89</v>
          </cell>
        </row>
        <row r="671">
          <cell r="A671" t="str">
            <v>SEK200212</v>
          </cell>
          <cell r="B671" t="str">
            <v>IF</v>
          </cell>
          <cell r="C671">
            <v>2002</v>
          </cell>
          <cell r="D671">
            <v>12</v>
          </cell>
          <cell r="E671" t="str">
            <v>SEK</v>
          </cell>
          <cell r="F671">
            <v>5.35</v>
          </cell>
        </row>
        <row r="672">
          <cell r="A672" t="str">
            <v>BHT200212</v>
          </cell>
          <cell r="B672" t="str">
            <v>IF</v>
          </cell>
          <cell r="C672">
            <v>2002</v>
          </cell>
          <cell r="D672">
            <v>12</v>
          </cell>
          <cell r="E672" t="str">
            <v>BHT</v>
          </cell>
          <cell r="F672">
            <v>1.1100000000000001</v>
          </cell>
        </row>
        <row r="673">
          <cell r="A673" t="str">
            <v>USD20031</v>
          </cell>
          <cell r="B673" t="str">
            <v>IF</v>
          </cell>
          <cell r="C673">
            <v>2003</v>
          </cell>
          <cell r="D673">
            <v>1</v>
          </cell>
          <cell r="E673" t="str">
            <v>USD</v>
          </cell>
          <cell r="F673">
            <v>47.96</v>
          </cell>
        </row>
        <row r="674">
          <cell r="A674" t="str">
            <v>HKD20031</v>
          </cell>
          <cell r="B674" t="str">
            <v>IF</v>
          </cell>
          <cell r="C674">
            <v>2003</v>
          </cell>
          <cell r="D674">
            <v>1</v>
          </cell>
          <cell r="E674" t="str">
            <v>HKD</v>
          </cell>
          <cell r="F674">
            <v>6.15</v>
          </cell>
        </row>
        <row r="675">
          <cell r="A675" t="str">
            <v>YEN20031</v>
          </cell>
          <cell r="B675" t="str">
            <v>IF</v>
          </cell>
          <cell r="C675">
            <v>2003</v>
          </cell>
          <cell r="D675">
            <v>1</v>
          </cell>
          <cell r="E675" t="str">
            <v>YEN</v>
          </cell>
          <cell r="F675">
            <v>0.4</v>
          </cell>
        </row>
        <row r="676">
          <cell r="A676" t="str">
            <v>DM20031</v>
          </cell>
          <cell r="B676" t="str">
            <v>IF</v>
          </cell>
          <cell r="C676">
            <v>2003</v>
          </cell>
          <cell r="D676">
            <v>1</v>
          </cell>
          <cell r="E676" t="str">
            <v>DM</v>
          </cell>
          <cell r="F676">
            <v>21.65</v>
          </cell>
        </row>
        <row r="677">
          <cell r="A677" t="str">
            <v>INR20031</v>
          </cell>
          <cell r="B677" t="str">
            <v>IF</v>
          </cell>
          <cell r="C677">
            <v>2003</v>
          </cell>
          <cell r="D677">
            <v>1</v>
          </cell>
          <cell r="E677" t="str">
            <v>INR</v>
          </cell>
          <cell r="F677">
            <v>1</v>
          </cell>
        </row>
        <row r="678">
          <cell r="A678" t="str">
            <v>SGD20031</v>
          </cell>
          <cell r="B678" t="str">
            <v>IF</v>
          </cell>
          <cell r="C678">
            <v>2003</v>
          </cell>
          <cell r="D678">
            <v>1</v>
          </cell>
          <cell r="E678" t="str">
            <v>SGD</v>
          </cell>
          <cell r="F678">
            <v>27.62</v>
          </cell>
        </row>
        <row r="679">
          <cell r="A679" t="str">
            <v>GBP20031</v>
          </cell>
          <cell r="B679" t="str">
            <v>IF</v>
          </cell>
          <cell r="C679">
            <v>2003</v>
          </cell>
          <cell r="D679">
            <v>1</v>
          </cell>
          <cell r="E679" t="str">
            <v>GBP</v>
          </cell>
          <cell r="F679">
            <v>77.209999999999994</v>
          </cell>
        </row>
        <row r="680">
          <cell r="A680" t="str">
            <v>MYR20031</v>
          </cell>
          <cell r="B680" t="str">
            <v>IF</v>
          </cell>
          <cell r="C680">
            <v>2003</v>
          </cell>
          <cell r="D680">
            <v>1</v>
          </cell>
          <cell r="E680" t="str">
            <v>MYR</v>
          </cell>
          <cell r="F680">
            <v>12.62</v>
          </cell>
        </row>
        <row r="681">
          <cell r="A681" t="str">
            <v>CAD20031</v>
          </cell>
          <cell r="B681" t="str">
            <v>IF</v>
          </cell>
          <cell r="C681">
            <v>2003</v>
          </cell>
          <cell r="D681">
            <v>1</v>
          </cell>
          <cell r="E681" t="str">
            <v>CAD</v>
          </cell>
          <cell r="F681">
            <v>30.43</v>
          </cell>
        </row>
        <row r="682">
          <cell r="A682" t="str">
            <v>AUD20031</v>
          </cell>
          <cell r="B682" t="str">
            <v>IF</v>
          </cell>
          <cell r="C682">
            <v>2003</v>
          </cell>
          <cell r="D682">
            <v>1</v>
          </cell>
          <cell r="E682" t="str">
            <v>AUD</v>
          </cell>
          <cell r="F682">
            <v>27.1</v>
          </cell>
        </row>
        <row r="683">
          <cell r="A683" t="str">
            <v>EUR20031</v>
          </cell>
          <cell r="B683" t="str">
            <v>IF</v>
          </cell>
          <cell r="C683">
            <v>2003</v>
          </cell>
          <cell r="D683">
            <v>1</v>
          </cell>
          <cell r="E683" t="str">
            <v>EUR</v>
          </cell>
          <cell r="F683">
            <v>50.29</v>
          </cell>
        </row>
        <row r="684">
          <cell r="A684" t="str">
            <v>SLR20031</v>
          </cell>
          <cell r="B684" t="str">
            <v>IF</v>
          </cell>
          <cell r="C684">
            <v>2003</v>
          </cell>
          <cell r="D684">
            <v>1</v>
          </cell>
          <cell r="E684" t="str">
            <v>SLR</v>
          </cell>
          <cell r="F684">
            <v>0.5</v>
          </cell>
        </row>
        <row r="685">
          <cell r="A685" t="str">
            <v>NLG20031</v>
          </cell>
          <cell r="B685" t="str">
            <v>IF</v>
          </cell>
          <cell r="C685">
            <v>2003</v>
          </cell>
          <cell r="D685">
            <v>1</v>
          </cell>
          <cell r="E685" t="str">
            <v>NLG</v>
          </cell>
          <cell r="F685">
            <v>19.22</v>
          </cell>
        </row>
        <row r="686">
          <cell r="A686" t="str">
            <v>SEK20031</v>
          </cell>
          <cell r="B686" t="str">
            <v>IF</v>
          </cell>
          <cell r="C686">
            <v>2003</v>
          </cell>
          <cell r="D686">
            <v>1</v>
          </cell>
          <cell r="E686" t="str">
            <v>SEK</v>
          </cell>
          <cell r="F686">
            <v>5.48</v>
          </cell>
        </row>
        <row r="687">
          <cell r="A687" t="str">
            <v>BHT20032</v>
          </cell>
          <cell r="B687" t="str">
            <v>IF</v>
          </cell>
          <cell r="C687">
            <v>2003</v>
          </cell>
          <cell r="D687">
            <v>1</v>
          </cell>
          <cell r="E687" t="str">
            <v>BHT</v>
          </cell>
          <cell r="F687">
            <v>1.1100000000000001</v>
          </cell>
        </row>
        <row r="688">
          <cell r="A688" t="str">
            <v>USD20032</v>
          </cell>
          <cell r="B688" t="str">
            <v>IF</v>
          </cell>
          <cell r="C688">
            <v>2003</v>
          </cell>
          <cell r="D688">
            <v>2</v>
          </cell>
          <cell r="E688" t="str">
            <v>USD</v>
          </cell>
          <cell r="F688">
            <v>47.68</v>
          </cell>
        </row>
        <row r="689">
          <cell r="A689" t="str">
            <v>HKD20032</v>
          </cell>
          <cell r="B689" t="str">
            <v>IF</v>
          </cell>
          <cell r="C689">
            <v>2003</v>
          </cell>
          <cell r="D689">
            <v>2</v>
          </cell>
          <cell r="E689" t="str">
            <v>HKD</v>
          </cell>
          <cell r="F689">
            <v>6.23</v>
          </cell>
        </row>
        <row r="690">
          <cell r="A690" t="str">
            <v>YEN20032</v>
          </cell>
          <cell r="B690" t="str">
            <v>IF</v>
          </cell>
          <cell r="C690">
            <v>2003</v>
          </cell>
          <cell r="D690">
            <v>2</v>
          </cell>
          <cell r="E690" t="str">
            <v>YEN</v>
          </cell>
          <cell r="F690">
            <v>0.4</v>
          </cell>
        </row>
        <row r="691">
          <cell r="A691" t="str">
            <v>DM20032</v>
          </cell>
          <cell r="B691" t="str">
            <v>IF</v>
          </cell>
          <cell r="C691">
            <v>2003</v>
          </cell>
          <cell r="D691">
            <v>2</v>
          </cell>
          <cell r="E691" t="str">
            <v>DM</v>
          </cell>
          <cell r="F691">
            <v>21.65</v>
          </cell>
        </row>
        <row r="692">
          <cell r="A692" t="str">
            <v>INR20032</v>
          </cell>
          <cell r="B692" t="str">
            <v>IF</v>
          </cell>
          <cell r="C692">
            <v>2003</v>
          </cell>
          <cell r="D692">
            <v>2</v>
          </cell>
          <cell r="E692" t="str">
            <v>INR</v>
          </cell>
          <cell r="F692">
            <v>1</v>
          </cell>
        </row>
        <row r="693">
          <cell r="A693" t="str">
            <v>SGD20032</v>
          </cell>
          <cell r="B693" t="str">
            <v>IF</v>
          </cell>
          <cell r="C693">
            <v>2003</v>
          </cell>
          <cell r="D693">
            <v>2</v>
          </cell>
          <cell r="E693" t="str">
            <v>SGD</v>
          </cell>
          <cell r="F693">
            <v>27.78</v>
          </cell>
        </row>
        <row r="694">
          <cell r="A694" t="str">
            <v>GBP20032</v>
          </cell>
          <cell r="B694" t="str">
            <v>IF</v>
          </cell>
          <cell r="C694">
            <v>2003</v>
          </cell>
          <cell r="D694">
            <v>2</v>
          </cell>
          <cell r="E694" t="str">
            <v>GBP</v>
          </cell>
          <cell r="F694">
            <v>78.67</v>
          </cell>
        </row>
        <row r="695">
          <cell r="A695" t="str">
            <v>MYR20032</v>
          </cell>
          <cell r="B695" t="str">
            <v>IF</v>
          </cell>
          <cell r="C695">
            <v>2003</v>
          </cell>
          <cell r="D695">
            <v>2</v>
          </cell>
          <cell r="E695" t="str">
            <v>MYR</v>
          </cell>
          <cell r="F695">
            <v>12.62</v>
          </cell>
        </row>
        <row r="696">
          <cell r="A696" t="str">
            <v>CAD20032</v>
          </cell>
          <cell r="B696" t="str">
            <v>IF</v>
          </cell>
          <cell r="C696">
            <v>2003</v>
          </cell>
          <cell r="D696">
            <v>2</v>
          </cell>
          <cell r="E696" t="str">
            <v>CAD</v>
          </cell>
          <cell r="F696">
            <v>31.74</v>
          </cell>
        </row>
        <row r="697">
          <cell r="A697" t="str">
            <v>AUD20032</v>
          </cell>
          <cell r="B697" t="str">
            <v>IF</v>
          </cell>
          <cell r="C697">
            <v>2003</v>
          </cell>
          <cell r="D697">
            <v>2</v>
          </cell>
          <cell r="E697" t="str">
            <v>AUD</v>
          </cell>
          <cell r="F697">
            <v>28.4</v>
          </cell>
        </row>
        <row r="698">
          <cell r="A698" t="str">
            <v>EUR20032</v>
          </cell>
          <cell r="B698" t="str">
            <v>IF</v>
          </cell>
          <cell r="C698">
            <v>2003</v>
          </cell>
          <cell r="D698">
            <v>2</v>
          </cell>
          <cell r="E698" t="str">
            <v>EUR</v>
          </cell>
          <cell r="F698">
            <v>51.26</v>
          </cell>
        </row>
        <row r="699">
          <cell r="A699" t="str">
            <v>SLR20032</v>
          </cell>
          <cell r="B699" t="str">
            <v>IF</v>
          </cell>
          <cell r="C699">
            <v>2003</v>
          </cell>
          <cell r="D699">
            <v>2</v>
          </cell>
          <cell r="E699" t="str">
            <v>SLR</v>
          </cell>
          <cell r="F699">
            <v>0.5</v>
          </cell>
        </row>
        <row r="700">
          <cell r="A700" t="str">
            <v>NLG20032</v>
          </cell>
          <cell r="B700" t="str">
            <v>IF</v>
          </cell>
          <cell r="C700">
            <v>2003</v>
          </cell>
          <cell r="D700">
            <v>2</v>
          </cell>
          <cell r="E700" t="str">
            <v>NLG</v>
          </cell>
          <cell r="F700">
            <v>19.22</v>
          </cell>
        </row>
        <row r="701">
          <cell r="A701" t="str">
            <v>SEK20032</v>
          </cell>
          <cell r="B701" t="str">
            <v>IF</v>
          </cell>
          <cell r="C701">
            <v>2003</v>
          </cell>
          <cell r="D701">
            <v>2</v>
          </cell>
          <cell r="E701" t="str">
            <v>SEK</v>
          </cell>
          <cell r="F701">
            <v>5.71</v>
          </cell>
        </row>
        <row r="702">
          <cell r="A702" t="str">
            <v>BHT20032</v>
          </cell>
          <cell r="B702" t="str">
            <v>IF</v>
          </cell>
          <cell r="C702">
            <v>2003</v>
          </cell>
          <cell r="D702">
            <v>2</v>
          </cell>
          <cell r="E702" t="str">
            <v>BHT</v>
          </cell>
          <cell r="F702">
            <v>1.1100000000000001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heet12"/>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Challan"/>
    </sheetNames>
    <sheetDataSet>
      <sheetData sheetId="0" refreshError="1"/>
      <sheetData sheetId="1">
        <row r="139">
          <cell r="B139" t="str">
            <v>201L252</v>
          </cell>
          <cell r="C139">
            <v>97.875</v>
          </cell>
          <cell r="D139">
            <v>10</v>
          </cell>
          <cell r="E139">
            <v>978.75</v>
          </cell>
          <cell r="F139">
            <v>1.3</v>
          </cell>
          <cell r="G139">
            <v>13</v>
          </cell>
          <cell r="H139">
            <v>69.72</v>
          </cell>
          <cell r="I139">
            <v>697.2</v>
          </cell>
          <cell r="J139">
            <v>11.949999999999998</v>
          </cell>
          <cell r="K139">
            <v>9.5599999999999987</v>
          </cell>
          <cell r="L139">
            <v>95.6</v>
          </cell>
          <cell r="M139">
            <v>805.80000000000007</v>
          </cell>
          <cell r="N139">
            <v>17.294999999999995</v>
          </cell>
          <cell r="O139">
            <v>172.94999999999993</v>
          </cell>
          <cell r="P139">
            <v>17.670498084291182</v>
          </cell>
        </row>
        <row r="140">
          <cell r="B140" t="str">
            <v>201L600</v>
          </cell>
          <cell r="C140">
            <v>104.4</v>
          </cell>
          <cell r="D140">
            <v>36</v>
          </cell>
          <cell r="E140">
            <v>3758.4</v>
          </cell>
          <cell r="F140">
            <v>1.3</v>
          </cell>
          <cell r="G140">
            <v>46.800000000000004</v>
          </cell>
          <cell r="H140">
            <v>47.07</v>
          </cell>
          <cell r="I140">
            <v>1694.52</v>
          </cell>
          <cell r="J140">
            <v>8.9600000000000026</v>
          </cell>
          <cell r="K140">
            <v>7.1680000000000019</v>
          </cell>
          <cell r="L140">
            <v>258.04800000000006</v>
          </cell>
          <cell r="M140">
            <v>1999.3679999999999</v>
          </cell>
          <cell r="N140">
            <v>48.862000000000002</v>
          </cell>
          <cell r="O140">
            <v>1759.0320000000002</v>
          </cell>
          <cell r="P140">
            <v>46.802681992337163</v>
          </cell>
        </row>
        <row r="141">
          <cell r="B141" t="str">
            <v>201L912</v>
          </cell>
          <cell r="C141">
            <v>97.875</v>
          </cell>
          <cell r="D141">
            <v>21</v>
          </cell>
          <cell r="E141">
            <v>2055.375</v>
          </cell>
          <cell r="F141">
            <v>1.3</v>
          </cell>
          <cell r="G141">
            <v>27.3</v>
          </cell>
          <cell r="H141">
            <v>65.710000000000008</v>
          </cell>
          <cell r="I141">
            <v>1379.91</v>
          </cell>
          <cell r="J141">
            <v>14.19</v>
          </cell>
          <cell r="K141">
            <v>11.352</v>
          </cell>
          <cell r="L141">
            <v>238.392</v>
          </cell>
          <cell r="M141">
            <v>1645.6020000000001</v>
          </cell>
          <cell r="N141">
            <v>19.512999999999995</v>
          </cell>
          <cell r="O141">
            <v>409.77299999999991</v>
          </cell>
          <cell r="P141">
            <v>19.936653895274578</v>
          </cell>
        </row>
        <row r="142">
          <cell r="B142" t="str">
            <v>201L984</v>
          </cell>
          <cell r="C142">
            <v>97.875</v>
          </cell>
          <cell r="D142">
            <v>807</v>
          </cell>
          <cell r="E142">
            <v>78985.125</v>
          </cell>
          <cell r="F142">
            <v>1.3000000000000003</v>
          </cell>
          <cell r="G142">
            <v>1049.1000000000001</v>
          </cell>
          <cell r="H142">
            <v>49.269999999999996</v>
          </cell>
          <cell r="I142">
            <v>39760.89</v>
          </cell>
          <cell r="J142">
            <v>7.5</v>
          </cell>
          <cell r="K142">
            <v>6</v>
          </cell>
          <cell r="L142">
            <v>4842</v>
          </cell>
          <cell r="M142">
            <v>45651.99</v>
          </cell>
          <cell r="N142">
            <v>41.305</v>
          </cell>
          <cell r="O142">
            <v>33333.135000000002</v>
          </cell>
          <cell r="P142">
            <v>42.20178799489144</v>
          </cell>
        </row>
        <row r="143">
          <cell r="B143" t="str">
            <v>205-252</v>
          </cell>
          <cell r="C143">
            <v>97.875</v>
          </cell>
          <cell r="D143">
            <v>12</v>
          </cell>
          <cell r="E143">
            <v>1174.5</v>
          </cell>
          <cell r="F143">
            <v>1.3</v>
          </cell>
          <cell r="G143">
            <v>15.600000000000001</v>
          </cell>
          <cell r="H143">
            <v>79.3</v>
          </cell>
          <cell r="I143">
            <v>951.6</v>
          </cell>
          <cell r="J143">
            <v>15.49</v>
          </cell>
          <cell r="K143">
            <v>12.392000000000001</v>
          </cell>
          <cell r="L143">
            <v>148.70400000000001</v>
          </cell>
          <cell r="M143">
            <v>1115.904</v>
          </cell>
          <cell r="N143">
            <v>4.883</v>
          </cell>
          <cell r="O143">
            <v>58.596000000000004</v>
          </cell>
          <cell r="P143">
            <v>4.9890166028097065</v>
          </cell>
        </row>
        <row r="144">
          <cell r="B144" t="str">
            <v>205L252</v>
          </cell>
          <cell r="C144">
            <v>114.1875</v>
          </cell>
          <cell r="D144">
            <v>14</v>
          </cell>
          <cell r="E144">
            <v>1598.625</v>
          </cell>
          <cell r="F144">
            <v>1.3</v>
          </cell>
          <cell r="G144">
            <v>18.2</v>
          </cell>
          <cell r="H144">
            <v>83.27</v>
          </cell>
          <cell r="I144">
            <v>1165.78</v>
          </cell>
          <cell r="J144">
            <v>15.32</v>
          </cell>
          <cell r="K144">
            <v>12.256</v>
          </cell>
          <cell r="L144">
            <v>171.584</v>
          </cell>
          <cell r="M144">
            <v>1355.5640000000001</v>
          </cell>
          <cell r="N144">
            <v>17.361499999999996</v>
          </cell>
          <cell r="O144">
            <v>243.06099999999992</v>
          </cell>
          <cell r="P144">
            <v>15.204378762999449</v>
          </cell>
        </row>
        <row r="145">
          <cell r="B145" t="str">
            <v>209A340</v>
          </cell>
          <cell r="C145">
            <v>104.39999999999999</v>
          </cell>
          <cell r="D145">
            <v>116</v>
          </cell>
          <cell r="E145">
            <v>12110.4</v>
          </cell>
          <cell r="F145">
            <v>1.3</v>
          </cell>
          <cell r="G145">
            <v>150.80000000000001</v>
          </cell>
          <cell r="H145">
            <v>92.74</v>
          </cell>
          <cell r="I145">
            <v>10757.84</v>
          </cell>
          <cell r="J145">
            <v>13</v>
          </cell>
          <cell r="K145">
            <v>10.4</v>
          </cell>
          <cell r="L145">
            <v>1206.4000000000001</v>
          </cell>
          <cell r="M145">
            <v>12115.039999999999</v>
          </cell>
          <cell r="N145">
            <v>-3.9999999999994984E-2</v>
          </cell>
          <cell r="O145">
            <v>-4.6399999999994179</v>
          </cell>
          <cell r="P145">
            <v>-3.8314176245205923E-2</v>
          </cell>
        </row>
        <row r="146">
          <cell r="B146" t="str">
            <v>St. lots</v>
          </cell>
          <cell r="C146">
            <v>81.5625</v>
          </cell>
          <cell r="D146">
            <v>270</v>
          </cell>
          <cell r="E146">
            <v>22021.875</v>
          </cell>
          <cell r="F146">
            <v>1.3</v>
          </cell>
          <cell r="G146">
            <v>351</v>
          </cell>
          <cell r="H146">
            <v>158.3126</v>
          </cell>
          <cell r="I146">
            <v>42744.402000000002</v>
          </cell>
          <cell r="J146">
            <v>15.21</v>
          </cell>
          <cell r="K146">
            <v>12.168000000000001</v>
          </cell>
          <cell r="L146">
            <v>3285.36</v>
          </cell>
          <cell r="M146">
            <v>46380.762000000002</v>
          </cell>
          <cell r="N146">
            <v>-90.218100000000007</v>
          </cell>
          <cell r="O146">
            <v>-24358.887000000002</v>
          </cell>
          <cell r="P146">
            <v>-110.61222988505747</v>
          </cell>
        </row>
        <row r="147">
          <cell r="B147" t="str">
            <v>237L063</v>
          </cell>
          <cell r="C147">
            <v>114.1875</v>
          </cell>
          <cell r="D147">
            <v>12</v>
          </cell>
          <cell r="E147">
            <v>1370.25</v>
          </cell>
          <cell r="F147">
            <v>1.3</v>
          </cell>
          <cell r="G147">
            <v>15.600000000000001</v>
          </cell>
          <cell r="H147">
            <v>119.52</v>
          </cell>
          <cell r="I147">
            <v>1434.24</v>
          </cell>
          <cell r="J147">
            <v>12.97</v>
          </cell>
          <cell r="K147">
            <v>10.376000000000001</v>
          </cell>
          <cell r="L147">
            <v>124.51200000000001</v>
          </cell>
          <cell r="M147">
            <v>1574.3519999999999</v>
          </cell>
          <cell r="N147">
            <v>-17.008499999999987</v>
          </cell>
          <cell r="O147">
            <v>-204.10199999999986</v>
          </cell>
          <cell r="P147">
            <v>-14.895238095238083</v>
          </cell>
        </row>
        <row r="148">
          <cell r="B148" t="str">
            <v>70-580</v>
          </cell>
          <cell r="C148">
            <v>55.462499999999999</v>
          </cell>
          <cell r="D148">
            <v>33</v>
          </cell>
          <cell r="E148">
            <v>1830.2625</v>
          </cell>
          <cell r="F148">
            <v>1.3</v>
          </cell>
          <cell r="G148">
            <v>42.9</v>
          </cell>
          <cell r="H148">
            <v>43.35</v>
          </cell>
          <cell r="I148">
            <v>1430.55</v>
          </cell>
          <cell r="J148">
            <v>5.43</v>
          </cell>
          <cell r="K148">
            <v>4.3440000000000003</v>
          </cell>
          <cell r="L148">
            <v>143.352</v>
          </cell>
          <cell r="M148">
            <v>1616.8020000000001</v>
          </cell>
          <cell r="N148">
            <v>6.468499999999997</v>
          </cell>
          <cell r="O148">
            <v>213.46049999999991</v>
          </cell>
          <cell r="P148">
            <v>11.662835249042141</v>
          </cell>
        </row>
        <row r="149">
          <cell r="B149" t="str">
            <v>70-629</v>
          </cell>
          <cell r="C149">
            <v>42.412500000000001</v>
          </cell>
          <cell r="D149">
            <v>6302</v>
          </cell>
          <cell r="E149">
            <v>267283.57500000001</v>
          </cell>
          <cell r="F149">
            <v>1.3</v>
          </cell>
          <cell r="G149">
            <v>8192.6</v>
          </cell>
          <cell r="H149">
            <v>23.75</v>
          </cell>
          <cell r="I149">
            <v>149672.5</v>
          </cell>
          <cell r="J149">
            <v>4.8099999999999987</v>
          </cell>
          <cell r="K149">
            <v>3.8479999999999994</v>
          </cell>
          <cell r="L149">
            <v>24250.095999999998</v>
          </cell>
          <cell r="M149">
            <v>182115.196</v>
          </cell>
          <cell r="N149">
            <v>13.514500000000002</v>
          </cell>
          <cell r="O149">
            <v>85168.379000000015</v>
          </cell>
          <cell r="P149">
            <v>31.864426760978485</v>
          </cell>
        </row>
        <row r="150">
          <cell r="B150" t="str">
            <v>70-630</v>
          </cell>
          <cell r="C150">
            <v>48.9375</v>
          </cell>
          <cell r="D150">
            <v>12</v>
          </cell>
          <cell r="E150">
            <v>587.25</v>
          </cell>
          <cell r="F150">
            <v>1.3</v>
          </cell>
          <cell r="G150">
            <v>15.600000000000001</v>
          </cell>
          <cell r="H150">
            <v>47.629999999999995</v>
          </cell>
          <cell r="I150">
            <v>571.55999999999995</v>
          </cell>
          <cell r="J150">
            <v>4.75</v>
          </cell>
          <cell r="K150">
            <v>3.8000000000000003</v>
          </cell>
          <cell r="L150">
            <v>45.6</v>
          </cell>
          <cell r="M150">
            <v>632.76</v>
          </cell>
          <cell r="N150">
            <v>-3.7924999999999991</v>
          </cell>
          <cell r="O150">
            <v>-45.509999999999991</v>
          </cell>
          <cell r="P150">
            <v>-7.7496807151979539</v>
          </cell>
        </row>
        <row r="151">
          <cell r="B151" t="str">
            <v>70-650</v>
          </cell>
          <cell r="C151">
            <v>55.462499999999999</v>
          </cell>
          <cell r="D151">
            <v>24</v>
          </cell>
          <cell r="E151">
            <v>1331.1</v>
          </cell>
          <cell r="F151">
            <v>1.3</v>
          </cell>
          <cell r="G151">
            <v>31.200000000000003</v>
          </cell>
          <cell r="H151">
            <v>62.18</v>
          </cell>
          <cell r="I151">
            <v>1492.32</v>
          </cell>
          <cell r="J151">
            <v>5.6999999999999993</v>
          </cell>
          <cell r="K151">
            <v>4.5599999999999996</v>
          </cell>
          <cell r="L151">
            <v>109.44</v>
          </cell>
          <cell r="M151">
            <v>1632.96</v>
          </cell>
          <cell r="N151">
            <v>-12.577500000000006</v>
          </cell>
          <cell r="O151">
            <v>-301.86000000000013</v>
          </cell>
          <cell r="P151">
            <v>-22.677484787018269</v>
          </cell>
        </row>
        <row r="152">
          <cell r="B152" t="str">
            <v>70-683</v>
          </cell>
          <cell r="C152">
            <v>48.9375</v>
          </cell>
          <cell r="D152">
            <v>118</v>
          </cell>
          <cell r="E152">
            <v>5774.625</v>
          </cell>
          <cell r="F152">
            <v>1.3</v>
          </cell>
          <cell r="G152">
            <v>153.4</v>
          </cell>
          <cell r="H152">
            <v>47.8</v>
          </cell>
          <cell r="I152">
            <v>5640.4</v>
          </cell>
          <cell r="J152">
            <v>5.2</v>
          </cell>
          <cell r="K152">
            <v>4.16</v>
          </cell>
          <cell r="L152">
            <v>490.88</v>
          </cell>
          <cell r="M152">
            <v>6284.6799999999994</v>
          </cell>
          <cell r="N152">
            <v>-4.3224999999999945</v>
          </cell>
          <cell r="O152">
            <v>-510.05499999999938</v>
          </cell>
          <cell r="P152">
            <v>-8.8326947637292346</v>
          </cell>
        </row>
        <row r="153">
          <cell r="B153" t="str">
            <v>70-689</v>
          </cell>
          <cell r="C153">
            <v>97.875</v>
          </cell>
          <cell r="D153">
            <v>12</v>
          </cell>
          <cell r="E153">
            <v>1174.5</v>
          </cell>
          <cell r="F153">
            <v>1.3</v>
          </cell>
          <cell r="G153">
            <v>15.600000000000001</v>
          </cell>
          <cell r="H153">
            <v>120.23</v>
          </cell>
          <cell r="I153">
            <v>1442.76</v>
          </cell>
          <cell r="J153">
            <v>6.14</v>
          </cell>
          <cell r="K153">
            <v>4.9119999999999999</v>
          </cell>
          <cell r="L153">
            <v>58.944000000000003</v>
          </cell>
          <cell r="M153">
            <v>1517.3039999999999</v>
          </cell>
          <cell r="N153">
            <v>-28.56699999999999</v>
          </cell>
          <cell r="O153">
            <v>-342.80399999999986</v>
          </cell>
          <cell r="P153">
            <v>-29.187228607918254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rticle"/>
      <sheetName val="CUMAA"/>
      <sheetName val="Sum-Art"/>
      <sheetName val="Sum-CuA"/>
      <sheetName val="FG Trans."/>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Sum-Art (2)"/>
      <sheetName val="Sum-CuA (2)"/>
      <sheetName val="FG Trans. (2)"/>
      <sheetName val="OP (2)"/>
    </sheetNames>
    <sheetDataSet>
      <sheetData sheetId="0" refreshError="1"/>
      <sheetData sheetId="1"/>
      <sheetData sheetId="2"/>
      <sheetData sheetId="3" refreshError="1"/>
      <sheetData sheetId="4" refreshError="1"/>
      <sheetData sheetId="5" refreshError="1"/>
      <sheetData sheetId="6" refreshError="1"/>
      <sheetData sheetId="7"/>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m-Art"/>
      <sheetName val="Sum-Cuma"/>
      <sheetName val="Article"/>
      <sheetName val="CUMAA"/>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Rate-Jan"/>
    </sheetNames>
    <sheetDataSet>
      <sheetData sheetId="0" refreshError="1"/>
      <sheetData sheetId="1" refreshError="1"/>
      <sheetData sheetId="2" refreshError="1"/>
      <sheetData sheetId="3" refreshError="1">
        <row r="42">
          <cell r="B42" t="str">
            <v>206-173</v>
          </cell>
          <cell r="C42">
            <v>292.75789104375792</v>
          </cell>
          <cell r="D42">
            <v>10261</v>
          </cell>
          <cell r="E42">
            <v>3003988.72</v>
          </cell>
          <cell r="F42">
            <v>3.4559009843095216</v>
          </cell>
          <cell r="G42">
            <v>35461</v>
          </cell>
          <cell r="H42">
            <v>146.6</v>
          </cell>
          <cell r="I42">
            <v>1504262.5999999999</v>
          </cell>
          <cell r="J42">
            <v>15.41</v>
          </cell>
          <cell r="K42">
            <v>12.328000000000001</v>
          </cell>
          <cell r="L42">
            <v>126497.60800000001</v>
          </cell>
          <cell r="M42">
            <v>1666221.2079999999</v>
          </cell>
          <cell r="N42">
            <v>130.37399005944843</v>
          </cell>
          <cell r="O42">
            <v>1337767.5120000003</v>
          </cell>
          <cell r="P42">
            <v>44.533040456956186</v>
          </cell>
        </row>
        <row r="43">
          <cell r="B43" t="str">
            <v>209-460</v>
          </cell>
          <cell r="C43">
            <v>279.54250592246945</v>
          </cell>
          <cell r="D43">
            <v>11144</v>
          </cell>
          <cell r="E43">
            <v>3115221.6859999998</v>
          </cell>
          <cell r="F43">
            <v>3.5231514716439341</v>
          </cell>
          <cell r="G43">
            <v>39262</v>
          </cell>
          <cell r="H43">
            <v>145</v>
          </cell>
          <cell r="I43">
            <v>1615880</v>
          </cell>
          <cell r="J43">
            <v>14.96</v>
          </cell>
          <cell r="K43">
            <v>11.968000000000002</v>
          </cell>
          <cell r="L43">
            <v>133371.39200000002</v>
          </cell>
          <cell r="M43">
            <v>1788513.392</v>
          </cell>
          <cell r="N43">
            <v>119.05135445082553</v>
          </cell>
          <cell r="O43">
            <v>1326708.2939999998</v>
          </cell>
          <cell r="P43">
            <v>42.587925602929303</v>
          </cell>
        </row>
        <row r="44">
          <cell r="B44" t="str">
            <v>209-591</v>
          </cell>
          <cell r="C44">
            <v>249.34000578257522</v>
          </cell>
          <cell r="D44">
            <v>2594</v>
          </cell>
          <cell r="E44">
            <v>646787.97500000009</v>
          </cell>
          <cell r="F44">
            <v>3.6885119506553585</v>
          </cell>
          <cell r="G44">
            <v>9568</v>
          </cell>
          <cell r="H44">
            <v>116</v>
          </cell>
          <cell r="I44">
            <v>300904</v>
          </cell>
          <cell r="J44">
            <v>11.7</v>
          </cell>
          <cell r="K44">
            <v>9.36</v>
          </cell>
          <cell r="L44">
            <v>24279.84</v>
          </cell>
          <cell r="M44">
            <v>334751.84000000003</v>
          </cell>
          <cell r="N44">
            <v>120.29149383191984</v>
          </cell>
          <cell r="O44">
            <v>312036.13500000007</v>
          </cell>
          <cell r="P44">
            <v>48.243960472518062</v>
          </cell>
        </row>
        <row r="45">
          <cell r="B45" t="str">
            <v>217-675</v>
          </cell>
          <cell r="C45">
            <v>463.5273557864565</v>
          </cell>
          <cell r="D45">
            <v>5582</v>
          </cell>
          <cell r="E45">
            <v>2587409.7000000002</v>
          </cell>
          <cell r="F45">
            <v>3.4512719455392333</v>
          </cell>
          <cell r="G45">
            <v>19265</v>
          </cell>
          <cell r="H45">
            <v>245</v>
          </cell>
          <cell r="I45">
            <v>1367590</v>
          </cell>
          <cell r="J45">
            <v>19.21</v>
          </cell>
          <cell r="K45">
            <v>15.368</v>
          </cell>
          <cell r="L45">
            <v>85784.176000000007</v>
          </cell>
          <cell r="M45">
            <v>1472639.176</v>
          </cell>
          <cell r="N45">
            <v>199.70808384091728</v>
          </cell>
          <cell r="O45">
            <v>1114770.5240000002</v>
          </cell>
          <cell r="P45">
            <v>43.084422385832447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um-Art"/>
      <sheetName val="Sum-Cuma"/>
      <sheetName val="Article"/>
      <sheetName val="CUMAA"/>
      <sheetName val="OP"/>
      <sheetName val="PCOST"/>
      <sheetName val="STOCKS"/>
      <sheetName val="Sheet11"/>
      <sheetName val="WIP97"/>
      <sheetName val="Finance MI"/>
      <sheetName val="MI-Rec"/>
      <sheetName val="issuenneeeeee"/>
      <sheetName val="Sheet1"/>
      <sheetName val="Sheet8"/>
      <sheetName val="Sheet2"/>
      <sheetName val="FG"/>
      <sheetName val="FGnew"/>
      <sheetName val="Sheet9"/>
      <sheetName val="Sheet10"/>
      <sheetName val="MIrecannual"/>
      <sheetName val="Sheet6"/>
      <sheetName val="as"/>
      <sheetName val="Caa"/>
      <sheetName val="Sheet7"/>
      <sheetName val="Sheet5"/>
      <sheetName val="Sheet3"/>
      <sheetName val="Sa"/>
      <sheetName val="LIST"/>
      <sheetName val="Sheet4"/>
      <sheetName val="DEAD"/>
      <sheetName val="Date Setup"/>
      <sheetName val="Info"/>
      <sheetName val="rate-jan"/>
    </sheetNames>
    <sheetDataSet>
      <sheetData sheetId="0" refreshError="1"/>
      <sheetData sheetId="1"/>
      <sheetData sheetId="2"/>
      <sheetData sheetId="3" refreshError="1">
        <row r="74">
          <cell r="B74" t="str">
            <v>200L639</v>
          </cell>
          <cell r="C74">
            <v>47.287500000000001</v>
          </cell>
          <cell r="D74">
            <v>800</v>
          </cell>
          <cell r="E74">
            <v>37830</v>
          </cell>
          <cell r="F74">
            <v>1.3</v>
          </cell>
          <cell r="G74">
            <v>1040</v>
          </cell>
          <cell r="H74">
            <v>62.39</v>
          </cell>
          <cell r="I74">
            <v>49912</v>
          </cell>
          <cell r="J74">
            <v>7.6</v>
          </cell>
          <cell r="K74">
            <v>6.08</v>
          </cell>
          <cell r="L74">
            <v>4864</v>
          </cell>
          <cell r="M74">
            <v>55816</v>
          </cell>
          <cell r="N74">
            <v>-22.482500000000002</v>
          </cell>
          <cell r="O74">
            <v>-17986</v>
          </cell>
          <cell r="P74">
            <v>-47.544277028813113</v>
          </cell>
        </row>
        <row r="75">
          <cell r="B75" t="str">
            <v>St lots</v>
          </cell>
          <cell r="C75">
            <v>47.287500000000001</v>
          </cell>
          <cell r="D75">
            <v>5000</v>
          </cell>
          <cell r="E75">
            <v>236437.5</v>
          </cell>
          <cell r="F75">
            <v>1.3</v>
          </cell>
          <cell r="G75">
            <v>6500</v>
          </cell>
          <cell r="H75">
            <v>0</v>
          </cell>
          <cell r="I75">
            <v>0</v>
          </cell>
          <cell r="J75">
            <v>0</v>
          </cell>
          <cell r="K75">
            <v>0</v>
          </cell>
          <cell r="L75">
            <v>0</v>
          </cell>
          <cell r="M75">
            <v>6500</v>
          </cell>
          <cell r="N75">
            <v>45.987499999999997</v>
          </cell>
          <cell r="O75">
            <v>229937.5</v>
          </cell>
          <cell r="P75">
            <v>97.250859106529191</v>
          </cell>
        </row>
        <row r="76">
          <cell r="B76" t="str">
            <v>201L253</v>
          </cell>
          <cell r="C76">
            <v>47.287500000000001</v>
          </cell>
          <cell r="D76">
            <v>50</v>
          </cell>
          <cell r="E76">
            <v>2364.375</v>
          </cell>
          <cell r="F76">
            <v>1.3</v>
          </cell>
          <cell r="G76">
            <v>65</v>
          </cell>
          <cell r="H76">
            <v>77.08</v>
          </cell>
          <cell r="I76">
            <v>3854</v>
          </cell>
          <cell r="J76">
            <v>5.79</v>
          </cell>
          <cell r="K76">
            <v>4.6320000000000006</v>
          </cell>
          <cell r="L76">
            <v>231.60000000000002</v>
          </cell>
          <cell r="M76">
            <v>4150.6000000000004</v>
          </cell>
          <cell r="N76">
            <v>-35.724500000000006</v>
          </cell>
          <cell r="O76">
            <v>-1786.2250000000004</v>
          </cell>
          <cell r="P76">
            <v>-75.547449114459425</v>
          </cell>
        </row>
        <row r="77">
          <cell r="B77" t="str">
            <v>201L751</v>
          </cell>
          <cell r="C77">
            <v>47.287499999999994</v>
          </cell>
          <cell r="D77">
            <v>74</v>
          </cell>
          <cell r="E77">
            <v>3499.2749999999996</v>
          </cell>
          <cell r="F77">
            <v>1.3</v>
          </cell>
          <cell r="G77">
            <v>96.2</v>
          </cell>
          <cell r="H77">
            <v>59.879999999999995</v>
          </cell>
          <cell r="I77">
            <v>4431.12</v>
          </cell>
          <cell r="J77">
            <v>10.34</v>
          </cell>
          <cell r="K77">
            <v>8.2720000000000002</v>
          </cell>
          <cell r="L77">
            <v>612.12800000000004</v>
          </cell>
          <cell r="M77">
            <v>5139.4479999999994</v>
          </cell>
          <cell r="N77">
            <v>-22.164499999999997</v>
          </cell>
          <cell r="O77">
            <v>-1640.1729999999998</v>
          </cell>
          <cell r="P77">
            <v>-46.871794871794869</v>
          </cell>
        </row>
        <row r="78">
          <cell r="B78" t="str">
            <v>201L912</v>
          </cell>
          <cell r="C78">
            <v>47.287500000000001</v>
          </cell>
          <cell r="D78">
            <v>10000</v>
          </cell>
          <cell r="E78">
            <v>472875</v>
          </cell>
          <cell r="F78">
            <v>1.3</v>
          </cell>
          <cell r="G78">
            <v>13000</v>
          </cell>
          <cell r="H78">
            <v>65.709999999999994</v>
          </cell>
          <cell r="I78">
            <v>657099.99999999988</v>
          </cell>
          <cell r="J78">
            <v>14.19</v>
          </cell>
          <cell r="K78">
            <v>11.352</v>
          </cell>
          <cell r="L78">
            <v>113520</v>
          </cell>
          <cell r="M78">
            <v>783619.99999999988</v>
          </cell>
          <cell r="N78">
            <v>-31.07449999999999</v>
          </cell>
          <cell r="O78">
            <v>-310744.99999999988</v>
          </cell>
          <cell r="P78">
            <v>-65.713983610890807</v>
          </cell>
        </row>
        <row r="79">
          <cell r="B79" t="str">
            <v>202L382</v>
          </cell>
          <cell r="C79">
            <v>47.287500000000001</v>
          </cell>
          <cell r="D79">
            <v>12</v>
          </cell>
          <cell r="E79">
            <v>567.45000000000005</v>
          </cell>
          <cell r="F79">
            <v>1.3</v>
          </cell>
          <cell r="G79">
            <v>15.600000000000001</v>
          </cell>
          <cell r="H79">
            <v>77.45</v>
          </cell>
          <cell r="I79">
            <v>929.40000000000009</v>
          </cell>
          <cell r="J79">
            <v>11.469999999999999</v>
          </cell>
          <cell r="K79">
            <v>9.1760000000000002</v>
          </cell>
          <cell r="L79">
            <v>110.11199999999999</v>
          </cell>
          <cell r="M79">
            <v>1055.1120000000001</v>
          </cell>
          <cell r="N79">
            <v>-40.638500000000001</v>
          </cell>
          <cell r="O79">
            <v>-487.66200000000003</v>
          </cell>
          <cell r="P79">
            <v>-85.939201691779004</v>
          </cell>
        </row>
        <row r="80">
          <cell r="B80" t="str">
            <v>202L474</v>
          </cell>
          <cell r="C80">
            <v>47.287499999999994</v>
          </cell>
          <cell r="D80">
            <v>1374</v>
          </cell>
          <cell r="E80">
            <v>64973.024999999994</v>
          </cell>
          <cell r="F80">
            <v>1.3</v>
          </cell>
          <cell r="G80">
            <v>1786.2</v>
          </cell>
          <cell r="H80">
            <v>82.13</v>
          </cell>
          <cell r="I80">
            <v>112846.62</v>
          </cell>
          <cell r="J80">
            <v>10.050000000000001</v>
          </cell>
          <cell r="K80">
            <v>8.0400000000000009</v>
          </cell>
          <cell r="L80">
            <v>11046.960000000001</v>
          </cell>
          <cell r="M80">
            <v>125679.78</v>
          </cell>
          <cell r="N80">
            <v>-44.182500000000005</v>
          </cell>
          <cell r="O80">
            <v>-60706.755000000005</v>
          </cell>
          <cell r="P80">
            <v>-93.433782712133251</v>
          </cell>
        </row>
        <row r="81">
          <cell r="B81" t="str">
            <v>202L507</v>
          </cell>
          <cell r="C81">
            <v>47.287500000000001</v>
          </cell>
          <cell r="D81">
            <v>200</v>
          </cell>
          <cell r="E81">
            <v>9457.5</v>
          </cell>
          <cell r="F81">
            <v>1.3</v>
          </cell>
          <cell r="G81">
            <v>260</v>
          </cell>
          <cell r="H81">
            <v>56.76</v>
          </cell>
          <cell r="I81">
            <v>11352</v>
          </cell>
          <cell r="J81">
            <v>9.98</v>
          </cell>
          <cell r="K81">
            <v>7.9840000000000009</v>
          </cell>
          <cell r="L81">
            <v>1596.8000000000002</v>
          </cell>
          <cell r="M81">
            <v>13208.8</v>
          </cell>
          <cell r="N81">
            <v>-18.756499999999996</v>
          </cell>
          <cell r="O81">
            <v>-3751.2999999999993</v>
          </cell>
          <cell r="P81">
            <v>-39.664816283372971</v>
          </cell>
        </row>
        <row r="82">
          <cell r="B82" t="str">
            <v>202L604</v>
          </cell>
          <cell r="C82">
            <v>47.287500000000001</v>
          </cell>
          <cell r="D82">
            <v>2640</v>
          </cell>
          <cell r="E82">
            <v>124839</v>
          </cell>
          <cell r="F82">
            <v>1.3</v>
          </cell>
          <cell r="G82">
            <v>3432</v>
          </cell>
          <cell r="H82">
            <v>47.58</v>
          </cell>
          <cell r="I82">
            <v>125611.2</v>
          </cell>
          <cell r="J82">
            <v>7.74</v>
          </cell>
          <cell r="K82">
            <v>6.1920000000000002</v>
          </cell>
          <cell r="L82">
            <v>16346.880000000001</v>
          </cell>
          <cell r="M82">
            <v>145390.07999999999</v>
          </cell>
          <cell r="N82">
            <v>-7.7844999999999951</v>
          </cell>
          <cell r="O82">
            <v>-20551.079999999987</v>
          </cell>
          <cell r="P82">
            <v>-16.462067142479501</v>
          </cell>
        </row>
        <row r="83">
          <cell r="B83" t="str">
            <v>202L732</v>
          </cell>
          <cell r="C83">
            <v>47.287500000000001</v>
          </cell>
          <cell r="D83">
            <v>230</v>
          </cell>
          <cell r="E83">
            <v>10876.125</v>
          </cell>
          <cell r="F83">
            <v>1.3</v>
          </cell>
          <cell r="G83">
            <v>299</v>
          </cell>
          <cell r="H83">
            <v>49.93</v>
          </cell>
          <cell r="I83">
            <v>11483.9</v>
          </cell>
          <cell r="J83">
            <v>11.06</v>
          </cell>
          <cell r="K83">
            <v>8.8480000000000008</v>
          </cell>
          <cell r="L83">
            <v>2035.0400000000002</v>
          </cell>
          <cell r="M83">
            <v>13817.94</v>
          </cell>
          <cell r="N83">
            <v>-12.790500000000002</v>
          </cell>
          <cell r="O83">
            <v>-2941.8150000000005</v>
          </cell>
          <cell r="P83">
            <v>-27.048374306106265</v>
          </cell>
        </row>
        <row r="84">
          <cell r="B84" t="str">
            <v>202L762</v>
          </cell>
          <cell r="C84">
            <v>47.287499999999994</v>
          </cell>
          <cell r="D84">
            <v>1363</v>
          </cell>
          <cell r="E84">
            <v>64452.862499999996</v>
          </cell>
          <cell r="F84">
            <v>1.3</v>
          </cell>
          <cell r="G84">
            <v>1771.9</v>
          </cell>
          <cell r="H84">
            <v>77.92</v>
          </cell>
          <cell r="I84">
            <v>106204.96</v>
          </cell>
          <cell r="J84">
            <v>8.0599999999999987</v>
          </cell>
          <cell r="K84">
            <v>6.4479999999999995</v>
          </cell>
          <cell r="L84">
            <v>8788.6239999999998</v>
          </cell>
          <cell r="M84">
            <v>116765.484</v>
          </cell>
          <cell r="N84">
            <v>-38.380499999999998</v>
          </cell>
          <cell r="O84">
            <v>-52312.621500000001</v>
          </cell>
          <cell r="P84">
            <v>-81.164155432196665</v>
          </cell>
        </row>
        <row r="85">
          <cell r="B85" t="str">
            <v>202L804</v>
          </cell>
          <cell r="C85">
            <v>47.287500000000001</v>
          </cell>
          <cell r="D85">
            <v>2859</v>
          </cell>
          <cell r="E85">
            <v>135194.96249999999</v>
          </cell>
          <cell r="F85">
            <v>1.3</v>
          </cell>
          <cell r="G85">
            <v>3716.7000000000003</v>
          </cell>
          <cell r="H85">
            <v>78.183000000000007</v>
          </cell>
          <cell r="I85">
            <v>223525.19700000001</v>
          </cell>
          <cell r="J85">
            <v>13.11</v>
          </cell>
          <cell r="K85">
            <v>10.488</v>
          </cell>
          <cell r="L85">
            <v>29985.191999999999</v>
          </cell>
          <cell r="M85">
            <v>257227.08900000004</v>
          </cell>
          <cell r="N85">
            <v>-42.683500000000016</v>
          </cell>
          <cell r="O85">
            <v>-122032.12650000004</v>
          </cell>
          <cell r="P85">
            <v>-90.26381178958502</v>
          </cell>
        </row>
        <row r="86">
          <cell r="B86" t="str">
            <v>202L826</v>
          </cell>
          <cell r="C86">
            <v>47.287500000000001</v>
          </cell>
          <cell r="D86">
            <v>35</v>
          </cell>
          <cell r="E86">
            <v>1655.0625</v>
          </cell>
          <cell r="F86">
            <v>1.3</v>
          </cell>
          <cell r="G86">
            <v>45.5</v>
          </cell>
          <cell r="H86">
            <v>152.7533</v>
          </cell>
          <cell r="I86">
            <v>5346.3654999999999</v>
          </cell>
          <cell r="J86">
            <v>14.71</v>
          </cell>
          <cell r="K86">
            <v>11.768000000000001</v>
          </cell>
          <cell r="L86">
            <v>411.88</v>
          </cell>
          <cell r="M86">
            <v>5803.7455</v>
          </cell>
          <cell r="N86">
            <v>-118.5338</v>
          </cell>
          <cell r="O86">
            <v>-4148.683</v>
          </cell>
          <cell r="P86">
            <v>-250.66624372191382</v>
          </cell>
        </row>
        <row r="87">
          <cell r="B87" t="str">
            <v>205A785</v>
          </cell>
          <cell r="C87">
            <v>37.83</v>
          </cell>
          <cell r="D87">
            <v>143</v>
          </cell>
          <cell r="E87">
            <v>5409.69</v>
          </cell>
          <cell r="F87">
            <v>1.3</v>
          </cell>
          <cell r="G87">
            <v>185.9</v>
          </cell>
          <cell r="H87">
            <v>174</v>
          </cell>
          <cell r="I87">
            <v>24882</v>
          </cell>
          <cell r="J87">
            <v>14.56</v>
          </cell>
          <cell r="K87">
            <v>11.648000000000001</v>
          </cell>
          <cell r="L87">
            <v>1665.6640000000002</v>
          </cell>
          <cell r="M87">
            <v>26733.564000000002</v>
          </cell>
          <cell r="N87">
            <v>-149.11800000000002</v>
          </cell>
          <cell r="O87">
            <v>-21323.874000000003</v>
          </cell>
          <cell r="P87">
            <v>-394.17922283901675</v>
          </cell>
        </row>
        <row r="88">
          <cell r="B88" t="str">
            <v>205L216</v>
          </cell>
          <cell r="C88">
            <v>47.287500000000001</v>
          </cell>
          <cell r="D88">
            <v>25</v>
          </cell>
          <cell r="E88">
            <v>1182.1875</v>
          </cell>
          <cell r="F88">
            <v>1.3</v>
          </cell>
          <cell r="G88">
            <v>32.5</v>
          </cell>
          <cell r="H88">
            <v>97.25</v>
          </cell>
          <cell r="I88">
            <v>2431.25</v>
          </cell>
          <cell r="J88">
            <v>15.6</v>
          </cell>
          <cell r="K88">
            <v>12.48</v>
          </cell>
          <cell r="L88">
            <v>312</v>
          </cell>
          <cell r="M88">
            <v>2775.75</v>
          </cell>
          <cell r="N88">
            <v>-63.7425</v>
          </cell>
          <cell r="O88">
            <v>-1593.5625</v>
          </cell>
          <cell r="P88">
            <v>-134.79777954004757</v>
          </cell>
        </row>
        <row r="89">
          <cell r="B89" t="str">
            <v>205L252</v>
          </cell>
          <cell r="C89">
            <v>47.287500000000001</v>
          </cell>
          <cell r="D89">
            <v>27</v>
          </cell>
          <cell r="E89">
            <v>1276.7625</v>
          </cell>
          <cell r="F89">
            <v>1.3</v>
          </cell>
          <cell r="G89">
            <v>35.1</v>
          </cell>
          <cell r="H89">
            <v>83.27</v>
          </cell>
          <cell r="I89">
            <v>2248.29</v>
          </cell>
          <cell r="J89">
            <v>15.320000000000002</v>
          </cell>
          <cell r="K89">
            <v>12.256000000000002</v>
          </cell>
          <cell r="L89">
            <v>330.91200000000003</v>
          </cell>
          <cell r="M89">
            <v>2614.3020000000001</v>
          </cell>
          <cell r="N89">
            <v>-49.538500000000006</v>
          </cell>
          <cell r="O89">
            <v>-1337.5395000000001</v>
          </cell>
          <cell r="P89">
            <v>-104.7602431932329</v>
          </cell>
        </row>
        <row r="90">
          <cell r="B90" t="str">
            <v>205L538</v>
          </cell>
          <cell r="C90">
            <v>47.287499999999994</v>
          </cell>
          <cell r="D90">
            <v>26</v>
          </cell>
          <cell r="E90">
            <v>1229.4749999999999</v>
          </cell>
          <cell r="F90">
            <v>1.3000000000000003</v>
          </cell>
          <cell r="G90">
            <v>33.800000000000004</v>
          </cell>
          <cell r="H90">
            <v>59</v>
          </cell>
          <cell r="I90">
            <v>1534</v>
          </cell>
          <cell r="J90">
            <v>10.74</v>
          </cell>
          <cell r="K90">
            <v>8.5920000000000005</v>
          </cell>
          <cell r="L90">
            <v>223.39200000000002</v>
          </cell>
          <cell r="M90">
            <v>1791.192</v>
          </cell>
          <cell r="N90">
            <v>-21.604500000000005</v>
          </cell>
          <cell r="O90">
            <v>-561.7170000000001</v>
          </cell>
          <cell r="P90">
            <v>-45.687549563838239</v>
          </cell>
        </row>
        <row r="91">
          <cell r="B91" t="str">
            <v>205L652</v>
          </cell>
          <cell r="C91">
            <v>47.287500000000001</v>
          </cell>
          <cell r="D91">
            <v>7</v>
          </cell>
          <cell r="E91">
            <v>331.01249999999999</v>
          </cell>
          <cell r="F91">
            <v>1.3</v>
          </cell>
          <cell r="G91">
            <v>9.1</v>
          </cell>
          <cell r="H91">
            <v>56.85</v>
          </cell>
          <cell r="I91">
            <v>397.95</v>
          </cell>
          <cell r="J91">
            <v>13.190000000000001</v>
          </cell>
          <cell r="K91">
            <v>10.552000000000001</v>
          </cell>
          <cell r="L91">
            <v>73.864000000000004</v>
          </cell>
          <cell r="M91">
            <v>480.91399999999999</v>
          </cell>
          <cell r="N91">
            <v>-21.4145</v>
          </cell>
          <cell r="O91">
            <v>-149.9015</v>
          </cell>
          <cell r="P91">
            <v>-45.285752048638642</v>
          </cell>
        </row>
        <row r="92">
          <cell r="B92" t="str">
            <v>205L748</v>
          </cell>
          <cell r="C92">
            <v>47.287500000000001</v>
          </cell>
          <cell r="D92">
            <v>2</v>
          </cell>
          <cell r="E92">
            <v>94.575000000000003</v>
          </cell>
          <cell r="F92">
            <v>1.3</v>
          </cell>
          <cell r="G92">
            <v>2.6</v>
          </cell>
          <cell r="H92">
            <v>49.41</v>
          </cell>
          <cell r="I92">
            <v>98.82</v>
          </cell>
          <cell r="J92">
            <v>13.08</v>
          </cell>
          <cell r="K92">
            <v>10.464</v>
          </cell>
          <cell r="L92">
            <v>20.928000000000001</v>
          </cell>
          <cell r="M92">
            <v>122.34799999999998</v>
          </cell>
          <cell r="N92">
            <v>-13.886499999999991</v>
          </cell>
          <cell r="O92">
            <v>-27.772999999999982</v>
          </cell>
          <cell r="P92">
            <v>-29.366111551678543</v>
          </cell>
        </row>
        <row r="93">
          <cell r="B93" t="str">
            <v>206-164</v>
          </cell>
          <cell r="C93">
            <v>37.83</v>
          </cell>
          <cell r="D93">
            <v>69</v>
          </cell>
          <cell r="E93">
            <v>2610.27</v>
          </cell>
          <cell r="F93">
            <v>1.3</v>
          </cell>
          <cell r="G93">
            <v>89.7</v>
          </cell>
          <cell r="H93">
            <v>116.67</v>
          </cell>
          <cell r="I93">
            <v>8050.2300000000005</v>
          </cell>
          <cell r="J93">
            <v>16</v>
          </cell>
          <cell r="K93">
            <v>12.8</v>
          </cell>
          <cell r="L93">
            <v>883.2</v>
          </cell>
          <cell r="M93">
            <v>9023.130000000001</v>
          </cell>
          <cell r="N93">
            <v>-92.940000000000012</v>
          </cell>
          <cell r="O93">
            <v>-6412.8600000000006</v>
          </cell>
          <cell r="P93">
            <v>-245.67803330689935</v>
          </cell>
        </row>
        <row r="94">
          <cell r="B94" t="str">
            <v>206-173</v>
          </cell>
          <cell r="C94">
            <v>37.83</v>
          </cell>
          <cell r="D94">
            <v>106</v>
          </cell>
          <cell r="E94">
            <v>4009.98</v>
          </cell>
          <cell r="F94">
            <v>1.3</v>
          </cell>
          <cell r="G94">
            <v>137.80000000000001</v>
          </cell>
          <cell r="H94">
            <v>146.6</v>
          </cell>
          <cell r="I94">
            <v>15539.599999999999</v>
          </cell>
          <cell r="J94">
            <v>15.409999999999998</v>
          </cell>
          <cell r="K94">
            <v>12.327999999999999</v>
          </cell>
          <cell r="L94">
            <v>1306.768</v>
          </cell>
          <cell r="M94">
            <v>16984.167999999998</v>
          </cell>
          <cell r="N94">
            <v>-122.39799999999998</v>
          </cell>
          <cell r="O94">
            <v>-12974.187999999998</v>
          </cell>
          <cell r="P94">
            <v>-323.54744911445937</v>
          </cell>
        </row>
        <row r="95">
          <cell r="B95" t="str">
            <v>209-340</v>
          </cell>
          <cell r="C95">
            <v>37.83</v>
          </cell>
          <cell r="D95">
            <v>80</v>
          </cell>
          <cell r="E95">
            <v>3026.4</v>
          </cell>
          <cell r="F95">
            <v>1.3</v>
          </cell>
          <cell r="G95">
            <v>104</v>
          </cell>
          <cell r="H95">
            <v>121</v>
          </cell>
          <cell r="I95">
            <v>9680</v>
          </cell>
          <cell r="J95">
            <v>13</v>
          </cell>
          <cell r="K95">
            <v>10.4</v>
          </cell>
          <cell r="L95">
            <v>832</v>
          </cell>
          <cell r="M95">
            <v>10616</v>
          </cell>
          <cell r="N95">
            <v>-94.87</v>
          </cell>
          <cell r="O95">
            <v>-7589.6</v>
          </cell>
          <cell r="P95">
            <v>-250.77980438805184</v>
          </cell>
        </row>
        <row r="96">
          <cell r="B96" t="str">
            <v>209-460</v>
          </cell>
          <cell r="C96">
            <v>37.83</v>
          </cell>
          <cell r="D96">
            <v>209</v>
          </cell>
          <cell r="E96">
            <v>7906.47</v>
          </cell>
          <cell r="F96">
            <v>1.3</v>
          </cell>
          <cell r="G96">
            <v>271.7</v>
          </cell>
          <cell r="H96">
            <v>124</v>
          </cell>
          <cell r="I96">
            <v>25916</v>
          </cell>
          <cell r="J96">
            <v>14.96</v>
          </cell>
          <cell r="K96">
            <v>11.968000000000002</v>
          </cell>
          <cell r="L96">
            <v>2501.3120000000004</v>
          </cell>
          <cell r="M96">
            <v>28689.012000000002</v>
          </cell>
          <cell r="N96">
            <v>-99.438000000000002</v>
          </cell>
          <cell r="O96">
            <v>-20782.542000000001</v>
          </cell>
          <cell r="P96">
            <v>-262.8548770816812</v>
          </cell>
        </row>
        <row r="97">
          <cell r="B97" t="str">
            <v>209-545</v>
          </cell>
          <cell r="C97">
            <v>37.83</v>
          </cell>
          <cell r="D97">
            <v>89</v>
          </cell>
          <cell r="E97">
            <v>3366.87</v>
          </cell>
          <cell r="F97">
            <v>1.3</v>
          </cell>
          <cell r="G97">
            <v>115.7</v>
          </cell>
          <cell r="H97">
            <v>102.97</v>
          </cell>
          <cell r="I97">
            <v>9164.33</v>
          </cell>
          <cell r="J97">
            <v>15</v>
          </cell>
          <cell r="K97">
            <v>12</v>
          </cell>
          <cell r="L97">
            <v>1068</v>
          </cell>
          <cell r="M97">
            <v>10348.030000000001</v>
          </cell>
          <cell r="N97">
            <v>-78.440000000000012</v>
          </cell>
          <cell r="O97">
            <v>-6981.1600000000008</v>
          </cell>
          <cell r="P97">
            <v>-207.3486650806239</v>
          </cell>
        </row>
        <row r="98">
          <cell r="B98" t="str">
            <v>209-549</v>
          </cell>
          <cell r="C98">
            <v>37.83</v>
          </cell>
          <cell r="D98">
            <v>49</v>
          </cell>
          <cell r="E98">
            <v>1853.67</v>
          </cell>
          <cell r="F98">
            <v>1.3</v>
          </cell>
          <cell r="G98">
            <v>63.7</v>
          </cell>
          <cell r="H98">
            <v>198.81</v>
          </cell>
          <cell r="I98">
            <v>9741.69</v>
          </cell>
          <cell r="J98">
            <v>12.66</v>
          </cell>
          <cell r="K98">
            <v>10.128</v>
          </cell>
          <cell r="L98">
            <v>496.27199999999999</v>
          </cell>
          <cell r="M98">
            <v>10301.662000000002</v>
          </cell>
          <cell r="N98">
            <v>-172.40800000000004</v>
          </cell>
          <cell r="O98">
            <v>-8447.992000000002</v>
          </cell>
          <cell r="P98">
            <v>-455.74411842453094</v>
          </cell>
        </row>
        <row r="99">
          <cell r="B99" t="str">
            <v>209-585</v>
          </cell>
          <cell r="C99">
            <v>37.830000000000005</v>
          </cell>
          <cell r="D99">
            <v>91</v>
          </cell>
          <cell r="E99">
            <v>3442.53</v>
          </cell>
          <cell r="F99">
            <v>1.3</v>
          </cell>
          <cell r="G99">
            <v>118.3</v>
          </cell>
          <cell r="H99">
            <v>381.52</v>
          </cell>
          <cell r="I99">
            <v>34718.32</v>
          </cell>
          <cell r="J99">
            <v>12.97</v>
          </cell>
          <cell r="K99">
            <v>10.376000000000001</v>
          </cell>
          <cell r="L99">
            <v>944.21600000000012</v>
          </cell>
          <cell r="M99">
            <v>35780.836000000003</v>
          </cell>
          <cell r="N99">
            <v>-355.36600000000004</v>
          </cell>
          <cell r="O99">
            <v>-32338.306000000004</v>
          </cell>
          <cell r="P99">
            <v>-939.37615648955864</v>
          </cell>
        </row>
        <row r="100">
          <cell r="B100" t="str">
            <v>209-591</v>
          </cell>
          <cell r="C100">
            <v>37.83</v>
          </cell>
          <cell r="D100">
            <v>560</v>
          </cell>
          <cell r="E100">
            <v>21184.799999999999</v>
          </cell>
          <cell r="F100">
            <v>1.3</v>
          </cell>
          <cell r="G100">
            <v>728</v>
          </cell>
          <cell r="H100">
            <v>116</v>
          </cell>
          <cell r="I100">
            <v>64960</v>
          </cell>
          <cell r="J100">
            <v>11.7</v>
          </cell>
          <cell r="K100">
            <v>9.36</v>
          </cell>
          <cell r="L100">
            <v>5241.5999999999995</v>
          </cell>
          <cell r="M100">
            <v>70929.600000000006</v>
          </cell>
          <cell r="N100">
            <v>-88.83</v>
          </cell>
          <cell r="O100">
            <v>-49744.800000000003</v>
          </cell>
          <cell r="P100">
            <v>-234.81363996827915</v>
          </cell>
        </row>
        <row r="101">
          <cell r="B101" t="str">
            <v>209A340</v>
          </cell>
          <cell r="C101">
            <v>37.83</v>
          </cell>
          <cell r="D101">
            <v>298</v>
          </cell>
          <cell r="E101">
            <v>11273.34</v>
          </cell>
          <cell r="F101">
            <v>1.3</v>
          </cell>
          <cell r="G101">
            <v>387.40000000000003</v>
          </cell>
          <cell r="H101">
            <v>92.74</v>
          </cell>
          <cell r="I101">
            <v>27636.519999999997</v>
          </cell>
          <cell r="J101">
            <v>13</v>
          </cell>
          <cell r="K101">
            <v>10.4</v>
          </cell>
          <cell r="L101">
            <v>3099.2000000000003</v>
          </cell>
          <cell r="M101">
            <v>31123.119999999999</v>
          </cell>
          <cell r="N101">
            <v>-66.61</v>
          </cell>
          <cell r="O101">
            <v>-19849.78</v>
          </cell>
          <cell r="P101">
            <v>-176.07718741739359</v>
          </cell>
        </row>
        <row r="102">
          <cell r="B102" t="str">
            <v>210L260</v>
          </cell>
          <cell r="C102">
            <v>44.134999999999998</v>
          </cell>
          <cell r="D102">
            <v>5000</v>
          </cell>
          <cell r="E102">
            <v>220675</v>
          </cell>
          <cell r="F102">
            <v>1.3</v>
          </cell>
          <cell r="G102">
            <v>6500</v>
          </cell>
          <cell r="H102">
            <v>60.3</v>
          </cell>
          <cell r="I102">
            <v>301500</v>
          </cell>
          <cell r="J102">
            <v>8.3099999999999987</v>
          </cell>
          <cell r="K102">
            <v>6.6479999999999997</v>
          </cell>
          <cell r="L102">
            <v>33240</v>
          </cell>
          <cell r="M102">
            <v>341240</v>
          </cell>
          <cell r="N102">
            <v>-24.113</v>
          </cell>
          <cell r="O102">
            <v>-120565</v>
          </cell>
          <cell r="P102">
            <v>-54.63464370680866</v>
          </cell>
        </row>
        <row r="103">
          <cell r="B103" t="str">
            <v>216L120</v>
          </cell>
          <cell r="C103">
            <v>47.287500000000001</v>
          </cell>
          <cell r="D103">
            <v>21</v>
          </cell>
          <cell r="E103">
            <v>993.03750000000002</v>
          </cell>
          <cell r="F103">
            <v>1.3</v>
          </cell>
          <cell r="G103">
            <v>27.3</v>
          </cell>
          <cell r="H103">
            <v>123.67</v>
          </cell>
          <cell r="I103">
            <v>2597.0700000000002</v>
          </cell>
          <cell r="J103">
            <v>17.329999999999998</v>
          </cell>
          <cell r="K103">
            <v>13.864000000000001</v>
          </cell>
          <cell r="L103">
            <v>291.14400000000001</v>
          </cell>
          <cell r="M103">
            <v>2915.5140000000001</v>
          </cell>
          <cell r="N103">
            <v>-91.546500000000009</v>
          </cell>
          <cell r="O103">
            <v>-1922.4765000000002</v>
          </cell>
          <cell r="P103">
            <v>-193.59555908009517</v>
          </cell>
        </row>
        <row r="104">
          <cell r="B104" t="str">
            <v>217-402</v>
          </cell>
          <cell r="C104">
            <v>37.83</v>
          </cell>
          <cell r="D104">
            <v>125</v>
          </cell>
          <cell r="E104">
            <v>4728.75</v>
          </cell>
          <cell r="F104">
            <v>1.3</v>
          </cell>
          <cell r="G104">
            <v>162.5</v>
          </cell>
          <cell r="H104">
            <v>115.77</v>
          </cell>
          <cell r="I104">
            <v>14471.25</v>
          </cell>
          <cell r="J104">
            <v>17.09</v>
          </cell>
          <cell r="K104">
            <v>13.672000000000001</v>
          </cell>
          <cell r="L104">
            <v>1709</v>
          </cell>
          <cell r="M104">
            <v>16342.75</v>
          </cell>
          <cell r="N104">
            <v>-92.912000000000006</v>
          </cell>
          <cell r="O104">
            <v>-11614</v>
          </cell>
          <cell r="P104">
            <v>-245.604017975152</v>
          </cell>
        </row>
        <row r="105">
          <cell r="B105" t="str">
            <v>217-417</v>
          </cell>
          <cell r="C105">
            <v>37.830000000000005</v>
          </cell>
          <cell r="D105">
            <v>146</v>
          </cell>
          <cell r="E105">
            <v>5523.18</v>
          </cell>
          <cell r="F105">
            <v>1.3</v>
          </cell>
          <cell r="G105">
            <v>189.8</v>
          </cell>
          <cell r="H105">
            <v>116.50999999999999</v>
          </cell>
          <cell r="I105">
            <v>17010.46</v>
          </cell>
          <cell r="J105">
            <v>15.29</v>
          </cell>
          <cell r="K105">
            <v>12.231999999999999</v>
          </cell>
          <cell r="L105">
            <v>1785.8719999999998</v>
          </cell>
          <cell r="M105">
            <v>18986.131999999998</v>
          </cell>
          <cell r="N105">
            <v>-92.211999999999989</v>
          </cell>
          <cell r="O105">
            <v>-13462.951999999997</v>
          </cell>
          <cell r="P105">
            <v>-243.75363468146966</v>
          </cell>
        </row>
        <row r="106">
          <cell r="B106" t="str">
            <v>217-431</v>
          </cell>
          <cell r="C106">
            <v>37.830000000000005</v>
          </cell>
          <cell r="D106">
            <v>169</v>
          </cell>
          <cell r="E106">
            <v>6393.27</v>
          </cell>
          <cell r="F106">
            <v>1.3</v>
          </cell>
          <cell r="G106">
            <v>219.70000000000002</v>
          </cell>
          <cell r="H106">
            <v>143.12</v>
          </cell>
          <cell r="I106">
            <v>24187.280000000002</v>
          </cell>
          <cell r="J106">
            <v>15.41</v>
          </cell>
          <cell r="K106">
            <v>12.328000000000001</v>
          </cell>
          <cell r="L106">
            <v>2083.4320000000002</v>
          </cell>
          <cell r="M106">
            <v>26490.412000000004</v>
          </cell>
          <cell r="N106">
            <v>-118.91800000000002</v>
          </cell>
          <cell r="O106">
            <v>-20097.142000000003</v>
          </cell>
          <cell r="P106">
            <v>-314.34840074015329</v>
          </cell>
        </row>
        <row r="107">
          <cell r="B107" t="str">
            <v>217-436</v>
          </cell>
          <cell r="C107">
            <v>37.83</v>
          </cell>
          <cell r="D107">
            <v>164</v>
          </cell>
          <cell r="E107">
            <v>6204.12</v>
          </cell>
          <cell r="F107">
            <v>1.3</v>
          </cell>
          <cell r="G107">
            <v>213.20000000000002</v>
          </cell>
          <cell r="H107">
            <v>100.82</v>
          </cell>
          <cell r="I107">
            <v>16534.48</v>
          </cell>
          <cell r="J107">
            <v>15.430000000000001</v>
          </cell>
          <cell r="K107">
            <v>12.344000000000001</v>
          </cell>
          <cell r="L107">
            <v>2024.4160000000002</v>
          </cell>
          <cell r="M107">
            <v>18772.096000000001</v>
          </cell>
          <cell r="N107">
            <v>-76.634000000000015</v>
          </cell>
          <cell r="O107">
            <v>-12567.976000000002</v>
          </cell>
          <cell r="P107">
            <v>-202.57467618292364</v>
          </cell>
        </row>
        <row r="108">
          <cell r="B108" t="str">
            <v>St lots</v>
          </cell>
          <cell r="C108">
            <v>37.83</v>
          </cell>
          <cell r="D108">
            <v>3469</v>
          </cell>
          <cell r="E108">
            <v>131232.26999999999</v>
          </cell>
          <cell r="F108">
            <v>1.3</v>
          </cell>
          <cell r="G108">
            <v>4509.7</v>
          </cell>
          <cell r="H108">
            <v>0</v>
          </cell>
          <cell r="I108">
            <v>0</v>
          </cell>
          <cell r="J108">
            <v>0</v>
          </cell>
          <cell r="K108">
            <v>0</v>
          </cell>
          <cell r="L108">
            <v>0</v>
          </cell>
          <cell r="M108">
            <v>4509.7</v>
          </cell>
          <cell r="N108">
            <v>36.53</v>
          </cell>
          <cell r="O108">
            <v>126722.56999999999</v>
          </cell>
          <cell r="P108">
            <v>96.563573883161524</v>
          </cell>
        </row>
        <row r="109">
          <cell r="B109" t="str">
            <v>217-540</v>
          </cell>
          <cell r="C109">
            <v>37.830000000000005</v>
          </cell>
          <cell r="D109">
            <v>133</v>
          </cell>
          <cell r="E109">
            <v>5031.3900000000003</v>
          </cell>
          <cell r="F109">
            <v>1.3</v>
          </cell>
          <cell r="G109">
            <v>172.9</v>
          </cell>
          <cell r="H109">
            <v>193.72</v>
          </cell>
          <cell r="I109">
            <v>25764.76</v>
          </cell>
          <cell r="J109">
            <v>15.98</v>
          </cell>
          <cell r="K109">
            <v>12.784000000000001</v>
          </cell>
          <cell r="L109">
            <v>1700.2720000000002</v>
          </cell>
          <cell r="M109">
            <v>27637.932000000001</v>
          </cell>
          <cell r="N109">
            <v>-169.97400000000002</v>
          </cell>
          <cell r="O109">
            <v>-22606.542000000001</v>
          </cell>
          <cell r="P109">
            <v>-449.31007137192705</v>
          </cell>
        </row>
        <row r="110">
          <cell r="B110" t="str">
            <v>217-675</v>
          </cell>
          <cell r="C110">
            <v>37.83</v>
          </cell>
          <cell r="D110">
            <v>270</v>
          </cell>
          <cell r="E110">
            <v>10214.1</v>
          </cell>
          <cell r="F110">
            <v>1.3</v>
          </cell>
          <cell r="G110">
            <v>351</v>
          </cell>
          <cell r="H110">
            <v>204.1</v>
          </cell>
          <cell r="I110">
            <v>55107</v>
          </cell>
          <cell r="J110">
            <v>19.21</v>
          </cell>
          <cell r="K110">
            <v>15.368000000000002</v>
          </cell>
          <cell r="L110">
            <v>4149.3600000000006</v>
          </cell>
          <cell r="M110">
            <v>59607.360000000001</v>
          </cell>
          <cell r="N110">
            <v>-182.93800000000002</v>
          </cell>
          <cell r="O110">
            <v>-49393.26</v>
          </cell>
          <cell r="P110">
            <v>-483.57916997092264</v>
          </cell>
        </row>
        <row r="111">
          <cell r="B111" t="str">
            <v>217-718</v>
          </cell>
          <cell r="C111">
            <v>37.83</v>
          </cell>
          <cell r="D111">
            <v>189</v>
          </cell>
          <cell r="E111">
            <v>7149.87</v>
          </cell>
          <cell r="F111">
            <v>1.3</v>
          </cell>
          <cell r="G111">
            <v>245.70000000000002</v>
          </cell>
          <cell r="H111">
            <v>199.22</v>
          </cell>
          <cell r="I111">
            <v>37652.58</v>
          </cell>
          <cell r="J111">
            <v>15</v>
          </cell>
          <cell r="K111">
            <v>12</v>
          </cell>
          <cell r="L111">
            <v>2268</v>
          </cell>
          <cell r="M111">
            <v>40166.28</v>
          </cell>
          <cell r="N111">
            <v>-174.68999999999997</v>
          </cell>
          <cell r="O111">
            <v>-33016.409999999996</v>
          </cell>
          <cell r="P111">
            <v>-461.77636796193491</v>
          </cell>
        </row>
        <row r="112">
          <cell r="B112" t="str">
            <v>217-722</v>
          </cell>
          <cell r="C112">
            <v>37.83</v>
          </cell>
          <cell r="D112">
            <v>773</v>
          </cell>
          <cell r="E112">
            <v>29242.59</v>
          </cell>
          <cell r="F112">
            <v>1.3</v>
          </cell>
          <cell r="G112">
            <v>1004.9000000000001</v>
          </cell>
          <cell r="H112">
            <v>136.11000000000001</v>
          </cell>
          <cell r="I112">
            <v>105213.03000000001</v>
          </cell>
          <cell r="J112">
            <v>15</v>
          </cell>
          <cell r="K112">
            <v>12</v>
          </cell>
          <cell r="L112">
            <v>9276</v>
          </cell>
          <cell r="M112">
            <v>115493.93000000001</v>
          </cell>
          <cell r="N112">
            <v>-111.58000000000001</v>
          </cell>
          <cell r="O112">
            <v>-86251.340000000011</v>
          </cell>
          <cell r="P112">
            <v>-294.95109701295274</v>
          </cell>
        </row>
        <row r="113">
          <cell r="B113" t="str">
            <v>217-781</v>
          </cell>
          <cell r="C113">
            <v>37.83</v>
          </cell>
          <cell r="D113">
            <v>53</v>
          </cell>
          <cell r="E113">
            <v>2004.99</v>
          </cell>
          <cell r="F113">
            <v>1.3</v>
          </cell>
          <cell r="G113">
            <v>68.900000000000006</v>
          </cell>
          <cell r="H113">
            <v>357.44</v>
          </cell>
          <cell r="I113">
            <v>18944.32</v>
          </cell>
          <cell r="J113">
            <v>18.22</v>
          </cell>
          <cell r="K113">
            <v>14.576000000000001</v>
          </cell>
          <cell r="L113">
            <v>772.52800000000002</v>
          </cell>
          <cell r="M113">
            <v>19785.748</v>
          </cell>
          <cell r="N113">
            <v>-335.48599999999999</v>
          </cell>
          <cell r="O113">
            <v>-17780.757999999998</v>
          </cell>
          <cell r="P113">
            <v>-886.82527094898228</v>
          </cell>
        </row>
        <row r="114">
          <cell r="B114" t="str">
            <v>217-782</v>
          </cell>
          <cell r="C114">
            <v>37.83</v>
          </cell>
          <cell r="D114">
            <v>177</v>
          </cell>
          <cell r="E114">
            <v>6695.91</v>
          </cell>
          <cell r="F114">
            <v>1.3</v>
          </cell>
          <cell r="G114">
            <v>230.1</v>
          </cell>
          <cell r="H114">
            <v>131.69999999999999</v>
          </cell>
          <cell r="I114">
            <v>23310.899999999998</v>
          </cell>
          <cell r="J114">
            <v>16.940000000000001</v>
          </cell>
          <cell r="K114">
            <v>13.552000000000001</v>
          </cell>
          <cell r="L114">
            <v>2398.7040000000002</v>
          </cell>
          <cell r="M114">
            <v>25939.703999999998</v>
          </cell>
          <cell r="N114">
            <v>-108.72199999999999</v>
          </cell>
          <cell r="O114">
            <v>-19243.793999999998</v>
          </cell>
          <cell r="P114">
            <v>-287.39624636531852</v>
          </cell>
        </row>
        <row r="115">
          <cell r="B115" t="str">
            <v>217-783</v>
          </cell>
          <cell r="C115">
            <v>37.83</v>
          </cell>
          <cell r="D115">
            <v>230</v>
          </cell>
          <cell r="E115">
            <v>8700.9</v>
          </cell>
          <cell r="F115">
            <v>1.3</v>
          </cell>
          <cell r="G115">
            <v>299</v>
          </cell>
          <cell r="H115">
            <v>289.67</v>
          </cell>
          <cell r="I115">
            <v>66624.100000000006</v>
          </cell>
          <cell r="J115">
            <v>19.670000000000002</v>
          </cell>
          <cell r="K115">
            <v>15.736000000000002</v>
          </cell>
          <cell r="L115">
            <v>3619.2800000000007</v>
          </cell>
          <cell r="M115">
            <v>70542.38</v>
          </cell>
          <cell r="N115">
            <v>-268.87600000000003</v>
          </cell>
          <cell r="O115">
            <v>-61841.48</v>
          </cell>
          <cell r="P115">
            <v>-710.7480835315888</v>
          </cell>
        </row>
        <row r="116">
          <cell r="B116" t="str">
            <v>21L872</v>
          </cell>
          <cell r="C116">
            <v>47.287499999999994</v>
          </cell>
          <cell r="D116">
            <v>99</v>
          </cell>
          <cell r="E116">
            <v>4681.4624999999996</v>
          </cell>
          <cell r="F116">
            <v>1.3000000000000003</v>
          </cell>
          <cell r="G116">
            <v>128.70000000000002</v>
          </cell>
          <cell r="H116">
            <v>40.4</v>
          </cell>
          <cell r="I116">
            <v>3999.6</v>
          </cell>
          <cell r="J116">
            <v>10.76</v>
          </cell>
          <cell r="K116">
            <v>8.6080000000000005</v>
          </cell>
          <cell r="L116">
            <v>852.19200000000001</v>
          </cell>
          <cell r="M116">
            <v>4980.4919999999993</v>
          </cell>
          <cell r="N116">
            <v>-3.0204999999999962</v>
          </cell>
          <cell r="O116">
            <v>-299.02949999999964</v>
          </cell>
          <cell r="P116">
            <v>-6.3875231297911634</v>
          </cell>
        </row>
        <row r="117">
          <cell r="B117" t="str">
            <v>237-114</v>
          </cell>
          <cell r="C117">
            <v>37.83</v>
          </cell>
          <cell r="D117">
            <v>69</v>
          </cell>
          <cell r="E117">
            <v>2610.27</v>
          </cell>
          <cell r="F117">
            <v>1.3</v>
          </cell>
          <cell r="G117">
            <v>89.7</v>
          </cell>
          <cell r="H117">
            <v>178.74</v>
          </cell>
          <cell r="I117">
            <v>12333.060000000001</v>
          </cell>
          <cell r="J117">
            <v>15</v>
          </cell>
          <cell r="K117">
            <v>12</v>
          </cell>
          <cell r="L117">
            <v>828</v>
          </cell>
          <cell r="M117">
            <v>13250.760000000002</v>
          </cell>
          <cell r="N117">
            <v>-154.21000000000004</v>
          </cell>
          <cell r="O117">
            <v>-10640.490000000002</v>
          </cell>
          <cell r="P117">
            <v>-407.63943959820261</v>
          </cell>
        </row>
        <row r="118">
          <cell r="B118" t="str">
            <v>237L063</v>
          </cell>
          <cell r="C118">
            <v>47.287500000000001</v>
          </cell>
          <cell r="D118">
            <v>3500</v>
          </cell>
          <cell r="E118">
            <v>165506.25</v>
          </cell>
          <cell r="F118">
            <v>1.3</v>
          </cell>
          <cell r="G118">
            <v>4550</v>
          </cell>
          <cell r="H118">
            <v>119.52</v>
          </cell>
          <cell r="I118">
            <v>418320</v>
          </cell>
          <cell r="J118">
            <v>12.97</v>
          </cell>
          <cell r="K118">
            <v>10.376000000000001</v>
          </cell>
          <cell r="L118">
            <v>36316.000000000007</v>
          </cell>
          <cell r="M118">
            <v>459186</v>
          </cell>
          <cell r="N118">
            <v>-83.908500000000004</v>
          </cell>
          <cell r="O118">
            <v>-293679.75</v>
          </cell>
          <cell r="P118">
            <v>-177.44329896907217</v>
          </cell>
        </row>
        <row r="119">
          <cell r="C119">
            <v>45.136142665528595</v>
          </cell>
          <cell r="D119">
            <v>41005</v>
          </cell>
          <cell r="E119">
            <v>1850807.53</v>
          </cell>
          <cell r="F119">
            <v>1.2999999999999996</v>
          </cell>
          <cell r="G119">
            <v>53306.499999999985</v>
          </cell>
          <cell r="H119">
            <v>65.678957505182296</v>
          </cell>
          <cell r="I119">
            <v>2693165.6525000003</v>
          </cell>
          <cell r="J119">
            <v>11.883563894646999</v>
          </cell>
          <cell r="K119">
            <v>7.6054808925740796</v>
          </cell>
          <cell r="L119">
            <v>311862.74400000012</v>
          </cell>
          <cell r="M119">
            <v>3058334.8965000003</v>
          </cell>
          <cell r="N119">
            <v>-29.448295732227777</v>
          </cell>
          <cell r="O119">
            <v>-1207527.3665</v>
          </cell>
          <cell r="P119">
            <v>-65.243270676557046</v>
          </cell>
        </row>
        <row r="120">
          <cell r="B120" t="str">
            <v>INDIA</v>
          </cell>
        </row>
        <row r="121">
          <cell r="B121" t="str">
            <v>201L252</v>
          </cell>
          <cell r="C121">
            <v>94.575000000000003</v>
          </cell>
          <cell r="D121">
            <v>432</v>
          </cell>
          <cell r="E121">
            <v>40856.400000000001</v>
          </cell>
          <cell r="F121">
            <v>1.3</v>
          </cell>
          <cell r="G121">
            <v>561.6</v>
          </cell>
          <cell r="H121">
            <v>69.72</v>
          </cell>
          <cell r="I121">
            <v>30119.040000000001</v>
          </cell>
          <cell r="J121">
            <v>11.95</v>
          </cell>
          <cell r="K121">
            <v>9.56</v>
          </cell>
          <cell r="L121">
            <v>4129.92</v>
          </cell>
          <cell r="M121">
            <v>34810.559999999998</v>
          </cell>
          <cell r="N121">
            <v>13.995000000000008</v>
          </cell>
          <cell r="O121">
            <v>6045.8400000000038</v>
          </cell>
          <cell r="P121">
            <v>14.797779540047589</v>
          </cell>
        </row>
        <row r="122">
          <cell r="B122" t="str">
            <v>202L474</v>
          </cell>
          <cell r="C122">
            <v>94.575000000000003</v>
          </cell>
          <cell r="D122">
            <v>80</v>
          </cell>
          <cell r="E122">
            <v>7566</v>
          </cell>
          <cell r="F122">
            <v>1.3</v>
          </cell>
          <cell r="G122">
            <v>104</v>
          </cell>
          <cell r="H122">
            <v>82.13</v>
          </cell>
          <cell r="I122">
            <v>6570.4</v>
          </cell>
          <cell r="J122">
            <v>10.050000000000001</v>
          </cell>
          <cell r="K122">
            <v>8.0400000000000009</v>
          </cell>
          <cell r="L122">
            <v>643.20000000000005</v>
          </cell>
          <cell r="M122">
            <v>7317.5999999999995</v>
          </cell>
          <cell r="N122">
            <v>3.1050000000000066</v>
          </cell>
          <cell r="O122">
            <v>248.40000000000055</v>
          </cell>
          <cell r="P122">
            <v>3.2831086439333932</v>
          </cell>
        </row>
        <row r="123">
          <cell r="B123" t="str">
            <v>202L604</v>
          </cell>
          <cell r="C123">
            <v>94.575000000000003</v>
          </cell>
          <cell r="D123">
            <v>404</v>
          </cell>
          <cell r="E123">
            <v>38208.300000000003</v>
          </cell>
          <cell r="F123">
            <v>1.3</v>
          </cell>
          <cell r="G123">
            <v>525.20000000000005</v>
          </cell>
          <cell r="H123">
            <v>47.58</v>
          </cell>
          <cell r="I123">
            <v>19222.32</v>
          </cell>
          <cell r="J123">
            <v>7.74</v>
          </cell>
          <cell r="K123">
            <v>6.1920000000000002</v>
          </cell>
          <cell r="L123">
            <v>2501.5680000000002</v>
          </cell>
          <cell r="M123">
            <v>22249.088</v>
          </cell>
          <cell r="N123">
            <v>39.503000000000007</v>
          </cell>
          <cell r="O123">
            <v>15959.212000000003</v>
          </cell>
          <cell r="P123">
            <v>41.768966428760251</v>
          </cell>
        </row>
        <row r="124">
          <cell r="B124" t="str">
            <v>202L762</v>
          </cell>
          <cell r="C124">
            <v>94.575000000000003</v>
          </cell>
          <cell r="D124">
            <v>325</v>
          </cell>
          <cell r="E124">
            <v>30736.875</v>
          </cell>
          <cell r="F124">
            <v>1.3</v>
          </cell>
          <cell r="G124">
            <v>422.5</v>
          </cell>
          <cell r="H124">
            <v>77.92</v>
          </cell>
          <cell r="I124">
            <v>25324</v>
          </cell>
          <cell r="J124">
            <v>8.0599999999999987</v>
          </cell>
          <cell r="K124">
            <v>6.4479999999999995</v>
          </cell>
          <cell r="L124">
            <v>2095.6</v>
          </cell>
          <cell r="M124">
            <v>27842.1</v>
          </cell>
          <cell r="N124">
            <v>8.9070000000000054</v>
          </cell>
          <cell r="O124">
            <v>2894.7750000000015</v>
          </cell>
          <cell r="P124">
            <v>9.417922283901671</v>
          </cell>
        </row>
        <row r="125">
          <cell r="B125" t="str">
            <v>202L804</v>
          </cell>
          <cell r="C125">
            <v>94.575000000000003</v>
          </cell>
          <cell r="D125">
            <v>265</v>
          </cell>
          <cell r="E125">
            <v>25062.375</v>
          </cell>
          <cell r="F125">
            <v>1.3</v>
          </cell>
          <cell r="G125">
            <v>344.5</v>
          </cell>
          <cell r="H125">
            <v>78.183000000000007</v>
          </cell>
          <cell r="I125">
            <v>20718.495000000003</v>
          </cell>
          <cell r="J125">
            <v>13.11</v>
          </cell>
          <cell r="K125">
            <v>10.488</v>
          </cell>
          <cell r="L125">
            <v>2779.3199999999997</v>
          </cell>
          <cell r="M125">
            <v>23842.315000000002</v>
          </cell>
          <cell r="N125">
            <v>4.6039999999999912</v>
          </cell>
          <cell r="O125">
            <v>1220.0599999999977</v>
          </cell>
          <cell r="P125">
            <v>4.868094105207498</v>
          </cell>
        </row>
        <row r="126">
          <cell r="B126" t="str">
            <v>209-078</v>
          </cell>
          <cell r="C126">
            <v>94.575000000000003</v>
          </cell>
          <cell r="D126">
            <v>181</v>
          </cell>
          <cell r="E126">
            <v>17118.075000000001</v>
          </cell>
          <cell r="F126">
            <v>1.3</v>
          </cell>
          <cell r="G126">
            <v>235.3</v>
          </cell>
          <cell r="H126">
            <v>81.8</v>
          </cell>
          <cell r="I126">
            <v>14805.8</v>
          </cell>
          <cell r="J126">
            <v>11.5</v>
          </cell>
          <cell r="K126">
            <v>9.2000000000000011</v>
          </cell>
          <cell r="L126">
            <v>1665.2000000000003</v>
          </cell>
          <cell r="M126">
            <v>16706.3</v>
          </cell>
          <cell r="N126">
            <v>2.2750000000000079</v>
          </cell>
          <cell r="O126">
            <v>411.77500000000146</v>
          </cell>
          <cell r="P126">
            <v>2.4054982817869499</v>
          </cell>
        </row>
        <row r="127">
          <cell r="B127" t="str">
            <v>209-192</v>
          </cell>
          <cell r="C127">
            <v>94.575000000000003</v>
          </cell>
          <cell r="D127">
            <v>85</v>
          </cell>
          <cell r="E127">
            <v>8038.875</v>
          </cell>
          <cell r="F127">
            <v>1.3</v>
          </cell>
          <cell r="G127">
            <v>110.5</v>
          </cell>
          <cell r="H127">
            <v>141</v>
          </cell>
          <cell r="I127">
            <v>11985</v>
          </cell>
          <cell r="J127">
            <v>13.490000000000002</v>
          </cell>
          <cell r="K127">
            <v>10.792000000000002</v>
          </cell>
          <cell r="L127">
            <v>917.32000000000016</v>
          </cell>
          <cell r="M127">
            <v>13012.82</v>
          </cell>
          <cell r="N127">
            <v>-58.516999999999996</v>
          </cell>
          <cell r="O127">
            <v>-4973.9449999999997</v>
          </cell>
          <cell r="P127">
            <v>-61.873645255088547</v>
          </cell>
        </row>
        <row r="128">
          <cell r="B128" t="str">
            <v>209-460</v>
          </cell>
          <cell r="C128">
            <v>94.574999999999989</v>
          </cell>
          <cell r="D128">
            <v>57</v>
          </cell>
          <cell r="E128">
            <v>5390.7749999999996</v>
          </cell>
          <cell r="F128">
            <v>1.3</v>
          </cell>
          <cell r="G128">
            <v>74.100000000000009</v>
          </cell>
          <cell r="H128">
            <v>124</v>
          </cell>
          <cell r="I128">
            <v>7068</v>
          </cell>
          <cell r="J128">
            <v>14.959999999999999</v>
          </cell>
          <cell r="K128">
            <v>11.968</v>
          </cell>
          <cell r="L128">
            <v>682.17600000000004</v>
          </cell>
          <cell r="M128">
            <v>7824.2760000000007</v>
          </cell>
          <cell r="N128">
            <v>-42.693000000000019</v>
          </cell>
          <cell r="O128">
            <v>-2433.5010000000011</v>
          </cell>
          <cell r="P128">
            <v>-45.141950832672507</v>
          </cell>
        </row>
        <row r="129">
          <cell r="B129" t="str">
            <v>209-545</v>
          </cell>
          <cell r="C129">
            <v>94.575000000000003</v>
          </cell>
          <cell r="D129">
            <v>28</v>
          </cell>
          <cell r="E129">
            <v>2648.1</v>
          </cell>
          <cell r="F129">
            <v>1.3</v>
          </cell>
          <cell r="G129">
            <v>36.4</v>
          </cell>
          <cell r="H129">
            <v>102.97</v>
          </cell>
          <cell r="I129">
            <v>2883.16</v>
          </cell>
          <cell r="J129">
            <v>15</v>
          </cell>
          <cell r="K129">
            <v>12</v>
          </cell>
          <cell r="L129">
            <v>336</v>
          </cell>
          <cell r="M129">
            <v>3255.56</v>
          </cell>
          <cell r="N129">
            <v>-21.695</v>
          </cell>
          <cell r="O129">
            <v>-607.46</v>
          </cell>
          <cell r="P129">
            <v>-22.939466032249538</v>
          </cell>
        </row>
        <row r="130">
          <cell r="B130" t="str">
            <v>209-591</v>
          </cell>
          <cell r="C130">
            <v>94.575000000000003</v>
          </cell>
          <cell r="D130">
            <v>270</v>
          </cell>
          <cell r="E130">
            <v>25535.25</v>
          </cell>
          <cell r="F130">
            <v>1.3</v>
          </cell>
          <cell r="G130">
            <v>351</v>
          </cell>
          <cell r="H130">
            <v>116</v>
          </cell>
          <cell r="I130">
            <v>31320</v>
          </cell>
          <cell r="J130">
            <v>11.7</v>
          </cell>
          <cell r="K130">
            <v>9.36</v>
          </cell>
          <cell r="L130">
            <v>2527.1999999999998</v>
          </cell>
          <cell r="M130">
            <v>34198.199999999997</v>
          </cell>
          <cell r="N130">
            <v>-32.084999999999987</v>
          </cell>
          <cell r="O130">
            <v>-8662.9499999999971</v>
          </cell>
          <cell r="P130">
            <v>-33.925455987311643</v>
          </cell>
        </row>
        <row r="131">
          <cell r="B131" t="str">
            <v>217-519</v>
          </cell>
          <cell r="C131">
            <v>78.8125</v>
          </cell>
          <cell r="D131">
            <v>270</v>
          </cell>
          <cell r="E131">
            <v>21279.375</v>
          </cell>
          <cell r="F131">
            <v>1.3</v>
          </cell>
          <cell r="G131">
            <v>351</v>
          </cell>
          <cell r="H131">
            <v>158.3126</v>
          </cell>
          <cell r="I131">
            <v>42744.402000000002</v>
          </cell>
          <cell r="J131">
            <v>15.21</v>
          </cell>
          <cell r="K131">
            <v>12.168000000000001</v>
          </cell>
          <cell r="L131">
            <v>3285.36</v>
          </cell>
          <cell r="M131">
            <v>46380.762000000002</v>
          </cell>
          <cell r="N131">
            <v>-92.968100000000007</v>
          </cell>
          <cell r="O131">
            <v>-25101.387000000002</v>
          </cell>
          <cell r="P131">
            <v>-117.96111022997621</v>
          </cell>
        </row>
        <row r="132">
          <cell r="B132" t="str">
            <v>230L056</v>
          </cell>
          <cell r="C132">
            <v>94.575000000000003</v>
          </cell>
          <cell r="D132">
            <v>162</v>
          </cell>
          <cell r="E132">
            <v>15321.15</v>
          </cell>
          <cell r="F132">
            <v>1.3</v>
          </cell>
          <cell r="G132">
            <v>210.6</v>
          </cell>
          <cell r="H132">
            <v>164.16</v>
          </cell>
          <cell r="I132">
            <v>26593.919999999998</v>
          </cell>
          <cell r="J132">
            <v>13.970000000000002</v>
          </cell>
          <cell r="K132">
            <v>11.176000000000002</v>
          </cell>
          <cell r="L132">
            <v>1810.5120000000004</v>
          </cell>
          <cell r="M132">
            <v>28615.031999999996</v>
          </cell>
          <cell r="N132">
            <v>-82.060999999999979</v>
          </cell>
          <cell r="O132">
            <v>-13293.881999999996</v>
          </cell>
          <cell r="P132">
            <v>-86.768173407348641</v>
          </cell>
        </row>
        <row r="133">
          <cell r="B133" t="str">
            <v>401L047</v>
          </cell>
          <cell r="C133">
            <v>40.982500000000002</v>
          </cell>
          <cell r="D133">
            <v>175</v>
          </cell>
          <cell r="E133">
            <v>7171.9375</v>
          </cell>
          <cell r="F133">
            <v>1.3</v>
          </cell>
          <cell r="G133">
            <v>227.5</v>
          </cell>
          <cell r="H133">
            <v>59.31</v>
          </cell>
          <cell r="I133">
            <v>10379.25</v>
          </cell>
          <cell r="J133">
            <v>2.63</v>
          </cell>
          <cell r="K133">
            <v>2.1040000000000001</v>
          </cell>
          <cell r="L133">
            <v>368.2</v>
          </cell>
          <cell r="M133">
            <v>10974.95</v>
          </cell>
          <cell r="N133">
            <v>-21.731500000000004</v>
          </cell>
          <cell r="O133">
            <v>-3803.0125000000007</v>
          </cell>
          <cell r="P133">
            <v>-53.026291709876169</v>
          </cell>
        </row>
        <row r="134">
          <cell r="B134" t="str">
            <v>79X482</v>
          </cell>
          <cell r="C134">
            <v>40.982499999999995</v>
          </cell>
          <cell r="D134">
            <v>85</v>
          </cell>
          <cell r="E134">
            <v>3483.5124999999998</v>
          </cell>
          <cell r="F134">
            <v>1.3</v>
          </cell>
          <cell r="G134">
            <v>110.5</v>
          </cell>
          <cell r="H134">
            <v>31.2135</v>
          </cell>
          <cell r="I134">
            <v>2653.1475</v>
          </cell>
          <cell r="J134">
            <v>3.74</v>
          </cell>
          <cell r="K134">
            <v>2.9920000000000004</v>
          </cell>
          <cell r="L134">
            <v>254.32000000000005</v>
          </cell>
          <cell r="M134">
            <v>3017.9675000000002</v>
          </cell>
          <cell r="N134">
            <v>5.4769999999999959</v>
          </cell>
          <cell r="O134">
            <v>465.54499999999962</v>
          </cell>
          <cell r="P134">
            <v>13.364240834502523</v>
          </cell>
        </row>
        <row r="135">
          <cell r="B135" t="str">
            <v>750D883</v>
          </cell>
          <cell r="C135">
            <v>40.982499999999995</v>
          </cell>
          <cell r="D135">
            <v>90</v>
          </cell>
          <cell r="E135">
            <v>3688.4249999999997</v>
          </cell>
          <cell r="F135">
            <v>1.3</v>
          </cell>
          <cell r="G135">
            <v>117</v>
          </cell>
          <cell r="H135">
            <v>55.09</v>
          </cell>
          <cell r="I135">
            <v>4958.1000000000004</v>
          </cell>
          <cell r="J135">
            <v>6.01</v>
          </cell>
          <cell r="K135">
            <v>4.8079999999999998</v>
          </cell>
          <cell r="L135">
            <v>432.71999999999997</v>
          </cell>
          <cell r="M135">
            <v>5507.8200000000006</v>
          </cell>
          <cell r="N135">
            <v>-20.215500000000009</v>
          </cell>
          <cell r="O135">
            <v>-1819.3950000000009</v>
          </cell>
          <cell r="P135">
            <v>-49.327151833099528</v>
          </cell>
        </row>
        <row r="136">
          <cell r="B136" t="str">
            <v>750L961</v>
          </cell>
          <cell r="C136">
            <v>40.982500000000002</v>
          </cell>
          <cell r="D136">
            <v>230</v>
          </cell>
          <cell r="E136">
            <v>9425.9750000000004</v>
          </cell>
          <cell r="F136">
            <v>1.3</v>
          </cell>
          <cell r="G136">
            <v>299</v>
          </cell>
          <cell r="H136">
            <v>32.880000000000003</v>
          </cell>
          <cell r="I136">
            <v>7562.4000000000005</v>
          </cell>
          <cell r="J136">
            <v>5.44</v>
          </cell>
          <cell r="K136">
            <v>4.3520000000000003</v>
          </cell>
          <cell r="L136">
            <v>1000.96</v>
          </cell>
          <cell r="M136">
            <v>8862.36</v>
          </cell>
          <cell r="N136">
            <v>2.450499999999999</v>
          </cell>
          <cell r="O136">
            <v>563.61499999999978</v>
          </cell>
          <cell r="P136">
            <v>5.9793814432989665</v>
          </cell>
        </row>
        <row r="137">
          <cell r="B137" t="str">
            <v>79X222</v>
          </cell>
          <cell r="C137">
            <v>40.982500000000002</v>
          </cell>
          <cell r="D137">
            <v>200</v>
          </cell>
          <cell r="E137">
            <v>8196.5</v>
          </cell>
          <cell r="F137">
            <v>1.3</v>
          </cell>
          <cell r="G137">
            <v>260</v>
          </cell>
          <cell r="H137">
            <v>40.32</v>
          </cell>
          <cell r="I137">
            <v>8064</v>
          </cell>
          <cell r="J137">
            <v>5.09</v>
          </cell>
          <cell r="K137">
            <v>4.0720000000000001</v>
          </cell>
          <cell r="L137">
            <v>814.4</v>
          </cell>
          <cell r="M137">
            <v>9138.4</v>
          </cell>
          <cell r="N137">
            <v>-4.7094999999999985</v>
          </cell>
          <cell r="O137">
            <v>-941.89999999999964</v>
          </cell>
          <cell r="P137">
            <v>-11.491490270237293</v>
          </cell>
        </row>
        <row r="138">
          <cell r="C138">
            <v>80.781042228212044</v>
          </cell>
          <cell r="D138">
            <v>3339</v>
          </cell>
          <cell r="E138">
            <v>269727.90000000002</v>
          </cell>
          <cell r="F138">
            <v>1.3000000000000003</v>
          </cell>
          <cell r="G138">
            <v>4340.7000000000007</v>
          </cell>
          <cell r="H138">
            <v>1462.5891000000001</v>
          </cell>
          <cell r="I138">
            <v>272971.43450000003</v>
          </cell>
          <cell r="J138">
            <v>169.65</v>
          </cell>
          <cell r="K138">
            <v>135.72000000000003</v>
          </cell>
          <cell r="L138">
            <v>26243.976000000002</v>
          </cell>
          <cell r="M138">
            <v>303556.11050000007</v>
          </cell>
          <cell r="N138">
            <v>-296.35910000000001</v>
          </cell>
          <cell r="O138">
            <v>-33828.210499999994</v>
          </cell>
          <cell r="P138">
            <v>-386.56974399642127</v>
          </cell>
        </row>
        <row r="140">
          <cell r="B140" t="str">
            <v>POLAND</v>
          </cell>
        </row>
        <row r="141">
          <cell r="B141" t="str">
            <v>202L507</v>
          </cell>
          <cell r="C141">
            <v>114.751</v>
          </cell>
          <cell r="D141">
            <v>73</v>
          </cell>
          <cell r="E141">
            <v>8376.8230000000003</v>
          </cell>
          <cell r="F141">
            <v>1.3</v>
          </cell>
          <cell r="G141">
            <v>94.9</v>
          </cell>
          <cell r="H141">
            <v>56.759999999999991</v>
          </cell>
          <cell r="I141">
            <v>4143.4799999999996</v>
          </cell>
          <cell r="J141">
            <v>9.9800000000000022</v>
          </cell>
          <cell r="K141">
            <v>7.9840000000000018</v>
          </cell>
          <cell r="L141">
            <v>582.83200000000011</v>
          </cell>
          <cell r="M141">
            <v>4821.2119999999995</v>
          </cell>
          <cell r="N141">
            <v>48.707000000000008</v>
          </cell>
          <cell r="O141">
            <v>3555.6110000000008</v>
          </cell>
          <cell r="P141">
            <v>42.445817465643003</v>
          </cell>
        </row>
        <row r="142">
          <cell r="B142" t="str">
            <v>205D827</v>
          </cell>
          <cell r="C142">
            <v>75.66</v>
          </cell>
          <cell r="D142">
            <v>40</v>
          </cell>
          <cell r="E142">
            <v>3026.4</v>
          </cell>
          <cell r="F142">
            <v>1.3</v>
          </cell>
          <cell r="G142">
            <v>52</v>
          </cell>
          <cell r="H142">
            <v>86.21</v>
          </cell>
          <cell r="I142">
            <v>3448.3999999999996</v>
          </cell>
          <cell r="J142">
            <v>13.91</v>
          </cell>
          <cell r="K142">
            <v>11.128</v>
          </cell>
          <cell r="L142">
            <v>445.12</v>
          </cell>
          <cell r="M142">
            <v>3945.5199999999995</v>
          </cell>
          <cell r="N142">
            <v>-22.977999999999987</v>
          </cell>
          <cell r="O142">
            <v>-919.11999999999944</v>
          </cell>
          <cell r="P142">
            <v>-30.370076658736441</v>
          </cell>
        </row>
        <row r="143">
          <cell r="B143" t="str">
            <v>209-333</v>
          </cell>
          <cell r="C143">
            <v>114.751</v>
          </cell>
          <cell r="D143">
            <v>25</v>
          </cell>
          <cell r="E143">
            <v>2868.7750000000001</v>
          </cell>
          <cell r="F143">
            <v>1.3</v>
          </cell>
          <cell r="G143">
            <v>32.5</v>
          </cell>
          <cell r="H143">
            <v>161.82</v>
          </cell>
          <cell r="I143">
            <v>4045.5</v>
          </cell>
          <cell r="J143">
            <v>11.4</v>
          </cell>
          <cell r="K143">
            <v>9.120000000000001</v>
          </cell>
          <cell r="L143">
            <v>228.00000000000003</v>
          </cell>
          <cell r="M143">
            <v>4306</v>
          </cell>
          <cell r="N143">
            <v>-57.488999999999997</v>
          </cell>
          <cell r="O143">
            <v>-1437.2249999999999</v>
          </cell>
          <cell r="P143">
            <v>-50.098909813422097</v>
          </cell>
        </row>
        <row r="144">
          <cell r="B144" t="str">
            <v>217-428</v>
          </cell>
          <cell r="C144">
            <v>114.75099999999999</v>
          </cell>
          <cell r="D144">
            <v>126</v>
          </cell>
          <cell r="E144">
            <v>14458.625999999998</v>
          </cell>
          <cell r="F144">
            <v>1.3</v>
          </cell>
          <cell r="G144">
            <v>163.80000000000001</v>
          </cell>
          <cell r="H144">
            <v>151</v>
          </cell>
          <cell r="I144">
            <v>19026</v>
          </cell>
          <cell r="J144">
            <v>15.750000000000002</v>
          </cell>
          <cell r="K144">
            <v>12.600000000000001</v>
          </cell>
          <cell r="L144">
            <v>1587.6000000000001</v>
          </cell>
          <cell r="M144">
            <v>20777.399999999998</v>
          </cell>
          <cell r="N144">
            <v>-50.148999999999994</v>
          </cell>
          <cell r="O144">
            <v>-6318.7739999999994</v>
          </cell>
          <cell r="P144">
            <v>-43.702451394759088</v>
          </cell>
        </row>
        <row r="145">
          <cell r="B145" t="str">
            <v>217-519</v>
          </cell>
          <cell r="C145">
            <v>75.66</v>
          </cell>
          <cell r="D145">
            <v>40</v>
          </cell>
          <cell r="E145">
            <v>3026.4</v>
          </cell>
          <cell r="F145">
            <v>1.3</v>
          </cell>
          <cell r="G145">
            <v>52</v>
          </cell>
          <cell r="H145">
            <v>158.3126</v>
          </cell>
          <cell r="I145">
            <v>6332.5039999999999</v>
          </cell>
          <cell r="J145">
            <v>15.21</v>
          </cell>
          <cell r="K145">
            <v>12.168000000000001</v>
          </cell>
          <cell r="L145">
            <v>486.72</v>
          </cell>
          <cell r="M145">
            <v>6871.2240000000002</v>
          </cell>
          <cell r="N145">
            <v>-96.120599999999996</v>
          </cell>
          <cell r="O145">
            <v>-3844.8240000000001</v>
          </cell>
          <cell r="P145">
            <v>-127.04282315622521</v>
          </cell>
        </row>
        <row r="146">
          <cell r="B146" t="str">
            <v>217-539</v>
          </cell>
          <cell r="C146">
            <v>75.66</v>
          </cell>
          <cell r="D146">
            <v>41</v>
          </cell>
          <cell r="E146">
            <v>3102.06</v>
          </cell>
          <cell r="F146">
            <v>1.3</v>
          </cell>
          <cell r="G146">
            <v>53.300000000000004</v>
          </cell>
          <cell r="H146">
            <v>154.80770000000001</v>
          </cell>
          <cell r="I146">
            <v>6347.1157000000003</v>
          </cell>
          <cell r="J146">
            <v>14.7</v>
          </cell>
          <cell r="K146">
            <v>11.76</v>
          </cell>
          <cell r="L146">
            <v>482.15999999999997</v>
          </cell>
          <cell r="M146">
            <v>6882.5757000000003</v>
          </cell>
          <cell r="N146">
            <v>-92.207700000000003</v>
          </cell>
          <cell r="O146">
            <v>-3780.5157000000004</v>
          </cell>
          <cell r="P146">
            <v>-121.87113402061857</v>
          </cell>
        </row>
        <row r="147">
          <cell r="B147" t="str">
            <v>217-675</v>
          </cell>
          <cell r="C147">
            <v>114.751</v>
          </cell>
          <cell r="D147">
            <v>136</v>
          </cell>
          <cell r="E147">
            <v>15606.136</v>
          </cell>
          <cell r="F147">
            <v>1.3</v>
          </cell>
          <cell r="G147">
            <v>176.8</v>
          </cell>
          <cell r="H147">
            <v>204.1</v>
          </cell>
          <cell r="I147">
            <v>27757.599999999999</v>
          </cell>
          <cell r="J147">
            <v>19.21</v>
          </cell>
          <cell r="K147">
            <v>15.368000000000002</v>
          </cell>
          <cell r="L147">
            <v>2090.0480000000002</v>
          </cell>
          <cell r="M147">
            <v>30024.447999999997</v>
          </cell>
          <cell r="N147">
            <v>-106.01699999999997</v>
          </cell>
          <cell r="O147">
            <v>-14418.311999999996</v>
          </cell>
          <cell r="P147">
            <v>-92.388737353051354</v>
          </cell>
        </row>
        <row r="148">
          <cell r="B148" t="str">
            <v>230L056</v>
          </cell>
          <cell r="C148">
            <v>113.42999603698811</v>
          </cell>
          <cell r="D148">
            <v>1514</v>
          </cell>
          <cell r="E148">
            <v>171733.014</v>
          </cell>
          <cell r="F148">
            <v>1.3</v>
          </cell>
          <cell r="G148">
            <v>1968.2</v>
          </cell>
          <cell r="H148">
            <v>164.16</v>
          </cell>
          <cell r="I148">
            <v>248538.23999999999</v>
          </cell>
          <cell r="J148">
            <v>13.970000000000002</v>
          </cell>
          <cell r="K148">
            <v>11.176000000000002</v>
          </cell>
          <cell r="L148">
            <v>16920.464000000004</v>
          </cell>
          <cell r="M148">
            <v>267426.90399999998</v>
          </cell>
          <cell r="N148">
            <v>-63.206003963011881</v>
          </cell>
          <cell r="O148">
            <v>-95693.889999999985</v>
          </cell>
          <cell r="P148">
            <v>-55.722477449793075</v>
          </cell>
        </row>
        <row r="149">
          <cell r="B149" t="str">
            <v>237L063</v>
          </cell>
          <cell r="C149">
            <v>114.75099999999999</v>
          </cell>
          <cell r="D149">
            <v>520</v>
          </cell>
          <cell r="E149">
            <v>59670.52</v>
          </cell>
          <cell r="F149">
            <v>1.3</v>
          </cell>
          <cell r="G149">
            <v>676</v>
          </cell>
          <cell r="H149">
            <v>119.52</v>
          </cell>
          <cell r="I149">
            <v>62150.400000000001</v>
          </cell>
          <cell r="J149">
            <v>12.97</v>
          </cell>
          <cell r="K149">
            <v>10.376000000000001</v>
          </cell>
          <cell r="L149">
            <v>5395.52</v>
          </cell>
          <cell r="M149">
            <v>68221.919999999998</v>
          </cell>
          <cell r="N149">
            <v>-16.445000000000004</v>
          </cell>
          <cell r="O149">
            <v>-8551.4000000000015</v>
          </cell>
          <cell r="P149">
            <v>-14.331029794947325</v>
          </cell>
        </row>
        <row r="150">
          <cell r="B150" t="str">
            <v>49X036</v>
          </cell>
          <cell r="C150">
            <v>191.04149999999998</v>
          </cell>
          <cell r="D150">
            <v>74</v>
          </cell>
          <cell r="E150">
            <v>14137.071</v>
          </cell>
          <cell r="F150">
            <v>1.3</v>
          </cell>
          <cell r="G150">
            <v>96.2</v>
          </cell>
          <cell r="H150">
            <v>302</v>
          </cell>
          <cell r="I150">
            <v>22348</v>
          </cell>
          <cell r="J150">
            <v>13.95</v>
          </cell>
          <cell r="K150">
            <v>11.16</v>
          </cell>
          <cell r="L150">
            <v>825.84</v>
          </cell>
          <cell r="M150">
            <v>23270.04</v>
          </cell>
          <cell r="N150">
            <v>-123.41850000000001</v>
          </cell>
          <cell r="O150">
            <v>-9132.969000000001</v>
          </cell>
          <cell r="P150">
            <v>-64.602978933896566</v>
          </cell>
        </row>
        <row r="151">
          <cell r="B151" t="str">
            <v>751-044</v>
          </cell>
          <cell r="C151">
            <v>64.941500000000005</v>
          </cell>
          <cell r="D151">
            <v>300</v>
          </cell>
          <cell r="E151">
            <v>19482.45</v>
          </cell>
          <cell r="F151">
            <v>1.3</v>
          </cell>
          <cell r="G151">
            <v>390</v>
          </cell>
          <cell r="H151">
            <v>95.022400000000005</v>
          </cell>
          <cell r="I151">
            <v>28506.720000000001</v>
          </cell>
          <cell r="J151">
            <v>5.81</v>
          </cell>
          <cell r="K151">
            <v>4.6479999999999997</v>
          </cell>
          <cell r="L151">
            <v>1394.3999999999999</v>
          </cell>
          <cell r="M151">
            <v>30291.120000000003</v>
          </cell>
          <cell r="N151">
            <v>-36.028900000000007</v>
          </cell>
          <cell r="O151">
            <v>-10808.670000000002</v>
          </cell>
          <cell r="P151">
            <v>-55.4790080303042</v>
          </cell>
        </row>
        <row r="152">
          <cell r="B152" t="str">
            <v>751L021</v>
          </cell>
          <cell r="C152">
            <v>64.941500000000005</v>
          </cell>
          <cell r="D152">
            <v>76</v>
          </cell>
          <cell r="E152">
            <v>4935.5540000000001</v>
          </cell>
          <cell r="F152">
            <v>1.3</v>
          </cell>
          <cell r="G152">
            <v>98.8</v>
          </cell>
          <cell r="H152">
            <v>102.98</v>
          </cell>
          <cell r="I152">
            <v>7826.4800000000005</v>
          </cell>
          <cell r="J152">
            <v>4.9800000000000004</v>
          </cell>
          <cell r="K152">
            <v>3.9840000000000004</v>
          </cell>
          <cell r="L152">
            <v>302.78400000000005</v>
          </cell>
          <cell r="M152">
            <v>8228.0640000000003</v>
          </cell>
          <cell r="N152">
            <v>-43.322500000000005</v>
          </cell>
          <cell r="O152">
            <v>-3292.51</v>
          </cell>
          <cell r="P152">
            <v>-66.710039035131615</v>
          </cell>
        </row>
        <row r="153">
          <cell r="B153" t="str">
            <v>79X481</v>
          </cell>
          <cell r="C153">
            <v>64.941499999999991</v>
          </cell>
          <cell r="D153">
            <v>200</v>
          </cell>
          <cell r="E153">
            <v>12988.3</v>
          </cell>
          <cell r="F153">
            <v>1.3</v>
          </cell>
          <cell r="G153">
            <v>260</v>
          </cell>
          <cell r="H153">
            <v>31.793299999999999</v>
          </cell>
          <cell r="I153">
            <v>6358.66</v>
          </cell>
          <cell r="J153">
            <v>3.57</v>
          </cell>
          <cell r="K153">
            <v>2.8559999999999999</v>
          </cell>
          <cell r="L153">
            <v>571.19999999999993</v>
          </cell>
          <cell r="M153">
            <v>7189.86</v>
          </cell>
          <cell r="N153">
            <v>28.992199999999997</v>
          </cell>
          <cell r="O153">
            <v>5798.44</v>
          </cell>
          <cell r="P153">
            <v>44.643563822825158</v>
          </cell>
        </row>
        <row r="154">
          <cell r="B154" t="str">
            <v>79X482</v>
          </cell>
          <cell r="C154">
            <v>64.941499999999991</v>
          </cell>
          <cell r="D154">
            <v>350</v>
          </cell>
          <cell r="E154">
            <v>22729.524999999998</v>
          </cell>
          <cell r="F154">
            <v>1.3</v>
          </cell>
          <cell r="G154">
            <v>455</v>
          </cell>
          <cell r="H154">
            <v>31.2135</v>
          </cell>
          <cell r="I154">
            <v>10924.725</v>
          </cell>
          <cell r="J154">
            <v>3.7399999999999998</v>
          </cell>
          <cell r="K154">
            <v>2.992</v>
          </cell>
          <cell r="L154">
            <v>1047.2</v>
          </cell>
          <cell r="M154">
            <v>12426.925000000001</v>
          </cell>
          <cell r="N154">
            <v>29.435999999999989</v>
          </cell>
          <cell r="O154">
            <v>10302.599999999997</v>
          </cell>
          <cell r="P154">
            <v>45.326948099443335</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
      <sheetName val="Groupings"/>
      <sheetName val="XREF"/>
      <sheetName val="Tickmarks"/>
    </sheetNames>
    <sheetDataSet>
      <sheetData sheetId="0" refreshError="1"/>
      <sheetData sheetId="1" refreshError="1"/>
      <sheetData sheetId="2">
        <row r="2">
          <cell r="E2" t="str">
            <v>!</v>
          </cell>
        </row>
      </sheetData>
      <sheetData sheetId="3">
        <row r="5">
          <cell r="A5" t="str">
            <v>{b}</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s"/>
      <sheetName val="References and Abbreviations"/>
      <sheetName val="General Instructions"/>
      <sheetName val="Balance Sheet"/>
      <sheetName val="Profit and Loss - Normal"/>
      <sheetName val="Profit and Loss - EBITDA"/>
      <sheetName val="Cash Flow"/>
      <sheetName val="Cash Flow - Investing"/>
      <sheetName val="Cash Flow -  Financing &amp; YE"/>
      <sheetName val="St. Tax"/>
      <sheetName val="IT "/>
      <sheetName val="TAX"/>
      <sheetName val="IT  (2)"/>
      <sheetName val="Tangible Assets -IT"/>
      <sheetName val=" Corp Info &amp; Acctg Policies"/>
      <sheetName val="Consolidated TB"/>
      <sheetName val="Equity and Liabilities"/>
      <sheetName val="3.a Share Capital Reco"/>
      <sheetName val="3.b Share Capital Other Details"/>
      <sheetName val="4. Reserves &amp; Surplus"/>
      <sheetName val="5. Long-term Borrowings"/>
      <sheetName val="5.a LT Borrowings Other Details"/>
      <sheetName val="6. Other LT Liabilities"/>
      <sheetName val="7. Long-term Provisions"/>
      <sheetName val="8. Short-term Borrowings"/>
      <sheetName val="8.a ST Borrowings Other Details"/>
      <sheetName val="9. Trade Payables"/>
      <sheetName val="10. Other Current Liabilities"/>
      <sheetName val="11. Short-term Provisions"/>
      <sheetName val="Tangible Assets-Co"/>
      <sheetName val="Intangible Assets"/>
      <sheetName val="Fixed Assets Other Details"/>
      <sheetName val="Non-current Investment"/>
      <sheetName val="13. Non-current Investment"/>
      <sheetName val="Assets"/>
      <sheetName val="15. Other Non-current Assets"/>
      <sheetName val="16. Current Investment"/>
      <sheetName val="17. Inventories"/>
      <sheetName val="18. Trade Receivables"/>
      <sheetName val="19. Cash and Cash Equivalents"/>
      <sheetName val="20. Short-term Loans &amp; Advances"/>
      <sheetName val="21. Other Current Assets"/>
      <sheetName val="Revenue &amp; Expenses "/>
      <sheetName val="23. Other Income "/>
      <sheetName val="EXPENSES"/>
      <sheetName val="25. Employee Benefits Expense"/>
      <sheetName val="26. Finance Costs"/>
      <sheetName val="27. Other Expenses"/>
      <sheetName val="28. Exceptional &amp; Extraordinary"/>
      <sheetName val="29. Addl Info to the FS "/>
      <sheetName val="AS Disclosures"/>
      <sheetName val="Addl Info to the FS"/>
      <sheetName val="30.1 AS 7 Disclosures"/>
      <sheetName val="30.2 AS 12 Disclosures"/>
      <sheetName val="30.3 AS 14 Disclosures"/>
      <sheetName val="30.4 AS 15 Disclosures"/>
      <sheetName val="30.5 AS 16 Disclosures"/>
      <sheetName val="30.6 AS 17 Disclosures"/>
      <sheetName val="30.7 AS 18 Disclosures"/>
      <sheetName val="30.8 AS 19 Disclosures"/>
      <sheetName val="30.9 AS 20 Disclosures"/>
      <sheetName val="30.10 AS 22 Disclosures "/>
      <sheetName val="30.11 AS 24 Disclosures "/>
      <sheetName val="30.12 AS 26 Disclosures "/>
      <sheetName val="30.13 AS 27 Disclosures"/>
      <sheetName val="30.14 AS 29 Disclosures"/>
      <sheetName val="31. Details of ESOP"/>
      <sheetName val="Notes forming part of financial"/>
      <sheetName val="Notes PARA 13"/>
      <sheetName val="CAR with own portfolio only"/>
      <sheetName val="32. Previous Year's Figures"/>
      <sheetName val="Bad debts"/>
      <sheetName val="Sheet2"/>
    </sheetNames>
    <sheetDataSet>
      <sheetData sheetId="0" refreshError="1"/>
      <sheetData sheetId="1" refreshError="1"/>
      <sheetData sheetId="2" refreshError="1"/>
      <sheetData sheetId="3">
        <row r="60">
          <cell r="B60" t="str">
            <v>For A. JOHN MORIS &amp; CO.,</v>
          </cell>
        </row>
        <row r="62">
          <cell r="B62" t="str">
            <v>FRN. 007220S</v>
          </cell>
        </row>
        <row r="65">
          <cell r="F65" t="str">
            <v>(S. KUMARAN)</v>
          </cell>
          <cell r="H65" t="str">
            <v xml:space="preserve"> (K. VISALAKSHI)</v>
          </cell>
        </row>
        <row r="66">
          <cell r="F66" t="str">
            <v>Managing Director</v>
          </cell>
          <cell r="H66" t="str">
            <v>Director</v>
          </cell>
        </row>
        <row r="70">
          <cell r="C70" t="str">
            <v>Chennai</v>
          </cell>
        </row>
      </sheetData>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
      <sheetName val="BS"/>
      <sheetName val="PL"/>
      <sheetName val="Cash Flow"/>
      <sheetName val=" Corp Info &amp; Acctg Policies"/>
      <sheetName val="Notes"/>
      <sheetName val="TB, 2014-15"/>
      <sheetName val="Dep_IT"/>
      <sheetName val="Dep_Co"/>
      <sheetName val="TB 16-17"/>
      <sheetName val="Changes"/>
      <sheetName val="Trial Balance"/>
      <sheetName val="Demerger"/>
      <sheetName val="Sundry Debtors"/>
      <sheetName val="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4">
          <cell r="J24">
            <v>3767032</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ial Balance"/>
    </sheetNames>
    <sheetDataSet>
      <sheetData sheetId="0">
        <row r="9">
          <cell r="C9">
            <v>7147460</v>
          </cell>
        </row>
        <row r="15">
          <cell r="C15">
            <v>302488.93</v>
          </cell>
        </row>
        <row r="16">
          <cell r="C16">
            <v>4202</v>
          </cell>
        </row>
        <row r="17">
          <cell r="C17">
            <v>6640</v>
          </cell>
        </row>
        <row r="18">
          <cell r="C18">
            <v>7500</v>
          </cell>
        </row>
        <row r="19">
          <cell r="C19">
            <v>12864</v>
          </cell>
        </row>
        <row r="20">
          <cell r="C20">
            <v>16681</v>
          </cell>
        </row>
        <row r="21">
          <cell r="C21">
            <v>182380</v>
          </cell>
        </row>
        <row r="22">
          <cell r="C22">
            <v>252786</v>
          </cell>
        </row>
        <row r="23">
          <cell r="C23">
            <v>7500</v>
          </cell>
        </row>
        <row r="24">
          <cell r="B24">
            <v>50000</v>
          </cell>
        </row>
        <row r="25">
          <cell r="C25">
            <v>139000</v>
          </cell>
        </row>
        <row r="26">
          <cell r="C26">
            <v>171306</v>
          </cell>
        </row>
        <row r="27">
          <cell r="C27">
            <v>247501</v>
          </cell>
        </row>
        <row r="28">
          <cell r="C28">
            <v>61102</v>
          </cell>
        </row>
        <row r="29">
          <cell r="C29">
            <v>17227</v>
          </cell>
        </row>
        <row r="30">
          <cell r="C30">
            <v>20000</v>
          </cell>
        </row>
        <row r="31">
          <cell r="C31">
            <v>44280</v>
          </cell>
        </row>
        <row r="32">
          <cell r="B32">
            <v>23628</v>
          </cell>
        </row>
        <row r="33">
          <cell r="C33">
            <v>1826602</v>
          </cell>
        </row>
        <row r="34">
          <cell r="B34">
            <v>15000</v>
          </cell>
        </row>
        <row r="35">
          <cell r="C35">
            <v>5700</v>
          </cell>
        </row>
        <row r="36">
          <cell r="B36">
            <v>58786</v>
          </cell>
        </row>
        <row r="37">
          <cell r="C37">
            <v>1550</v>
          </cell>
        </row>
        <row r="38">
          <cell r="C38">
            <v>3216</v>
          </cell>
        </row>
        <row r="39">
          <cell r="B39">
            <v>30011</v>
          </cell>
        </row>
        <row r="40">
          <cell r="C40">
            <v>24400</v>
          </cell>
        </row>
        <row r="41">
          <cell r="C41">
            <v>14588</v>
          </cell>
        </row>
        <row r="42">
          <cell r="C42">
            <v>709574</v>
          </cell>
        </row>
        <row r="43">
          <cell r="C43">
            <v>20202</v>
          </cell>
        </row>
        <row r="45">
          <cell r="C45">
            <v>23114</v>
          </cell>
        </row>
        <row r="46">
          <cell r="B46">
            <v>54960</v>
          </cell>
        </row>
        <row r="47">
          <cell r="C47">
            <v>22400</v>
          </cell>
        </row>
        <row r="48">
          <cell r="B48">
            <v>54595</v>
          </cell>
        </row>
        <row r="49">
          <cell r="B49">
            <v>115898</v>
          </cell>
        </row>
        <row r="50">
          <cell r="C50">
            <v>21627</v>
          </cell>
        </row>
        <row r="51">
          <cell r="C51">
            <v>2519</v>
          </cell>
        </row>
        <row r="52">
          <cell r="C52">
            <v>23693</v>
          </cell>
        </row>
        <row r="53">
          <cell r="B53">
            <v>1340</v>
          </cell>
        </row>
        <row r="54">
          <cell r="C54">
            <v>524104.5</v>
          </cell>
        </row>
        <row r="55">
          <cell r="B55">
            <v>28350</v>
          </cell>
        </row>
        <row r="56">
          <cell r="B56">
            <v>45125</v>
          </cell>
        </row>
        <row r="57">
          <cell r="B57">
            <v>131054</v>
          </cell>
        </row>
        <row r="58">
          <cell r="C58">
            <v>75000</v>
          </cell>
        </row>
        <row r="59">
          <cell r="B59">
            <v>67320</v>
          </cell>
        </row>
        <row r="60">
          <cell r="C60">
            <v>60100</v>
          </cell>
        </row>
        <row r="61">
          <cell r="C61">
            <v>27054</v>
          </cell>
        </row>
        <row r="62">
          <cell r="C62">
            <v>10590</v>
          </cell>
        </row>
        <row r="63">
          <cell r="C63">
            <v>40789</v>
          </cell>
        </row>
        <row r="64">
          <cell r="C64">
            <v>102368</v>
          </cell>
        </row>
        <row r="65">
          <cell r="C65">
            <v>42700</v>
          </cell>
        </row>
        <row r="66">
          <cell r="C66">
            <v>242958</v>
          </cell>
        </row>
        <row r="67">
          <cell r="B67">
            <v>29401</v>
          </cell>
        </row>
        <row r="68">
          <cell r="B68">
            <v>7000</v>
          </cell>
        </row>
        <row r="69">
          <cell r="B69">
            <v>12458</v>
          </cell>
        </row>
        <row r="70">
          <cell r="C70">
            <v>97831</v>
          </cell>
        </row>
        <row r="71">
          <cell r="B71">
            <v>182901</v>
          </cell>
        </row>
        <row r="72">
          <cell r="B72">
            <v>85000</v>
          </cell>
        </row>
        <row r="73">
          <cell r="C73">
            <v>38102</v>
          </cell>
        </row>
        <row r="74">
          <cell r="C74">
            <v>31326</v>
          </cell>
        </row>
        <row r="75">
          <cell r="C75">
            <v>3655</v>
          </cell>
        </row>
        <row r="76">
          <cell r="C76">
            <v>28113</v>
          </cell>
        </row>
        <row r="77">
          <cell r="C77">
            <v>30361</v>
          </cell>
        </row>
        <row r="78">
          <cell r="C78">
            <v>17130</v>
          </cell>
        </row>
        <row r="79">
          <cell r="B79">
            <v>147050</v>
          </cell>
        </row>
        <row r="80">
          <cell r="B80">
            <v>7212</v>
          </cell>
        </row>
        <row r="81">
          <cell r="B81">
            <v>311600</v>
          </cell>
        </row>
        <row r="82">
          <cell r="C82">
            <v>294856</v>
          </cell>
        </row>
        <row r="83">
          <cell r="B83">
            <v>36401</v>
          </cell>
        </row>
        <row r="84">
          <cell r="B84">
            <v>197</v>
          </cell>
        </row>
        <row r="85">
          <cell r="C85">
            <v>221139</v>
          </cell>
        </row>
        <row r="86">
          <cell r="B86">
            <v>79639</v>
          </cell>
        </row>
        <row r="87">
          <cell r="B87">
            <v>148788</v>
          </cell>
        </row>
        <row r="88">
          <cell r="C88">
            <v>17000</v>
          </cell>
        </row>
        <row r="89">
          <cell r="B89">
            <v>4677</v>
          </cell>
        </row>
        <row r="90">
          <cell r="C90">
            <v>1237</v>
          </cell>
        </row>
        <row r="91">
          <cell r="B91">
            <v>23636</v>
          </cell>
        </row>
        <row r="92">
          <cell r="C92">
            <v>3075</v>
          </cell>
        </row>
        <row r="93">
          <cell r="C93">
            <v>114869</v>
          </cell>
        </row>
        <row r="94">
          <cell r="C94">
            <v>7798</v>
          </cell>
        </row>
        <row r="95">
          <cell r="C95">
            <v>16809</v>
          </cell>
        </row>
        <row r="96">
          <cell r="C96">
            <v>151811.5</v>
          </cell>
        </row>
        <row r="97">
          <cell r="C97">
            <v>11604</v>
          </cell>
        </row>
        <row r="98">
          <cell r="C98">
            <v>37586</v>
          </cell>
        </row>
        <row r="99">
          <cell r="C99">
            <v>345684.88</v>
          </cell>
        </row>
        <row r="100">
          <cell r="B100">
            <v>5330</v>
          </cell>
        </row>
        <row r="101">
          <cell r="C101">
            <v>28662</v>
          </cell>
        </row>
        <row r="102">
          <cell r="C102">
            <v>165</v>
          </cell>
        </row>
        <row r="103">
          <cell r="C103">
            <v>109094.99</v>
          </cell>
        </row>
        <row r="104">
          <cell r="B104">
            <v>61.5</v>
          </cell>
        </row>
        <row r="105">
          <cell r="C105">
            <v>409</v>
          </cell>
        </row>
        <row r="106">
          <cell r="C106">
            <v>23429</v>
          </cell>
        </row>
        <row r="107">
          <cell r="C107">
            <v>6585</v>
          </cell>
        </row>
        <row r="108">
          <cell r="C108">
            <v>1116634</v>
          </cell>
        </row>
        <row r="109">
          <cell r="C109">
            <v>55682</v>
          </cell>
        </row>
        <row r="110">
          <cell r="C110">
            <v>3800</v>
          </cell>
        </row>
        <row r="112">
          <cell r="C112">
            <v>523684</v>
          </cell>
        </row>
        <row r="113">
          <cell r="C113">
            <v>5131</v>
          </cell>
        </row>
        <row r="114">
          <cell r="C114">
            <v>2824</v>
          </cell>
        </row>
        <row r="115">
          <cell r="C115">
            <v>4298</v>
          </cell>
        </row>
        <row r="116">
          <cell r="B116">
            <v>16939</v>
          </cell>
        </row>
        <row r="117">
          <cell r="C117">
            <v>159514</v>
          </cell>
        </row>
        <row r="118">
          <cell r="C118">
            <v>142197.29999999999</v>
          </cell>
        </row>
        <row r="119">
          <cell r="B119">
            <v>11588</v>
          </cell>
        </row>
        <row r="120">
          <cell r="B120">
            <v>7301157</v>
          </cell>
        </row>
        <row r="121">
          <cell r="B121">
            <v>830</v>
          </cell>
        </row>
        <row r="122">
          <cell r="B122">
            <v>39620</v>
          </cell>
        </row>
        <row r="123">
          <cell r="C123">
            <v>4556</v>
          </cell>
        </row>
        <row r="124">
          <cell r="B124">
            <v>15166</v>
          </cell>
        </row>
        <row r="125">
          <cell r="C125">
            <v>54124</v>
          </cell>
        </row>
        <row r="126">
          <cell r="B126">
            <v>82703</v>
          </cell>
        </row>
        <row r="127">
          <cell r="B127">
            <v>53226</v>
          </cell>
        </row>
        <row r="128">
          <cell r="B128">
            <v>10000</v>
          </cell>
        </row>
        <row r="129">
          <cell r="B129">
            <v>27500</v>
          </cell>
        </row>
        <row r="130">
          <cell r="B130">
            <v>42499</v>
          </cell>
        </row>
        <row r="131">
          <cell r="C131">
            <v>10766</v>
          </cell>
        </row>
        <row r="132">
          <cell r="B132">
            <v>115093</v>
          </cell>
        </row>
        <row r="133">
          <cell r="B133">
            <v>518</v>
          </cell>
        </row>
        <row r="134">
          <cell r="B134">
            <v>7500</v>
          </cell>
        </row>
        <row r="135">
          <cell r="B135">
            <v>7493</v>
          </cell>
        </row>
        <row r="136">
          <cell r="C136">
            <v>37785</v>
          </cell>
        </row>
        <row r="137">
          <cell r="C137">
            <v>14714</v>
          </cell>
        </row>
        <row r="138">
          <cell r="B138">
            <v>1548542</v>
          </cell>
        </row>
        <row r="139">
          <cell r="B139">
            <v>21373</v>
          </cell>
        </row>
        <row r="140">
          <cell r="B140">
            <v>92021</v>
          </cell>
        </row>
        <row r="141">
          <cell r="C141">
            <v>34845</v>
          </cell>
        </row>
        <row r="142">
          <cell r="B142">
            <v>8806</v>
          </cell>
        </row>
        <row r="143">
          <cell r="B143">
            <v>9013</v>
          </cell>
        </row>
        <row r="144">
          <cell r="C144">
            <v>2412</v>
          </cell>
        </row>
        <row r="145">
          <cell r="B145">
            <v>5000</v>
          </cell>
        </row>
        <row r="146">
          <cell r="B146">
            <v>3050</v>
          </cell>
        </row>
        <row r="147">
          <cell r="C147">
            <v>14</v>
          </cell>
        </row>
        <row r="148">
          <cell r="B148">
            <v>26269</v>
          </cell>
        </row>
        <row r="149">
          <cell r="B149">
            <v>5230</v>
          </cell>
        </row>
        <row r="150">
          <cell r="C150">
            <v>2590</v>
          </cell>
        </row>
        <row r="151">
          <cell r="C151">
            <v>5901</v>
          </cell>
        </row>
        <row r="152">
          <cell r="C152">
            <v>27607.599999999999</v>
          </cell>
        </row>
        <row r="153">
          <cell r="B153">
            <v>3997212</v>
          </cell>
        </row>
        <row r="154">
          <cell r="B154">
            <v>85192</v>
          </cell>
        </row>
        <row r="155">
          <cell r="C155">
            <v>5687</v>
          </cell>
        </row>
        <row r="156">
          <cell r="C156">
            <v>4880</v>
          </cell>
        </row>
        <row r="157">
          <cell r="B157">
            <v>8029</v>
          </cell>
        </row>
        <row r="158">
          <cell r="C158">
            <v>119627</v>
          </cell>
        </row>
        <row r="159">
          <cell r="C159">
            <v>301</v>
          </cell>
        </row>
        <row r="160">
          <cell r="B160">
            <v>65806</v>
          </cell>
        </row>
        <row r="161">
          <cell r="C161">
            <v>139667</v>
          </cell>
        </row>
        <row r="162">
          <cell r="B162">
            <v>77899</v>
          </cell>
        </row>
        <row r="163">
          <cell r="C163">
            <v>17</v>
          </cell>
        </row>
        <row r="164">
          <cell r="B164">
            <v>11228</v>
          </cell>
        </row>
        <row r="165">
          <cell r="C165">
            <v>11155</v>
          </cell>
        </row>
        <row r="166">
          <cell r="C166">
            <v>43410</v>
          </cell>
        </row>
        <row r="167">
          <cell r="B167">
            <v>1000</v>
          </cell>
        </row>
        <row r="168">
          <cell r="B168">
            <v>84127</v>
          </cell>
        </row>
        <row r="169">
          <cell r="C169">
            <v>58410</v>
          </cell>
        </row>
        <row r="170">
          <cell r="B170">
            <v>3380</v>
          </cell>
        </row>
        <row r="171">
          <cell r="C171">
            <v>10392</v>
          </cell>
        </row>
        <row r="172">
          <cell r="B172">
            <v>10000</v>
          </cell>
        </row>
        <row r="173">
          <cell r="C173">
            <v>3588</v>
          </cell>
        </row>
        <row r="174">
          <cell r="C174">
            <v>17973</v>
          </cell>
        </row>
        <row r="175">
          <cell r="C175">
            <v>114</v>
          </cell>
        </row>
        <row r="176">
          <cell r="C176">
            <v>9965</v>
          </cell>
        </row>
        <row r="177">
          <cell r="B177">
            <v>10428</v>
          </cell>
        </row>
        <row r="178">
          <cell r="B178">
            <v>76818</v>
          </cell>
        </row>
        <row r="179">
          <cell r="C179">
            <v>11426</v>
          </cell>
        </row>
        <row r="180">
          <cell r="C180">
            <v>4106</v>
          </cell>
        </row>
        <row r="181">
          <cell r="C181">
            <v>6055</v>
          </cell>
        </row>
        <row r="182">
          <cell r="B182">
            <v>10169</v>
          </cell>
        </row>
        <row r="183">
          <cell r="B183">
            <v>9039</v>
          </cell>
        </row>
        <row r="184">
          <cell r="C184">
            <v>8536</v>
          </cell>
        </row>
        <row r="185">
          <cell r="B185">
            <v>12350</v>
          </cell>
        </row>
        <row r="186">
          <cell r="B186">
            <v>10000</v>
          </cell>
        </row>
        <row r="187">
          <cell r="C187">
            <v>4460</v>
          </cell>
        </row>
        <row r="188">
          <cell r="C188">
            <v>25317</v>
          </cell>
        </row>
        <row r="189">
          <cell r="C189">
            <v>3246</v>
          </cell>
        </row>
        <row r="190">
          <cell r="C190">
            <v>1815</v>
          </cell>
        </row>
        <row r="191">
          <cell r="C191">
            <v>16895</v>
          </cell>
        </row>
        <row r="192">
          <cell r="C192">
            <v>15312</v>
          </cell>
        </row>
        <row r="193">
          <cell r="C193">
            <v>10328</v>
          </cell>
        </row>
        <row r="194">
          <cell r="C194">
            <v>7491</v>
          </cell>
        </row>
        <row r="195">
          <cell r="C195">
            <v>6954</v>
          </cell>
        </row>
        <row r="196">
          <cell r="B196">
            <v>5000</v>
          </cell>
        </row>
        <row r="197">
          <cell r="B197">
            <v>16026</v>
          </cell>
        </row>
        <row r="198">
          <cell r="B198">
            <v>9823</v>
          </cell>
        </row>
        <row r="199">
          <cell r="C199">
            <v>7974</v>
          </cell>
        </row>
        <row r="200">
          <cell r="C200">
            <v>42419</v>
          </cell>
        </row>
        <row r="201">
          <cell r="C201">
            <v>17952</v>
          </cell>
        </row>
        <row r="202">
          <cell r="C202">
            <v>1356</v>
          </cell>
        </row>
        <row r="203">
          <cell r="C203">
            <v>2083</v>
          </cell>
        </row>
        <row r="204">
          <cell r="B204">
            <v>84515</v>
          </cell>
        </row>
        <row r="205">
          <cell r="C205">
            <v>17875</v>
          </cell>
        </row>
        <row r="206">
          <cell r="C206">
            <v>3744</v>
          </cell>
        </row>
        <row r="207">
          <cell r="B207">
            <v>2776</v>
          </cell>
        </row>
        <row r="208">
          <cell r="B208">
            <v>243930</v>
          </cell>
        </row>
        <row r="209">
          <cell r="C209">
            <v>11514</v>
          </cell>
        </row>
        <row r="210">
          <cell r="B210">
            <v>126356</v>
          </cell>
        </row>
        <row r="211">
          <cell r="B211">
            <v>21157</v>
          </cell>
        </row>
        <row r="212">
          <cell r="C212">
            <v>45548</v>
          </cell>
        </row>
        <row r="213">
          <cell r="B213">
            <v>6000</v>
          </cell>
        </row>
        <row r="214">
          <cell r="B214">
            <v>5377</v>
          </cell>
        </row>
        <row r="215">
          <cell r="C215">
            <v>4000</v>
          </cell>
        </row>
        <row r="216">
          <cell r="B216">
            <v>5200</v>
          </cell>
        </row>
        <row r="217">
          <cell r="C217">
            <v>159066</v>
          </cell>
        </row>
        <row r="218">
          <cell r="C218">
            <v>4190</v>
          </cell>
        </row>
        <row r="219">
          <cell r="C219">
            <v>3337</v>
          </cell>
        </row>
        <row r="220">
          <cell r="C220">
            <v>3645</v>
          </cell>
        </row>
        <row r="221">
          <cell r="C221">
            <v>13798</v>
          </cell>
        </row>
        <row r="222">
          <cell r="B222">
            <v>101779</v>
          </cell>
        </row>
        <row r="223">
          <cell r="C223">
            <v>3696</v>
          </cell>
        </row>
        <row r="224">
          <cell r="B224">
            <v>123086</v>
          </cell>
        </row>
        <row r="225">
          <cell r="B225">
            <v>3765294</v>
          </cell>
        </row>
        <row r="226">
          <cell r="C226">
            <v>1836</v>
          </cell>
        </row>
        <row r="227">
          <cell r="C227">
            <v>10100</v>
          </cell>
        </row>
        <row r="228">
          <cell r="C228">
            <v>17463</v>
          </cell>
        </row>
        <row r="229">
          <cell r="C229">
            <v>26797</v>
          </cell>
        </row>
        <row r="230">
          <cell r="C230">
            <v>986</v>
          </cell>
        </row>
        <row r="231">
          <cell r="C231">
            <v>1371</v>
          </cell>
        </row>
        <row r="232">
          <cell r="B232">
            <v>516</v>
          </cell>
        </row>
        <row r="233">
          <cell r="C233">
            <v>49520</v>
          </cell>
        </row>
        <row r="234">
          <cell r="C234">
            <v>3589</v>
          </cell>
        </row>
        <row r="235">
          <cell r="C235">
            <v>5982</v>
          </cell>
        </row>
        <row r="236">
          <cell r="B236">
            <v>8048</v>
          </cell>
        </row>
        <row r="237">
          <cell r="C237">
            <v>700</v>
          </cell>
        </row>
        <row r="238">
          <cell r="C238">
            <v>13556</v>
          </cell>
        </row>
        <row r="240">
          <cell r="C240">
            <v>15436</v>
          </cell>
        </row>
        <row r="241">
          <cell r="C241">
            <v>10450</v>
          </cell>
        </row>
        <row r="242">
          <cell r="C242">
            <v>761986</v>
          </cell>
        </row>
        <row r="243">
          <cell r="C243">
            <v>349713</v>
          </cell>
        </row>
        <row r="244">
          <cell r="C244">
            <v>7410</v>
          </cell>
        </row>
        <row r="245">
          <cell r="C245">
            <v>520</v>
          </cell>
        </row>
        <row r="246">
          <cell r="C246">
            <v>20735</v>
          </cell>
        </row>
        <row r="247">
          <cell r="C247">
            <v>60149.2</v>
          </cell>
        </row>
        <row r="248">
          <cell r="C248">
            <v>5242</v>
          </cell>
        </row>
        <row r="249">
          <cell r="C249">
            <v>15434</v>
          </cell>
        </row>
        <row r="250">
          <cell r="C250">
            <v>105624</v>
          </cell>
        </row>
        <row r="251">
          <cell r="C251">
            <v>109016</v>
          </cell>
        </row>
        <row r="252">
          <cell r="C252">
            <v>10324</v>
          </cell>
        </row>
        <row r="253">
          <cell r="C253">
            <v>6670</v>
          </cell>
        </row>
        <row r="254">
          <cell r="C254">
            <v>2785</v>
          </cell>
        </row>
        <row r="255">
          <cell r="C255">
            <v>12000</v>
          </cell>
        </row>
        <row r="256">
          <cell r="C256">
            <v>691664.65</v>
          </cell>
        </row>
        <row r="257">
          <cell r="C257">
            <v>15284</v>
          </cell>
        </row>
        <row r="258">
          <cell r="C258">
            <v>6700</v>
          </cell>
        </row>
        <row r="259">
          <cell r="B259">
            <v>20283</v>
          </cell>
        </row>
        <row r="260">
          <cell r="C260">
            <v>27040</v>
          </cell>
        </row>
        <row r="261">
          <cell r="B261">
            <v>5500</v>
          </cell>
        </row>
        <row r="262">
          <cell r="C262">
            <v>24750</v>
          </cell>
        </row>
        <row r="263">
          <cell r="C263">
            <v>109640</v>
          </cell>
        </row>
        <row r="264">
          <cell r="C264">
            <v>14000</v>
          </cell>
        </row>
        <row r="265">
          <cell r="C265">
            <v>12500</v>
          </cell>
        </row>
        <row r="266">
          <cell r="C266">
            <v>37500</v>
          </cell>
        </row>
        <row r="267">
          <cell r="B267">
            <v>6000</v>
          </cell>
        </row>
        <row r="269">
          <cell r="B269">
            <v>97600</v>
          </cell>
        </row>
        <row r="270">
          <cell r="C270">
            <v>605000</v>
          </cell>
        </row>
        <row r="271">
          <cell r="C271">
            <v>896933</v>
          </cell>
        </row>
        <row r="272">
          <cell r="C272">
            <v>77000</v>
          </cell>
        </row>
        <row r="273">
          <cell r="C273">
            <v>105000</v>
          </cell>
        </row>
        <row r="274">
          <cell r="C274">
            <v>215000</v>
          </cell>
        </row>
        <row r="275">
          <cell r="C275">
            <v>150000</v>
          </cell>
        </row>
        <row r="276">
          <cell r="C276">
            <v>147000</v>
          </cell>
        </row>
        <row r="277">
          <cell r="C277">
            <v>195000</v>
          </cell>
        </row>
        <row r="278">
          <cell r="C278">
            <v>195000</v>
          </cell>
        </row>
        <row r="279">
          <cell r="C279">
            <v>167000</v>
          </cell>
        </row>
        <row r="280">
          <cell r="C280">
            <v>109000</v>
          </cell>
        </row>
        <row r="281">
          <cell r="C281">
            <v>190000</v>
          </cell>
        </row>
        <row r="282">
          <cell r="C282">
            <v>966108</v>
          </cell>
        </row>
        <row r="283">
          <cell r="C283">
            <v>926480</v>
          </cell>
        </row>
        <row r="284">
          <cell r="C284">
            <v>225500</v>
          </cell>
        </row>
        <row r="285">
          <cell r="C285">
            <v>1231675</v>
          </cell>
        </row>
        <row r="286">
          <cell r="C286">
            <v>1369637</v>
          </cell>
        </row>
        <row r="287">
          <cell r="C287">
            <v>104500</v>
          </cell>
        </row>
        <row r="288">
          <cell r="C288">
            <v>235000</v>
          </cell>
        </row>
        <row r="289">
          <cell r="C289">
            <v>105000</v>
          </cell>
        </row>
        <row r="290">
          <cell r="C290">
            <v>130500</v>
          </cell>
        </row>
        <row r="291">
          <cell r="C291">
            <v>7147460</v>
          </cell>
        </row>
        <row r="292">
          <cell r="C292">
            <v>78862</v>
          </cell>
        </row>
        <row r="293">
          <cell r="C293">
            <v>164991</v>
          </cell>
        </row>
        <row r="294">
          <cell r="C294">
            <v>681902</v>
          </cell>
        </row>
        <row r="296">
          <cell r="B296">
            <v>16180849.84</v>
          </cell>
        </row>
        <row r="297">
          <cell r="B297">
            <v>65245.84</v>
          </cell>
        </row>
        <row r="299">
          <cell r="B299">
            <v>76388646</v>
          </cell>
        </row>
        <row r="300">
          <cell r="B300">
            <v>13173853.130000001</v>
          </cell>
        </row>
        <row r="301">
          <cell r="B301">
            <v>2090202.47</v>
          </cell>
        </row>
        <row r="304">
          <cell r="B304">
            <v>212010</v>
          </cell>
        </row>
        <row r="305">
          <cell r="B305">
            <v>20450000</v>
          </cell>
        </row>
        <row r="308">
          <cell r="B308">
            <v>155431</v>
          </cell>
        </row>
        <row r="309">
          <cell r="B309">
            <v>236250</v>
          </cell>
        </row>
        <row r="310">
          <cell r="B310">
            <v>545590</v>
          </cell>
        </row>
        <row r="311">
          <cell r="B311">
            <v>544334</v>
          </cell>
        </row>
        <row r="312">
          <cell r="B312">
            <v>99600</v>
          </cell>
        </row>
        <row r="313">
          <cell r="B313">
            <v>367800</v>
          </cell>
        </row>
        <row r="314">
          <cell r="B314">
            <v>190000</v>
          </cell>
        </row>
        <row r="315">
          <cell r="B315">
            <v>583846</v>
          </cell>
        </row>
        <row r="316">
          <cell r="B316">
            <v>219102</v>
          </cell>
        </row>
        <row r="317">
          <cell r="B317">
            <v>148676.74</v>
          </cell>
        </row>
        <row r="318">
          <cell r="B318">
            <v>2090130</v>
          </cell>
        </row>
        <row r="319">
          <cell r="B319">
            <v>677756</v>
          </cell>
        </row>
        <row r="320">
          <cell r="B320">
            <v>2641202.0099999998</v>
          </cell>
        </row>
        <row r="321">
          <cell r="B321">
            <v>3213880.17</v>
          </cell>
        </row>
        <row r="322">
          <cell r="B322">
            <v>4717566</v>
          </cell>
        </row>
        <row r="323">
          <cell r="B323">
            <v>124638</v>
          </cell>
        </row>
        <row r="324">
          <cell r="B324">
            <v>3227333</v>
          </cell>
        </row>
        <row r="325">
          <cell r="B325">
            <v>19831</v>
          </cell>
        </row>
        <row r="326">
          <cell r="B326">
            <v>1190827</v>
          </cell>
        </row>
        <row r="327">
          <cell r="B327">
            <v>335266</v>
          </cell>
        </row>
        <row r="328">
          <cell r="B328">
            <v>4618</v>
          </cell>
        </row>
        <row r="329">
          <cell r="B329">
            <v>1262140</v>
          </cell>
        </row>
        <row r="330">
          <cell r="B330">
            <v>46517</v>
          </cell>
        </row>
        <row r="331">
          <cell r="B331">
            <v>910133</v>
          </cell>
        </row>
        <row r="332">
          <cell r="B332">
            <v>607145.86</v>
          </cell>
        </row>
        <row r="333">
          <cell r="B333">
            <v>1582102</v>
          </cell>
        </row>
        <row r="334">
          <cell r="B334">
            <v>3822255</v>
          </cell>
        </row>
        <row r="335">
          <cell r="B335">
            <v>26293</v>
          </cell>
        </row>
        <row r="336">
          <cell r="B336">
            <v>64196</v>
          </cell>
        </row>
        <row r="337">
          <cell r="B337">
            <v>98880</v>
          </cell>
        </row>
        <row r="338">
          <cell r="B338">
            <v>39089</v>
          </cell>
        </row>
        <row r="339">
          <cell r="B339">
            <v>223362</v>
          </cell>
        </row>
        <row r="340">
          <cell r="B340">
            <v>1539059</v>
          </cell>
        </row>
        <row r="341">
          <cell r="B341">
            <v>83725</v>
          </cell>
        </row>
        <row r="342">
          <cell r="B342">
            <v>682162</v>
          </cell>
        </row>
        <row r="343">
          <cell r="C343">
            <v>520308</v>
          </cell>
        </row>
        <row r="344">
          <cell r="B344">
            <v>598527</v>
          </cell>
        </row>
        <row r="345">
          <cell r="B345">
            <v>106744</v>
          </cell>
        </row>
        <row r="346">
          <cell r="B346">
            <v>2932744</v>
          </cell>
        </row>
        <row r="347">
          <cell r="B347">
            <v>25127</v>
          </cell>
        </row>
        <row r="348">
          <cell r="B348">
            <v>788243</v>
          </cell>
        </row>
        <row r="349">
          <cell r="B349">
            <v>59720</v>
          </cell>
        </row>
        <row r="350">
          <cell r="B350">
            <v>6395</v>
          </cell>
        </row>
        <row r="351">
          <cell r="B351">
            <v>10740</v>
          </cell>
        </row>
        <row r="352">
          <cell r="B352">
            <v>38625</v>
          </cell>
        </row>
        <row r="353">
          <cell r="B353">
            <v>233374</v>
          </cell>
        </row>
        <row r="354">
          <cell r="B354">
            <v>2747603</v>
          </cell>
        </row>
        <row r="355">
          <cell r="B355">
            <v>233363</v>
          </cell>
        </row>
        <row r="356">
          <cell r="B356">
            <v>795750</v>
          </cell>
        </row>
        <row r="357">
          <cell r="B357">
            <v>1838505</v>
          </cell>
        </row>
        <row r="358">
          <cell r="B358">
            <v>797849</v>
          </cell>
        </row>
        <row r="359">
          <cell r="B359">
            <v>121740</v>
          </cell>
        </row>
        <row r="360">
          <cell r="B360">
            <v>233091</v>
          </cell>
        </row>
        <row r="361">
          <cell r="B361">
            <v>7343</v>
          </cell>
        </row>
        <row r="362">
          <cell r="B362">
            <v>198114</v>
          </cell>
        </row>
        <row r="363">
          <cell r="B363">
            <v>120356</v>
          </cell>
        </row>
        <row r="364">
          <cell r="B364">
            <v>792531</v>
          </cell>
        </row>
        <row r="365">
          <cell r="B365">
            <v>1107960</v>
          </cell>
        </row>
        <row r="366">
          <cell r="B366">
            <v>118545</v>
          </cell>
        </row>
        <row r="367">
          <cell r="B367">
            <v>1786986</v>
          </cell>
        </row>
        <row r="368">
          <cell r="B368">
            <v>1070809</v>
          </cell>
        </row>
        <row r="369">
          <cell r="B369">
            <v>2662058</v>
          </cell>
        </row>
        <row r="370">
          <cell r="B370">
            <v>132476</v>
          </cell>
        </row>
        <row r="371">
          <cell r="B371">
            <v>242444</v>
          </cell>
        </row>
        <row r="372">
          <cell r="B372">
            <v>53934</v>
          </cell>
        </row>
        <row r="373">
          <cell r="B373">
            <v>141152</v>
          </cell>
        </row>
        <row r="374">
          <cell r="B374">
            <v>139556.68</v>
          </cell>
        </row>
        <row r="375">
          <cell r="B375">
            <v>99043</v>
          </cell>
        </row>
        <row r="376">
          <cell r="B376">
            <v>123227</v>
          </cell>
        </row>
        <row r="377">
          <cell r="B377">
            <v>909980</v>
          </cell>
        </row>
        <row r="378">
          <cell r="B378">
            <v>94992</v>
          </cell>
        </row>
        <row r="379">
          <cell r="B379">
            <v>460474</v>
          </cell>
        </row>
        <row r="380">
          <cell r="B380">
            <v>347944</v>
          </cell>
        </row>
        <row r="381">
          <cell r="B381">
            <v>43000</v>
          </cell>
        </row>
        <row r="382">
          <cell r="B382">
            <v>9152</v>
          </cell>
        </row>
        <row r="383">
          <cell r="B383">
            <v>474051.8</v>
          </cell>
        </row>
        <row r="384">
          <cell r="B384">
            <v>384405</v>
          </cell>
        </row>
        <row r="385">
          <cell r="B385">
            <v>357068</v>
          </cell>
        </row>
        <row r="386">
          <cell r="B386">
            <v>322179</v>
          </cell>
        </row>
        <row r="387">
          <cell r="B387">
            <v>22179</v>
          </cell>
        </row>
        <row r="388">
          <cell r="B388">
            <v>322179</v>
          </cell>
        </row>
        <row r="389">
          <cell r="B389">
            <v>44308</v>
          </cell>
        </row>
        <row r="390">
          <cell r="B390">
            <v>36845</v>
          </cell>
        </row>
        <row r="391">
          <cell r="B391">
            <v>87472</v>
          </cell>
        </row>
        <row r="392">
          <cell r="B392">
            <v>157637</v>
          </cell>
        </row>
        <row r="393">
          <cell r="B393">
            <v>5297</v>
          </cell>
        </row>
        <row r="395">
          <cell r="B395">
            <v>61649</v>
          </cell>
        </row>
        <row r="398">
          <cell r="B398">
            <v>40176.58</v>
          </cell>
        </row>
        <row r="399">
          <cell r="B399">
            <v>12797.11</v>
          </cell>
        </row>
        <row r="400">
          <cell r="B400">
            <v>16789.22</v>
          </cell>
        </row>
        <row r="401">
          <cell r="B401">
            <v>1018399.21</v>
          </cell>
        </row>
        <row r="402">
          <cell r="B402">
            <v>3188407</v>
          </cell>
        </row>
        <row r="403">
          <cell r="B403">
            <v>13566</v>
          </cell>
        </row>
        <row r="404">
          <cell r="B404">
            <v>1921759.17</v>
          </cell>
        </row>
        <row r="405">
          <cell r="B405">
            <v>720398.51</v>
          </cell>
        </row>
        <row r="406">
          <cell r="B406">
            <v>244512</v>
          </cell>
        </row>
        <row r="407">
          <cell r="B407">
            <v>21297.87</v>
          </cell>
        </row>
        <row r="408">
          <cell r="B408">
            <v>13118</v>
          </cell>
        </row>
        <row r="410">
          <cell r="B410">
            <v>11681.17</v>
          </cell>
        </row>
        <row r="411">
          <cell r="B411">
            <v>310065.43</v>
          </cell>
        </row>
        <row r="412">
          <cell r="B412">
            <v>401697.98</v>
          </cell>
        </row>
        <row r="413">
          <cell r="B413">
            <v>1948083</v>
          </cell>
        </row>
        <row r="414">
          <cell r="B414">
            <v>11037.14</v>
          </cell>
        </row>
        <row r="415">
          <cell r="B415">
            <v>25943.25</v>
          </cell>
        </row>
        <row r="416">
          <cell r="B416">
            <v>6288329</v>
          </cell>
        </row>
        <row r="417">
          <cell r="B417">
            <v>778938</v>
          </cell>
        </row>
        <row r="419">
          <cell r="C419">
            <v>201</v>
          </cell>
        </row>
        <row r="420">
          <cell r="C420">
            <v>2</v>
          </cell>
        </row>
        <row r="421">
          <cell r="C421">
            <v>800</v>
          </cell>
        </row>
        <row r="422">
          <cell r="B422">
            <v>2727</v>
          </cell>
        </row>
        <row r="423">
          <cell r="B423">
            <v>12468.4</v>
          </cell>
        </row>
        <row r="424">
          <cell r="B424">
            <v>1657</v>
          </cell>
        </row>
        <row r="425">
          <cell r="B425">
            <v>3476.45</v>
          </cell>
        </row>
        <row r="426">
          <cell r="B426">
            <v>210769</v>
          </cell>
        </row>
        <row r="427">
          <cell r="B427">
            <v>107441</v>
          </cell>
        </row>
        <row r="428">
          <cell r="C428">
            <v>500</v>
          </cell>
        </row>
        <row r="429">
          <cell r="B429">
            <v>145726</v>
          </cell>
        </row>
        <row r="430">
          <cell r="B430">
            <v>2903</v>
          </cell>
        </row>
        <row r="431">
          <cell r="B431">
            <v>120040</v>
          </cell>
        </row>
        <row r="432">
          <cell r="B432">
            <v>35571</v>
          </cell>
        </row>
        <row r="433">
          <cell r="B433">
            <v>29579.599999999999</v>
          </cell>
        </row>
        <row r="434">
          <cell r="B434">
            <v>98014</v>
          </cell>
        </row>
        <row r="435">
          <cell r="B435">
            <v>99951</v>
          </cell>
        </row>
        <row r="436">
          <cell r="C436">
            <v>2000</v>
          </cell>
        </row>
        <row r="437">
          <cell r="B437">
            <v>76977</v>
          </cell>
        </row>
        <row r="438">
          <cell r="B438">
            <v>88647</v>
          </cell>
        </row>
        <row r="439">
          <cell r="B439">
            <v>368059</v>
          </cell>
        </row>
        <row r="440">
          <cell r="B440">
            <v>75</v>
          </cell>
        </row>
        <row r="441">
          <cell r="B441">
            <v>5578</v>
          </cell>
        </row>
        <row r="442">
          <cell r="B442">
            <v>22244</v>
          </cell>
        </row>
        <row r="443">
          <cell r="B443">
            <v>90316</v>
          </cell>
        </row>
        <row r="444">
          <cell r="B444">
            <v>18095</v>
          </cell>
        </row>
        <row r="445">
          <cell r="B445">
            <v>31056</v>
          </cell>
        </row>
        <row r="446">
          <cell r="B446">
            <v>27512</v>
          </cell>
        </row>
        <row r="447">
          <cell r="C447">
            <v>2000</v>
          </cell>
        </row>
        <row r="448">
          <cell r="B448">
            <v>87517</v>
          </cell>
        </row>
        <row r="449">
          <cell r="C449">
            <v>2100</v>
          </cell>
        </row>
        <row r="450">
          <cell r="C450">
            <v>5745</v>
          </cell>
        </row>
        <row r="451">
          <cell r="B451">
            <v>3188</v>
          </cell>
        </row>
        <row r="452">
          <cell r="B452">
            <v>4000</v>
          </cell>
        </row>
        <row r="453">
          <cell r="B453">
            <v>13714</v>
          </cell>
        </row>
        <row r="454">
          <cell r="C454">
            <v>1000</v>
          </cell>
        </row>
        <row r="455">
          <cell r="B455">
            <v>2950</v>
          </cell>
        </row>
        <row r="456">
          <cell r="B456">
            <v>552.70000000000005</v>
          </cell>
        </row>
        <row r="457">
          <cell r="B457">
            <v>17250</v>
          </cell>
        </row>
        <row r="458">
          <cell r="B458">
            <v>21394.9</v>
          </cell>
        </row>
        <row r="459">
          <cell r="B459">
            <v>9400</v>
          </cell>
        </row>
        <row r="460">
          <cell r="C460">
            <v>2469</v>
          </cell>
        </row>
        <row r="461">
          <cell r="C461">
            <v>2494</v>
          </cell>
        </row>
        <row r="462">
          <cell r="B462">
            <v>2194350.7000000002</v>
          </cell>
        </row>
        <row r="463">
          <cell r="B463">
            <v>133217064</v>
          </cell>
        </row>
        <row r="464">
          <cell r="B464">
            <v>821304</v>
          </cell>
        </row>
        <row r="465">
          <cell r="C465">
            <v>92754516</v>
          </cell>
        </row>
        <row r="466">
          <cell r="C466">
            <v>41283852</v>
          </cell>
        </row>
        <row r="467">
          <cell r="B467">
            <v>10812</v>
          </cell>
        </row>
        <row r="468">
          <cell r="B468">
            <v>6042</v>
          </cell>
        </row>
        <row r="469">
          <cell r="B469">
            <v>54037</v>
          </cell>
        </row>
        <row r="470">
          <cell r="C470">
            <v>6589</v>
          </cell>
        </row>
        <row r="471">
          <cell r="C471">
            <v>2000</v>
          </cell>
        </row>
        <row r="472">
          <cell r="B472">
            <v>34200.5</v>
          </cell>
        </row>
        <row r="473">
          <cell r="B473">
            <v>41461.199999999997</v>
          </cell>
        </row>
        <row r="474">
          <cell r="B474">
            <v>19090</v>
          </cell>
        </row>
        <row r="475">
          <cell r="B475">
            <v>6188</v>
          </cell>
        </row>
        <row r="476">
          <cell r="B476">
            <v>6576</v>
          </cell>
        </row>
        <row r="477">
          <cell r="B477">
            <v>486</v>
          </cell>
        </row>
        <row r="478">
          <cell r="B478">
            <v>2101</v>
          </cell>
        </row>
        <row r="479">
          <cell r="B479">
            <v>13957</v>
          </cell>
        </row>
        <row r="480">
          <cell r="C480">
            <v>300</v>
          </cell>
        </row>
        <row r="481">
          <cell r="B481">
            <v>177835.35</v>
          </cell>
        </row>
        <row r="483">
          <cell r="C483">
            <v>6033.5</v>
          </cell>
        </row>
        <row r="484">
          <cell r="B484">
            <v>5000</v>
          </cell>
        </row>
        <row r="485">
          <cell r="C485">
            <v>272.5</v>
          </cell>
        </row>
        <row r="486">
          <cell r="C486">
            <v>7988</v>
          </cell>
        </row>
        <row r="487">
          <cell r="B487">
            <v>12060</v>
          </cell>
        </row>
        <row r="488">
          <cell r="B488">
            <v>149621.20000000001</v>
          </cell>
        </row>
        <row r="489">
          <cell r="B489">
            <v>908</v>
          </cell>
        </row>
        <row r="490">
          <cell r="C490">
            <v>3702</v>
          </cell>
        </row>
        <row r="491">
          <cell r="B491">
            <v>175587</v>
          </cell>
        </row>
        <row r="492">
          <cell r="B492">
            <v>165678</v>
          </cell>
        </row>
        <row r="493">
          <cell r="C493">
            <v>3763</v>
          </cell>
        </row>
        <row r="494">
          <cell r="B494">
            <v>1381.5</v>
          </cell>
        </row>
        <row r="495">
          <cell r="B495">
            <v>11269</v>
          </cell>
        </row>
        <row r="496">
          <cell r="B496">
            <v>11000</v>
          </cell>
        </row>
        <row r="497">
          <cell r="B497">
            <v>2000</v>
          </cell>
        </row>
        <row r="498">
          <cell r="C498">
            <v>8631</v>
          </cell>
        </row>
        <row r="499">
          <cell r="B499">
            <v>15009.3</v>
          </cell>
        </row>
        <row r="500">
          <cell r="B500">
            <v>3634</v>
          </cell>
        </row>
        <row r="501">
          <cell r="B501">
            <v>4686</v>
          </cell>
        </row>
        <row r="502">
          <cell r="B502">
            <v>100</v>
          </cell>
        </row>
        <row r="503">
          <cell r="B503">
            <v>2000</v>
          </cell>
        </row>
        <row r="504">
          <cell r="B504">
            <v>500</v>
          </cell>
        </row>
        <row r="505">
          <cell r="B505">
            <v>750</v>
          </cell>
        </row>
        <row r="506">
          <cell r="B506">
            <v>5262</v>
          </cell>
        </row>
        <row r="508">
          <cell r="C508">
            <v>295878716.24000001</v>
          </cell>
        </row>
        <row r="510">
          <cell r="B510">
            <v>833870</v>
          </cell>
        </row>
        <row r="511">
          <cell r="B511">
            <v>47281</v>
          </cell>
        </row>
        <row r="512">
          <cell r="B512">
            <v>3005846</v>
          </cell>
        </row>
        <row r="513">
          <cell r="B513">
            <v>982481</v>
          </cell>
        </row>
        <row r="514">
          <cell r="B514">
            <v>517358</v>
          </cell>
        </row>
        <row r="515">
          <cell r="B515">
            <v>674807</v>
          </cell>
        </row>
        <row r="516">
          <cell r="B516">
            <v>6116627</v>
          </cell>
        </row>
        <row r="517">
          <cell r="B517">
            <v>972832</v>
          </cell>
        </row>
        <row r="518">
          <cell r="B518">
            <v>9275655</v>
          </cell>
        </row>
        <row r="519">
          <cell r="B519">
            <v>1055019</v>
          </cell>
        </row>
        <row r="520">
          <cell r="B520">
            <v>59685</v>
          </cell>
        </row>
        <row r="521">
          <cell r="B521">
            <v>800</v>
          </cell>
        </row>
        <row r="522">
          <cell r="B522">
            <v>175472</v>
          </cell>
        </row>
        <row r="523">
          <cell r="B523">
            <v>2867376</v>
          </cell>
        </row>
        <row r="524">
          <cell r="B524">
            <v>80899</v>
          </cell>
        </row>
        <row r="525">
          <cell r="B525">
            <v>35360</v>
          </cell>
        </row>
        <row r="526">
          <cell r="B526">
            <v>831891</v>
          </cell>
        </row>
        <row r="527">
          <cell r="B527">
            <v>1992562</v>
          </cell>
        </row>
        <row r="528">
          <cell r="B528">
            <v>4147111</v>
          </cell>
        </row>
        <row r="529">
          <cell r="B529">
            <v>5192936.71</v>
          </cell>
        </row>
        <row r="530">
          <cell r="B530">
            <v>1255419</v>
          </cell>
        </row>
        <row r="531">
          <cell r="B531">
            <v>191180</v>
          </cell>
        </row>
        <row r="532">
          <cell r="B532">
            <v>2621832</v>
          </cell>
        </row>
        <row r="533">
          <cell r="B533">
            <v>381472.8</v>
          </cell>
        </row>
        <row r="534">
          <cell r="B534">
            <v>4011318</v>
          </cell>
        </row>
        <row r="535">
          <cell r="B535">
            <v>690873</v>
          </cell>
        </row>
        <row r="536">
          <cell r="B536">
            <v>2919317.5</v>
          </cell>
        </row>
        <row r="537">
          <cell r="B537">
            <v>156270</v>
          </cell>
        </row>
        <row r="538">
          <cell r="B538">
            <v>38866786</v>
          </cell>
        </row>
        <row r="539">
          <cell r="B539">
            <v>2017335</v>
          </cell>
        </row>
        <row r="540">
          <cell r="B540">
            <v>2044649</v>
          </cell>
        </row>
        <row r="541">
          <cell r="B541">
            <v>876726</v>
          </cell>
        </row>
        <row r="543">
          <cell r="C543">
            <v>17550000</v>
          </cell>
        </row>
        <row r="545">
          <cell r="C545">
            <v>30000</v>
          </cell>
        </row>
        <row r="546">
          <cell r="C546">
            <v>230500</v>
          </cell>
        </row>
        <row r="547">
          <cell r="C547">
            <v>6649484</v>
          </cell>
        </row>
        <row r="548">
          <cell r="C548">
            <v>120000</v>
          </cell>
        </row>
        <row r="550">
          <cell r="B550">
            <v>1305764.45</v>
          </cell>
        </row>
        <row r="555">
          <cell r="B555">
            <v>6896752</v>
          </cell>
        </row>
        <row r="557">
          <cell r="B557">
            <v>116150</v>
          </cell>
        </row>
        <row r="558">
          <cell r="B558">
            <v>1000</v>
          </cell>
        </row>
        <row r="561">
          <cell r="B561">
            <v>23000</v>
          </cell>
        </row>
        <row r="562">
          <cell r="B562">
            <v>6258</v>
          </cell>
        </row>
        <row r="563">
          <cell r="B563">
            <v>2852</v>
          </cell>
        </row>
        <row r="564">
          <cell r="B564">
            <v>3792</v>
          </cell>
        </row>
        <row r="565">
          <cell r="B565">
            <v>13000</v>
          </cell>
        </row>
        <row r="566">
          <cell r="B566">
            <v>35000</v>
          </cell>
        </row>
        <row r="567">
          <cell r="B567">
            <v>10000</v>
          </cell>
        </row>
        <row r="568">
          <cell r="B568">
            <v>130161</v>
          </cell>
        </row>
        <row r="569">
          <cell r="B569">
            <v>48314.43</v>
          </cell>
        </row>
        <row r="570">
          <cell r="B570">
            <v>56000</v>
          </cell>
        </row>
        <row r="571">
          <cell r="B571">
            <v>4781.92</v>
          </cell>
        </row>
        <row r="572">
          <cell r="B572">
            <v>20556</v>
          </cell>
        </row>
        <row r="573">
          <cell r="B573">
            <v>40795478.140000001</v>
          </cell>
        </row>
        <row r="574">
          <cell r="B574">
            <v>149259.89000000001</v>
          </cell>
        </row>
        <row r="575">
          <cell r="B575">
            <v>4000</v>
          </cell>
        </row>
        <row r="576">
          <cell r="B576">
            <v>176124</v>
          </cell>
        </row>
        <row r="577">
          <cell r="B577">
            <v>145476</v>
          </cell>
        </row>
        <row r="578">
          <cell r="B578">
            <v>7700</v>
          </cell>
        </row>
        <row r="580">
          <cell r="B580">
            <v>19889</v>
          </cell>
        </row>
        <row r="581">
          <cell r="B581">
            <v>23</v>
          </cell>
        </row>
        <row r="582">
          <cell r="B582">
            <v>2933</v>
          </cell>
        </row>
        <row r="583">
          <cell r="B583">
            <v>4702</v>
          </cell>
        </row>
        <row r="584">
          <cell r="B584">
            <v>39358.65</v>
          </cell>
        </row>
        <row r="585">
          <cell r="B585">
            <v>8387</v>
          </cell>
        </row>
        <row r="586">
          <cell r="B586">
            <v>7461</v>
          </cell>
        </row>
        <row r="587">
          <cell r="B587">
            <v>9600</v>
          </cell>
        </row>
        <row r="588">
          <cell r="B588">
            <v>3457</v>
          </cell>
        </row>
        <row r="589">
          <cell r="B589">
            <v>7987231.2000000002</v>
          </cell>
        </row>
        <row r="590">
          <cell r="B590">
            <v>1972</v>
          </cell>
        </row>
        <row r="591">
          <cell r="B591">
            <v>15938607</v>
          </cell>
        </row>
        <row r="592">
          <cell r="B592">
            <v>40000</v>
          </cell>
        </row>
        <row r="593">
          <cell r="B593">
            <v>20000</v>
          </cell>
        </row>
        <row r="594">
          <cell r="B594">
            <v>968925</v>
          </cell>
        </row>
        <row r="595">
          <cell r="B595">
            <v>2930</v>
          </cell>
        </row>
        <row r="596">
          <cell r="B596">
            <v>312355</v>
          </cell>
        </row>
        <row r="597">
          <cell r="B597">
            <v>5500</v>
          </cell>
        </row>
        <row r="598">
          <cell r="B598">
            <v>309963</v>
          </cell>
        </row>
        <row r="599">
          <cell r="B599">
            <v>13150</v>
          </cell>
        </row>
        <row r="600">
          <cell r="B600">
            <v>366887</v>
          </cell>
        </row>
        <row r="601">
          <cell r="B601">
            <v>233550</v>
          </cell>
        </row>
        <row r="602">
          <cell r="C602">
            <v>306474.64</v>
          </cell>
        </row>
        <row r="603">
          <cell r="B603">
            <v>115568</v>
          </cell>
        </row>
        <row r="604">
          <cell r="B604">
            <v>28582</v>
          </cell>
        </row>
        <row r="606">
          <cell r="B606">
            <v>3602630</v>
          </cell>
        </row>
        <row r="608">
          <cell r="B608">
            <v>57179680</v>
          </cell>
        </row>
        <row r="609">
          <cell r="B609">
            <v>9275976</v>
          </cell>
        </row>
        <row r="610">
          <cell r="C610">
            <v>34804893.420000002</v>
          </cell>
        </row>
        <row r="611">
          <cell r="C611">
            <v>251893614.34</v>
          </cell>
        </row>
        <row r="614">
          <cell r="C614">
            <v>150000</v>
          </cell>
        </row>
        <row r="619">
          <cell r="B619">
            <v>3102</v>
          </cell>
        </row>
        <row r="620">
          <cell r="B620">
            <v>138098</v>
          </cell>
        </row>
        <row r="621">
          <cell r="B621">
            <v>876332</v>
          </cell>
        </row>
        <row r="622">
          <cell r="B622">
            <v>36993</v>
          </cell>
        </row>
        <row r="623">
          <cell r="B623">
            <v>9920</v>
          </cell>
        </row>
        <row r="624">
          <cell r="B624">
            <v>33000</v>
          </cell>
        </row>
        <row r="625">
          <cell r="B625">
            <v>11980778</v>
          </cell>
        </row>
        <row r="626">
          <cell r="B626">
            <v>1100</v>
          </cell>
        </row>
        <row r="627">
          <cell r="B627">
            <v>400165</v>
          </cell>
        </row>
        <row r="628">
          <cell r="C628">
            <v>1400230</v>
          </cell>
        </row>
        <row r="629">
          <cell r="C629">
            <v>2322830</v>
          </cell>
        </row>
        <row r="630">
          <cell r="B630">
            <v>6218959</v>
          </cell>
        </row>
        <row r="631">
          <cell r="B631">
            <v>1744722</v>
          </cell>
        </row>
        <row r="632">
          <cell r="B632">
            <v>5308283</v>
          </cell>
        </row>
        <row r="633">
          <cell r="B633">
            <v>2416920</v>
          </cell>
        </row>
        <row r="634">
          <cell r="C634">
            <v>1220360</v>
          </cell>
        </row>
        <row r="635">
          <cell r="B635">
            <v>2783998</v>
          </cell>
        </row>
        <row r="636">
          <cell r="B636">
            <v>2624386</v>
          </cell>
        </row>
        <row r="637">
          <cell r="B637">
            <v>6298747</v>
          </cell>
        </row>
        <row r="638">
          <cell r="B638">
            <v>828135</v>
          </cell>
        </row>
        <row r="639">
          <cell r="B639">
            <v>281214</v>
          </cell>
        </row>
        <row r="640">
          <cell r="B640">
            <v>3625227</v>
          </cell>
        </row>
        <row r="641">
          <cell r="B641">
            <v>10004144</v>
          </cell>
        </row>
        <row r="642">
          <cell r="B642">
            <v>16275991</v>
          </cell>
        </row>
        <row r="643">
          <cell r="B643">
            <v>3701500</v>
          </cell>
        </row>
        <row r="644">
          <cell r="B644">
            <v>4077990</v>
          </cell>
        </row>
        <row r="645">
          <cell r="B645">
            <v>1878707</v>
          </cell>
        </row>
        <row r="647">
          <cell r="B647">
            <v>151121</v>
          </cell>
        </row>
        <row r="648">
          <cell r="B648">
            <v>1890718</v>
          </cell>
        </row>
        <row r="649">
          <cell r="B649">
            <v>2276959</v>
          </cell>
        </row>
        <row r="650">
          <cell r="B650">
            <v>51859</v>
          </cell>
        </row>
        <row r="651">
          <cell r="B651">
            <v>3600</v>
          </cell>
        </row>
        <row r="652">
          <cell r="B652">
            <v>8628</v>
          </cell>
        </row>
        <row r="653">
          <cell r="B653">
            <v>677475.7</v>
          </cell>
        </row>
        <row r="654">
          <cell r="B654">
            <v>20419</v>
          </cell>
        </row>
        <row r="655">
          <cell r="B655">
            <v>3379378</v>
          </cell>
        </row>
        <row r="656">
          <cell r="B656">
            <v>1324294</v>
          </cell>
        </row>
        <row r="657">
          <cell r="B657">
            <v>619967</v>
          </cell>
        </row>
        <row r="658">
          <cell r="B658">
            <v>388999</v>
          </cell>
        </row>
        <row r="659">
          <cell r="B659">
            <v>523881</v>
          </cell>
        </row>
        <row r="660">
          <cell r="B660">
            <v>2705426</v>
          </cell>
        </row>
        <row r="661">
          <cell r="B661">
            <v>1485271</v>
          </cell>
        </row>
        <row r="662">
          <cell r="B662">
            <v>2542905</v>
          </cell>
        </row>
        <row r="663">
          <cell r="B663">
            <v>480466</v>
          </cell>
        </row>
        <row r="664">
          <cell r="B664">
            <v>4268111.2</v>
          </cell>
        </row>
        <row r="666">
          <cell r="C666">
            <v>50</v>
          </cell>
        </row>
        <row r="667">
          <cell r="C667">
            <v>4797848</v>
          </cell>
        </row>
        <row r="668">
          <cell r="C668">
            <v>150000</v>
          </cell>
        </row>
        <row r="669">
          <cell r="C669">
            <v>300000</v>
          </cell>
        </row>
        <row r="671">
          <cell r="B671">
            <v>288853.53000000003</v>
          </cell>
        </row>
        <row r="672">
          <cell r="B672">
            <v>300322</v>
          </cell>
        </row>
        <row r="673">
          <cell r="B673">
            <v>58302</v>
          </cell>
        </row>
        <row r="674">
          <cell r="B674">
            <v>453200</v>
          </cell>
        </row>
        <row r="675">
          <cell r="B675">
            <v>15645</v>
          </cell>
        </row>
        <row r="676">
          <cell r="B676">
            <v>240443</v>
          </cell>
        </row>
        <row r="677">
          <cell r="B677">
            <v>1260000</v>
          </cell>
        </row>
        <row r="678">
          <cell r="B678">
            <v>25960</v>
          </cell>
        </row>
        <row r="679">
          <cell r="B679">
            <v>150000</v>
          </cell>
        </row>
        <row r="680">
          <cell r="B680">
            <v>12480</v>
          </cell>
        </row>
        <row r="681">
          <cell r="B681">
            <v>12605</v>
          </cell>
        </row>
        <row r="682">
          <cell r="B682">
            <v>71310.850000000006</v>
          </cell>
        </row>
        <row r="683">
          <cell r="B683">
            <v>321999</v>
          </cell>
        </row>
        <row r="684">
          <cell r="B684">
            <v>20070</v>
          </cell>
        </row>
        <row r="685">
          <cell r="B685">
            <v>0.35</v>
          </cell>
        </row>
        <row r="686">
          <cell r="B686">
            <v>29509812</v>
          </cell>
        </row>
        <row r="687">
          <cell r="B687">
            <v>315440</v>
          </cell>
        </row>
        <row r="688">
          <cell r="B688">
            <v>147313</v>
          </cell>
        </row>
        <row r="689">
          <cell r="B689">
            <v>1029180</v>
          </cell>
        </row>
        <row r="690">
          <cell r="B690">
            <v>320661</v>
          </cell>
        </row>
        <row r="691">
          <cell r="B691">
            <v>4836663</v>
          </cell>
        </row>
        <row r="692">
          <cell r="B692">
            <v>66047.55</v>
          </cell>
        </row>
        <row r="693">
          <cell r="B693">
            <v>8620164</v>
          </cell>
        </row>
        <row r="694">
          <cell r="B694">
            <v>256000</v>
          </cell>
        </row>
        <row r="695">
          <cell r="B695">
            <v>227113</v>
          </cell>
        </row>
        <row r="696">
          <cell r="B696">
            <v>1403532</v>
          </cell>
        </row>
        <row r="697">
          <cell r="B697">
            <v>616125</v>
          </cell>
        </row>
        <row r="698">
          <cell r="B698">
            <v>14560</v>
          </cell>
        </row>
        <row r="699">
          <cell r="B699">
            <v>341943</v>
          </cell>
        </row>
        <row r="700">
          <cell r="B700">
            <v>870818</v>
          </cell>
        </row>
        <row r="701">
          <cell r="B701">
            <v>354737</v>
          </cell>
        </row>
        <row r="702">
          <cell r="B702">
            <v>1200493</v>
          </cell>
        </row>
        <row r="703">
          <cell r="B703">
            <v>1260938</v>
          </cell>
        </row>
        <row r="704">
          <cell r="B704">
            <v>1746329</v>
          </cell>
        </row>
        <row r="705">
          <cell r="B705">
            <v>7147454.1500000004</v>
          </cell>
        </row>
        <row r="706">
          <cell r="B706">
            <v>788614984.19000006</v>
          </cell>
          <cell r="C706">
            <v>788614984.19000006</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s>
    <sheetDataSet>
      <sheetData sheetId="0" refreshError="1">
        <row r="21">
          <cell r="D21">
            <v>310500</v>
          </cell>
          <cell r="F21">
            <v>163494</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5197.777115393517" backgroundQuery="1" createdVersion="8" refreshedVersion="8" minRefreshableVersion="3" recordCount="0" supportSubquery="1" supportAdvancedDrill="1" xr:uid="{00000000-000A-0000-FFFF-FFFF01000000}">
  <cacheSource type="external" connectionId="1"/>
  <cacheFields count="3">
    <cacheField name="[Range].[A].[A]" caption="A" numFmtId="0" hierarchy="1" level="1">
      <sharedItems count="3">
        <s v="c"/>
        <s v="p"/>
        <s v="v"/>
      </sharedItems>
    </cacheField>
    <cacheField name="[Range].[Whether 1st Half or Second Half].[Whether 1st Half or Second Half]" caption="Whether 1st Half or Second Half" numFmtId="0" hierarchy="13" level="1">
      <sharedItems count="2">
        <s v="less than 180 Days"/>
        <s v="More than 180 Days"/>
      </sharedItems>
    </cacheField>
    <cacheField name="[Measures].[Sum of Amount as per Tally]" caption="Sum of Amount as per Tally" numFmtId="0" hierarchy="17" level="32767"/>
  </cacheFields>
  <cacheHierarchies count="18">
    <cacheHierarchy uniqueName="[Range].[Asset Name]" caption="Asset Name" attribute="1" defaultMemberUniqueName="[Range].[Asset Name].[All]" allUniqueName="[Range].[Asset Name].[All]" dimensionUniqueName="[Range]" displayFolder="" count="0" memberValueDatatype="130" unbalanced="0"/>
    <cacheHierarchy uniqueName="[Range].[A]" caption="A" attribute="1" defaultMemberUniqueName="[Range].[A].[All]" allUniqueName="[Range].[A].[All]" dimensionUniqueName="[Range]" displayFolder="" count="2" memberValueDatatype="130" unbalanced="0">
      <fieldsUsage count="2">
        <fieldUsage x="-1"/>
        <fieldUsage x="0"/>
      </fieldsUsage>
    </cacheHierarchy>
    <cacheHierarchy uniqueName="[Range].[Date of Addition]" caption="Date of Addition" attribute="1" time="1" defaultMemberUniqueName="[Range].[Date of Addition].[All]" allUniqueName="[Range].[Date of Addition].[All]" dimensionUniqueName="[Range]" displayFolder="" count="0" memberValueDatatype="7" unbalanced="0"/>
    <cacheHierarchy uniqueName="[Range].[Amount as per Tally]" caption="Amount as per Tally" attribute="1" defaultMemberUniqueName="[Range].[Amount as per Tally].[All]" allUniqueName="[Range].[Amount as per Tally].[All]" dimensionUniqueName="[Range]" displayFolder="" count="0" memberValueDatatype="5" unbalanced="0"/>
    <cacheHierarchy uniqueName="[Range].[Useful Life]" caption="Useful Life" attribute="1" defaultMemberUniqueName="[Range].[Useful Life].[All]" allUniqueName="[Range].[Useful Life].[All]" dimensionUniqueName="[Range]" displayFolder="" count="0" memberValueDatatype="20" unbalanced="0"/>
    <cacheHierarchy uniqueName="[Range].[Scrap Value]" caption="Scrap Value" attribute="1" defaultMemberUniqueName="[Range].[Scrap Value].[All]" allUniqueName="[Range].[Scrap Value].[All]" dimensionUniqueName="[Range]" displayFolder="" count="0" memberValueDatatype="5" unbalanced="0"/>
    <cacheHierarchy uniqueName="[Range].[Depreciable Amonunt]" caption="Depreciable Amonunt" attribute="1" defaultMemberUniqueName="[Range].[Depreciable Amonunt].[All]" allUniqueName="[Range].[Depreciable Amonunt].[All]" dimensionUniqueName="[Range]" displayFolder="" count="0" memberValueDatatype="5" unbalanced="0"/>
    <cacheHierarchy uniqueName="[Range].[Rate of Depreciation]" caption="Rate of Depreciation" attribute="1" defaultMemberUniqueName="[Range].[Rate of Depreciation].[All]" allUniqueName="[Range].[Rate of Depreciation].[All]" dimensionUniqueName="[Range]" displayFolder="" count="0" memberValueDatatype="5" unbalanced="0"/>
    <cacheHierarchy uniqueName="[Range].[No of Days used in the F.Y]" caption="No of Days used in the F.Y" attribute="1" defaultMemberUniqueName="[Range].[No of Days used in the F.Y].[All]" allUniqueName="[Range].[No of Days used in the F.Y].[All]" dimensionUniqueName="[Range]" displayFolder="" count="0" memberValueDatatype="20" unbalanced="0"/>
    <cacheHierarchy uniqueName="[Range].[Depreciation amount]" caption="Depreciation amount" attribute="1" defaultMemberUniqueName="[Range].[Depreciation amount].[All]" allUniqueName="[Range].[Depreciation amount].[All]" dimensionUniqueName="[Range]" displayFolder="" count="0" memberValueDatatype="5" unbalanced="0"/>
    <cacheHierarchy uniqueName="[Range].[Closing WDV]" caption="Closing WDV" attribute="1" defaultMemberUniqueName="[Range].[Closing WDV].[All]" allUniqueName="[Range].[Closing WDV].[All]" dimensionUniqueName="[Range]" displayFolder="" count="0" memberValueDatatype="5" unbalanced="0"/>
    <cacheHierarchy uniqueName="[Range].[Accumulated Depreciation]" caption="Accumulated Depreciation" attribute="1" defaultMemberUniqueName="[Range].[Accumulated Depreciation].[All]" allUniqueName="[Range].[Accumulated Depreciation].[All]" dimensionUniqueName="[Range]" displayFolder="" count="0" memberValueDatatype="130" unbalanced="0"/>
    <cacheHierarchy uniqueName="[Range].[WDV As on 01-04-2022]" caption="WDV As on 01-04-2022" attribute="1" defaultMemberUniqueName="[Range].[WDV As on 01-04-2022].[All]" allUniqueName="[Range].[WDV As on 01-04-2022].[All]" dimensionUniqueName="[Range]" displayFolder="" count="0" memberValueDatatype="130" unbalanced="0"/>
    <cacheHierarchy uniqueName="[Range].[Whether 1st Half or Second Half]" caption="Whether 1st Half or Second Half" attribute="1" defaultMemberUniqueName="[Range].[Whether 1st Half or Second Half].[All]" allUniqueName="[Range].[Whether 1st Half or Second Half].[All]" dimensionUniqueName="[Range]" displayFolder="" count="2" memberValueDatatype="130" unbalanced="0">
      <fieldsUsage count="2">
        <fieldUsage x="-1"/>
        <fieldUsage x="1"/>
      </fieldsUsage>
    </cacheHierarchy>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Depreciable Amonunt]" caption="Sum of Depreciable Amonunt" measure="1" displayFolder="" measureGroup="Range" count="0" hidden="1">
      <extLst>
        <ext xmlns:x15="http://schemas.microsoft.com/office/spreadsheetml/2010/11/main" uri="{B97F6D7D-B522-45F9-BDA1-12C45D357490}">
          <x15:cacheHierarchy aggregatedColumn="6"/>
        </ext>
      </extLst>
    </cacheHierarchy>
    <cacheHierarchy uniqueName="[Measures].[Sum of Amount as per Tally]" caption="Sum of Amount as per Tally"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3F00-000000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9">
    <i>
      <x/>
    </i>
    <i r="1">
      <x/>
    </i>
    <i r="1">
      <x v="1"/>
    </i>
    <i>
      <x v="1"/>
    </i>
    <i r="1">
      <x/>
    </i>
    <i r="1">
      <x v="1"/>
    </i>
    <i>
      <x v="2"/>
    </i>
    <i r="1">
      <x/>
    </i>
    <i t="grand">
      <x/>
    </i>
  </rowItems>
  <colItems count="1">
    <i/>
  </colItems>
  <dataFields count="1">
    <dataField name="Sum of Amount as per Tally" fld="2"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A Register Final!$C$2:$P$150">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round(+D46,1)"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8"/>
  <sheetViews>
    <sheetView workbookViewId="0">
      <selection activeCell="H21" sqref="H21"/>
    </sheetView>
  </sheetViews>
  <sheetFormatPr defaultColWidth="9" defaultRowHeight="15.6"/>
  <cols>
    <col min="1" max="1" width="35.44140625" style="1525" customWidth="1"/>
    <col min="2" max="2" width="17.44140625" style="1525" customWidth="1"/>
    <col min="3" max="3" width="34.44140625" style="1525" bestFit="1" customWidth="1"/>
    <col min="4" max="4" width="17.44140625" style="1525" bestFit="1" customWidth="1"/>
    <col min="5" max="5" width="24.5546875" style="1525" bestFit="1" customWidth="1"/>
    <col min="6" max="6" width="17.44140625" style="1525" customWidth="1"/>
    <col min="7" max="7" width="15.44140625" style="1525" customWidth="1"/>
    <col min="8" max="8" width="18.44140625" style="1525" bestFit="1" customWidth="1"/>
    <col min="9" max="9" width="17.44140625" style="1525" bestFit="1" customWidth="1"/>
    <col min="10" max="10" width="15.5546875" style="1525" bestFit="1" customWidth="1"/>
    <col min="11" max="11" width="10.44140625" style="1525" customWidth="1"/>
    <col min="12" max="16384" width="9" style="1525"/>
  </cols>
  <sheetData>
    <row r="1" spans="1:9" ht="14.25" customHeight="1">
      <c r="A1" s="2691" t="s">
        <v>3073</v>
      </c>
      <c r="B1" s="2692"/>
      <c r="C1" s="2692"/>
      <c r="D1" s="2692"/>
      <c r="E1" s="2692"/>
      <c r="F1" s="2692"/>
      <c r="G1" s="2692"/>
      <c r="H1" s="1614"/>
    </row>
    <row r="2" spans="1:9" ht="14.25" customHeight="1">
      <c r="A2" s="2693"/>
      <c r="B2" s="2694"/>
      <c r="C2" s="2694"/>
      <c r="D2" s="2694"/>
      <c r="E2" s="2694"/>
      <c r="F2" s="2694"/>
      <c r="G2" s="2694"/>
      <c r="H2" s="1614"/>
    </row>
    <row r="3" spans="1:9" ht="15.6" customHeight="1">
      <c r="A3" s="2695" t="s">
        <v>1</v>
      </c>
      <c r="B3" s="2695" t="s">
        <v>3074</v>
      </c>
      <c r="C3" s="2695"/>
      <c r="D3" s="2695" t="s">
        <v>3075</v>
      </c>
      <c r="E3" s="2695"/>
      <c r="F3" s="2696" t="s">
        <v>3076</v>
      </c>
      <c r="G3" s="2697" t="s">
        <v>3077</v>
      </c>
    </row>
    <row r="4" spans="1:9">
      <c r="A4" s="2695"/>
      <c r="B4" s="1526" t="s">
        <v>3078</v>
      </c>
      <c r="C4" s="1527" t="s">
        <v>3079</v>
      </c>
      <c r="D4" s="1528" t="s">
        <v>3078</v>
      </c>
      <c r="E4" s="1527" t="s">
        <v>3079</v>
      </c>
      <c r="F4" s="2696"/>
      <c r="G4" s="2697"/>
    </row>
    <row r="5" spans="1:9">
      <c r="A5" s="1529" t="s">
        <v>3080</v>
      </c>
      <c r="B5" s="1530"/>
      <c r="D5" s="1531"/>
      <c r="E5" s="1532"/>
      <c r="G5" s="1533"/>
      <c r="H5" s="1525" t="s">
        <v>1158</v>
      </c>
    </row>
    <row r="6" spans="1:9">
      <c r="A6" s="1534" t="s">
        <v>3081</v>
      </c>
      <c r="B6" s="1535">
        <v>328957748.06</v>
      </c>
      <c r="C6" s="1535"/>
      <c r="D6" s="1536">
        <v>258775796.26084748</v>
      </c>
      <c r="E6" s="1531"/>
      <c r="F6" s="1537">
        <f>D6-B6</f>
        <v>-70181951.799152523</v>
      </c>
      <c r="G6" s="1538">
        <f>F6/B6</f>
        <v>-0.21334640151522358</v>
      </c>
    </row>
    <row r="7" spans="1:9" ht="17.100000000000001" customHeight="1">
      <c r="A7" s="1534" t="s">
        <v>3082</v>
      </c>
      <c r="B7" s="1535">
        <v>10903544</v>
      </c>
      <c r="D7" s="1544">
        <v>5691621</v>
      </c>
      <c r="F7" s="1539">
        <f>D7-B7</f>
        <v>-5211923</v>
      </c>
      <c r="G7" s="1538">
        <f>F7/B7</f>
        <v>-0.47800265675086928</v>
      </c>
    </row>
    <row r="8" spans="1:9" ht="17.100000000000001" customHeight="1">
      <c r="A8" s="1534"/>
      <c r="B8" s="1535"/>
      <c r="D8" s="1540"/>
      <c r="F8" s="1541">
        <f>F6+F7</f>
        <v>-75393874.799152523</v>
      </c>
      <c r="G8" s="1538"/>
    </row>
    <row r="9" spans="1:9">
      <c r="A9" s="1529" t="s">
        <v>3083</v>
      </c>
      <c r="D9" s="1540"/>
      <c r="G9" s="1538"/>
    </row>
    <row r="10" spans="1:9">
      <c r="A10" s="1542" t="s">
        <v>3084</v>
      </c>
      <c r="D10" s="1540"/>
      <c r="G10" s="1538"/>
    </row>
    <row r="11" spans="1:9">
      <c r="A11" s="1543" t="s">
        <v>295</v>
      </c>
      <c r="B11" s="1544">
        <v>69930964.049999997</v>
      </c>
      <c r="C11" s="1545">
        <f>B11/B6</f>
        <v>0.21258342283290738</v>
      </c>
      <c r="D11" s="1536">
        <v>81386421.180000007</v>
      </c>
      <c r="E11" s="1546">
        <f>D11/D6</f>
        <v>0.31450553860130731</v>
      </c>
      <c r="F11" s="1547">
        <f>B11-D11</f>
        <v>-11455457.13000001</v>
      </c>
      <c r="G11" s="1538">
        <f>E11-C11</f>
        <v>0.10192211576839993</v>
      </c>
      <c r="H11" s="1548"/>
      <c r="I11" s="1549"/>
    </row>
    <row r="12" spans="1:9">
      <c r="A12" s="1543" t="s">
        <v>214</v>
      </c>
      <c r="B12" s="1544">
        <v>102541739</v>
      </c>
      <c r="C12" s="1545">
        <f>B12/B6</f>
        <v>0.31171705060826527</v>
      </c>
      <c r="D12" s="1550">
        <v>95817326.670000002</v>
      </c>
      <c r="E12" s="1551">
        <f>D12/D6</f>
        <v>0.37027159438595869</v>
      </c>
      <c r="F12" s="1547">
        <f t="shared" ref="F12:F22" si="0">B12-D12</f>
        <v>6724412.3299999982</v>
      </c>
      <c r="G12" s="1538">
        <f>E12-C12</f>
        <v>5.8554543777693424E-2</v>
      </c>
      <c r="H12" s="1548"/>
      <c r="I12" s="1549"/>
    </row>
    <row r="13" spans="1:9">
      <c r="A13" s="1543" t="s">
        <v>542</v>
      </c>
      <c r="B13" s="1544">
        <v>41641425.009999998</v>
      </c>
      <c r="C13" s="1545">
        <f>B13/B6</f>
        <v>0.12658593772475862</v>
      </c>
      <c r="D13" s="1544">
        <v>32380431.280000001</v>
      </c>
      <c r="E13" s="1546">
        <f>D13/D6</f>
        <v>0.12512928854969241</v>
      </c>
      <c r="F13" s="1547">
        <f t="shared" si="0"/>
        <v>9260993.7299999967</v>
      </c>
      <c r="G13" s="1538">
        <f t="shared" ref="G13:G22" si="1">E13-C13</f>
        <v>-1.4566491750662158E-3</v>
      </c>
      <c r="H13" s="1548"/>
      <c r="I13" s="1549"/>
    </row>
    <row r="14" spans="1:9">
      <c r="A14" s="1552" t="s">
        <v>54</v>
      </c>
      <c r="B14" s="1536"/>
      <c r="D14" s="1553"/>
      <c r="F14" s="1547">
        <f t="shared" si="0"/>
        <v>0</v>
      </c>
      <c r="G14" s="1538">
        <f t="shared" si="1"/>
        <v>0</v>
      </c>
    </row>
    <row r="15" spans="1:9">
      <c r="A15" s="1543" t="s">
        <v>56</v>
      </c>
      <c r="B15" s="1544">
        <v>29509489</v>
      </c>
      <c r="C15" s="1554">
        <f>B15/B6</f>
        <v>8.9706015967186276E-2</v>
      </c>
      <c r="D15" s="1536">
        <v>27106724</v>
      </c>
      <c r="E15" s="1551">
        <f>D15/D6</f>
        <v>0.10474984288204553</v>
      </c>
      <c r="F15" s="1547">
        <f t="shared" si="0"/>
        <v>2402765</v>
      </c>
      <c r="G15" s="1538">
        <f t="shared" si="1"/>
        <v>1.5043826914859254E-2</v>
      </c>
    </row>
    <row r="16" spans="1:9">
      <c r="A16" s="1543" t="s">
        <v>3168</v>
      </c>
      <c r="B16" s="1544">
        <v>4628619</v>
      </c>
      <c r="C16" s="1554">
        <f>B16/B6</f>
        <v>1.4070557776179105E-2</v>
      </c>
      <c r="D16" s="1540">
        <v>4023696</v>
      </c>
      <c r="E16" s="1551"/>
      <c r="F16" s="1547">
        <f t="shared" si="0"/>
        <v>604923</v>
      </c>
      <c r="G16" s="1538">
        <f t="shared" si="1"/>
        <v>-1.4070557776179105E-2</v>
      </c>
    </row>
    <row r="17" spans="1:8">
      <c r="A17" s="1543" t="s">
        <v>58</v>
      </c>
      <c r="B17" s="1544">
        <v>3780000</v>
      </c>
      <c r="C17" s="1554">
        <f>B17/ B6</f>
        <v>1.1490837416939483E-2</v>
      </c>
      <c r="D17" s="1540">
        <v>3677400</v>
      </c>
      <c r="E17" s="1551">
        <f>D17/D6</f>
        <v>1.4210757161744601E-2</v>
      </c>
      <c r="F17" s="1547">
        <f t="shared" si="0"/>
        <v>102600</v>
      </c>
      <c r="G17" s="1538">
        <f t="shared" si="1"/>
        <v>2.7199197448051181E-3</v>
      </c>
    </row>
    <row r="18" spans="1:8">
      <c r="A18" s="1543" t="s">
        <v>55</v>
      </c>
      <c r="B18" s="1544">
        <v>289262</v>
      </c>
      <c r="C18" s="1554">
        <f>B18/B6</f>
        <v>8.7932873357109761E-4</v>
      </c>
      <c r="D18" s="1540">
        <v>59275</v>
      </c>
      <c r="E18" s="1551">
        <f>D18/D6</f>
        <v>2.2905928937902084E-4</v>
      </c>
      <c r="F18" s="1547">
        <f t="shared" si="0"/>
        <v>229987</v>
      </c>
      <c r="G18" s="1538">
        <f t="shared" si="1"/>
        <v>-6.5026944419207676E-4</v>
      </c>
    </row>
    <row r="19" spans="1:8">
      <c r="A19" s="1543" t="s">
        <v>3085</v>
      </c>
      <c r="B19" s="1544">
        <v>18130830.649999999</v>
      </c>
      <c r="C19" s="1554">
        <f>B19/B6</f>
        <v>5.5115986040532597E-2</v>
      </c>
      <c r="D19" s="1540">
        <v>16158933.612547273</v>
      </c>
      <c r="E19" s="1551">
        <f>D19/D6</f>
        <v>6.2443759602072581E-2</v>
      </c>
      <c r="F19" s="1547">
        <f t="shared" si="0"/>
        <v>1971897.0374527257</v>
      </c>
      <c r="G19" s="1538">
        <f t="shared" si="1"/>
        <v>7.3277735615399839E-3</v>
      </c>
      <c r="H19" s="1525" t="s">
        <v>1158</v>
      </c>
    </row>
    <row r="20" spans="1:8">
      <c r="A20" s="1534" t="s">
        <v>3086</v>
      </c>
      <c r="B20" s="1536">
        <v>11025000</v>
      </c>
      <c r="C20" s="1555">
        <f>B20/B6</f>
        <v>3.3514942466073498E-2</v>
      </c>
      <c r="D20" s="1536">
        <v>-18800000</v>
      </c>
      <c r="E20" s="1551">
        <f>D20/D6</f>
        <v>-7.2649761962473081E-2</v>
      </c>
      <c r="F20" s="1540">
        <f t="shared" si="0"/>
        <v>29825000</v>
      </c>
      <c r="G20" s="1538">
        <f t="shared" si="1"/>
        <v>-0.10616470442854659</v>
      </c>
    </row>
    <row r="21" spans="1:8">
      <c r="A21" s="1534" t="s">
        <v>3087</v>
      </c>
      <c r="B21" s="1536">
        <v>2860000</v>
      </c>
      <c r="C21" s="1555">
        <f>B21/B6</f>
        <v>8.6941256646684978E-3</v>
      </c>
      <c r="D21" s="1540">
        <v>873749.90254727402</v>
      </c>
      <c r="F21" s="1540">
        <f t="shared" si="0"/>
        <v>1986250.097452726</v>
      </c>
      <c r="G21" s="1538">
        <f t="shared" si="1"/>
        <v>-8.6941256646684978E-3</v>
      </c>
    </row>
    <row r="22" spans="1:8">
      <c r="A22" s="1534" t="s">
        <v>30</v>
      </c>
      <c r="B22" s="1536">
        <v>3467811.9679089044</v>
      </c>
      <c r="C22" s="1555">
        <f>B22/B6</f>
        <v>1.0541815744909573E-2</v>
      </c>
      <c r="D22" s="1536">
        <v>3900665.1686071702</v>
      </c>
      <c r="E22" s="1546">
        <f>D22/D6</f>
        <v>1.5073531701841534E-2</v>
      </c>
      <c r="F22" s="1540">
        <f t="shared" si="0"/>
        <v>-432853.20069826581</v>
      </c>
      <c r="G22" s="1538">
        <f t="shared" si="1"/>
        <v>4.5317159569319612E-3</v>
      </c>
    </row>
    <row r="23" spans="1:8">
      <c r="A23" s="1534"/>
      <c r="D23" s="1540"/>
      <c r="F23" s="1541">
        <f>SUM(F11:F22)</f>
        <v>41220517.864207171</v>
      </c>
      <c r="G23" s="1533"/>
    </row>
    <row r="24" spans="1:8">
      <c r="A24" s="1556" t="s">
        <v>3088</v>
      </c>
      <c r="B24" s="1557">
        <v>52056151.382091105</v>
      </c>
      <c r="C24" s="1558">
        <f>B24/B6</f>
        <v>0.15824570690031706</v>
      </c>
      <c r="G24" s="1533"/>
    </row>
    <row r="25" spans="1:8">
      <c r="A25" s="1556" t="s">
        <v>3089</v>
      </c>
      <c r="B25" s="1559">
        <v>18639394.349693</v>
      </c>
      <c r="C25" s="1558">
        <f>B25/D6</f>
        <v>7.2029125671801184E-2</v>
      </c>
      <c r="F25" s="1531"/>
      <c r="G25" s="1533"/>
    </row>
    <row r="26" spans="1:8">
      <c r="A26" s="1534"/>
      <c r="G26" s="1533"/>
    </row>
    <row r="27" spans="1:8" ht="16.2" thickBot="1">
      <c r="A27" s="1560" t="s">
        <v>3090</v>
      </c>
      <c r="B27" s="1561">
        <f>B25-B24</f>
        <v>-33416757.032398105</v>
      </c>
      <c r="C27" s="1562"/>
      <c r="D27" s="1562"/>
      <c r="E27" s="1562"/>
      <c r="F27" s="1562"/>
      <c r="G27" s="1563"/>
    </row>
    <row r="29" spans="1:8" ht="16.2" thickBot="1"/>
    <row r="30" spans="1:8">
      <c r="A30" s="2677" t="s">
        <v>3091</v>
      </c>
      <c r="B30" s="2678"/>
      <c r="C30" s="2678"/>
      <c r="D30" s="2678"/>
      <c r="E30" s="2679"/>
    </row>
    <row r="31" spans="1:8" ht="16.2" thickBot="1">
      <c r="A31" s="2680"/>
      <c r="B31" s="2681"/>
      <c r="C31" s="2681"/>
      <c r="D31" s="2681"/>
      <c r="E31" s="2682"/>
    </row>
    <row r="32" spans="1:8">
      <c r="A32" s="2683" t="s">
        <v>1</v>
      </c>
      <c r="B32" s="2660" t="s">
        <v>3092</v>
      </c>
      <c r="C32" s="2685" t="s">
        <v>3093</v>
      </c>
      <c r="D32" s="2687" t="s">
        <v>3078</v>
      </c>
      <c r="E32" s="2689" t="s">
        <v>3094</v>
      </c>
    </row>
    <row r="33" spans="1:5">
      <c r="A33" s="2684"/>
      <c r="B33" s="2663"/>
      <c r="C33" s="2686"/>
      <c r="D33" s="2688"/>
      <c r="E33" s="2690"/>
    </row>
    <row r="34" spans="1:5">
      <c r="A34" s="1564"/>
      <c r="B34" s="1565"/>
      <c r="C34" s="1566"/>
      <c r="D34" s="1567"/>
      <c r="E34" s="1568"/>
    </row>
    <row r="35" spans="1:5">
      <c r="A35" s="1569" t="s">
        <v>3095</v>
      </c>
      <c r="B35" s="1570">
        <f>D6</f>
        <v>258775796.26084748</v>
      </c>
      <c r="C35" s="1571"/>
      <c r="D35" s="1572">
        <f>B35</f>
        <v>258775796.26084748</v>
      </c>
      <c r="E35" s="1573"/>
    </row>
    <row r="36" spans="1:5">
      <c r="A36" s="1574"/>
      <c r="B36" s="1575"/>
      <c r="C36" s="1571"/>
      <c r="D36" s="1576"/>
      <c r="E36" s="1573"/>
    </row>
    <row r="37" spans="1:5">
      <c r="A37" s="1577" t="s">
        <v>3096</v>
      </c>
      <c r="E37" s="1533"/>
    </row>
    <row r="38" spans="1:5">
      <c r="A38" s="1543" t="s">
        <v>295</v>
      </c>
      <c r="B38" s="1555">
        <f>C11</f>
        <v>0.21258342283290738</v>
      </c>
      <c r="C38" s="1531">
        <f>$D$35*B38</f>
        <v>55011444.515442029</v>
      </c>
      <c r="D38" s="1536">
        <f>D11</f>
        <v>81386421.180000007</v>
      </c>
      <c r="E38" s="1578">
        <f>C38-D38</f>
        <v>-26374976.664557979</v>
      </c>
    </row>
    <row r="39" spans="1:5">
      <c r="A39" s="1543" t="s">
        <v>214</v>
      </c>
      <c r="B39" s="1555">
        <f t="shared" ref="B39:B47" si="2">C12</f>
        <v>0.31171705060826527</v>
      </c>
      <c r="C39" s="1531">
        <f t="shared" ref="C39:C46" si="3">$D$35*B39</f>
        <v>80664827.979236737</v>
      </c>
      <c r="D39" s="1536">
        <f t="shared" ref="D39:D47" si="4">D12</f>
        <v>95817326.670000002</v>
      </c>
      <c r="E39" s="1578">
        <f t="shared" ref="E39:E45" si="5">C39-D39</f>
        <v>-15152498.690763265</v>
      </c>
    </row>
    <row r="40" spans="1:5">
      <c r="A40" s="1543" t="s">
        <v>542</v>
      </c>
      <c r="B40" s="1555">
        <f t="shared" si="2"/>
        <v>0.12658593772475862</v>
      </c>
      <c r="C40" s="1531">
        <f t="shared" si="3"/>
        <v>32757376.830150463</v>
      </c>
      <c r="D40" s="1536">
        <f t="shared" si="4"/>
        <v>32380431.280000001</v>
      </c>
      <c r="E40" s="1578">
        <f t="shared" si="5"/>
        <v>376945.55015046149</v>
      </c>
    </row>
    <row r="41" spans="1:5">
      <c r="A41" s="1579" t="s">
        <v>54</v>
      </c>
      <c r="B41" s="1555">
        <f t="shared" si="2"/>
        <v>0</v>
      </c>
      <c r="C41" s="1531"/>
      <c r="D41" s="1536">
        <f t="shared" si="4"/>
        <v>0</v>
      </c>
      <c r="E41" s="1578"/>
    </row>
    <row r="42" spans="1:5">
      <c r="A42" s="1543" t="s">
        <v>56</v>
      </c>
      <c r="B42" s="1555">
        <f t="shared" si="2"/>
        <v>8.9706015967186276E-2</v>
      </c>
      <c r="C42" s="1531">
        <f t="shared" si="3"/>
        <v>23213745.711296927</v>
      </c>
      <c r="D42" s="1536">
        <f t="shared" si="4"/>
        <v>27106724</v>
      </c>
      <c r="E42" s="1578">
        <f t="shared" si="5"/>
        <v>-3892978.2887030728</v>
      </c>
    </row>
    <row r="43" spans="1:5">
      <c r="A43" s="1543" t="s">
        <v>294</v>
      </c>
      <c r="B43" s="1555">
        <f t="shared" si="2"/>
        <v>1.4070557776179105E-2</v>
      </c>
      <c r="C43" s="1531">
        <f t="shared" si="3"/>
        <v>3641119.7923650071</v>
      </c>
      <c r="D43" s="1536">
        <f t="shared" si="4"/>
        <v>4023696</v>
      </c>
      <c r="E43" s="1578">
        <f t="shared" si="5"/>
        <v>-382576.2076349929</v>
      </c>
    </row>
    <row r="44" spans="1:5">
      <c r="A44" s="1543" t="s">
        <v>58</v>
      </c>
      <c r="B44" s="1555">
        <f t="shared" si="2"/>
        <v>1.1490837416939483E-2</v>
      </c>
      <c r="C44" s="1531">
        <f t="shared" si="3"/>
        <v>2973550.6022724546</v>
      </c>
      <c r="D44" s="1536">
        <f t="shared" si="4"/>
        <v>3677400</v>
      </c>
      <c r="E44" s="1578">
        <f t="shared" si="5"/>
        <v>-703849.39772754535</v>
      </c>
    </row>
    <row r="45" spans="1:5">
      <c r="A45" s="1543" t="s">
        <v>55</v>
      </c>
      <c r="B45" s="1555">
        <f t="shared" si="2"/>
        <v>8.7932873357109761E-4</v>
      </c>
      <c r="C45" s="1531">
        <f t="shared" si="3"/>
        <v>227548.99320490338</v>
      </c>
      <c r="D45" s="1536">
        <f t="shared" si="4"/>
        <v>59275</v>
      </c>
      <c r="E45" s="1578">
        <f t="shared" si="5"/>
        <v>168273.99320490338</v>
      </c>
    </row>
    <row r="46" spans="1:5">
      <c r="A46" s="1543" t="s">
        <v>3085</v>
      </c>
      <c r="B46" s="1555">
        <f t="shared" si="2"/>
        <v>5.5115986040532597E-2</v>
      </c>
      <c r="C46" s="1531">
        <f t="shared" si="3"/>
        <v>14262683.174340578</v>
      </c>
      <c r="D46" s="1536">
        <f t="shared" si="4"/>
        <v>16158933.612547273</v>
      </c>
      <c r="E46" s="1578">
        <f>C46-D46</f>
        <v>-1896250.438206695</v>
      </c>
    </row>
    <row r="47" spans="1:5">
      <c r="A47" s="1534" t="s">
        <v>3086</v>
      </c>
      <c r="B47" s="1555">
        <f t="shared" si="2"/>
        <v>3.3514942466073498E-2</v>
      </c>
      <c r="C47" s="1531">
        <f>$D$35*B47</f>
        <v>8672855.9232946616</v>
      </c>
      <c r="D47" s="1536">
        <f t="shared" si="4"/>
        <v>-18800000</v>
      </c>
      <c r="E47" s="1578">
        <f>C47-D47</f>
        <v>27472855.923294663</v>
      </c>
    </row>
    <row r="48" spans="1:5">
      <c r="A48" s="1534" t="s">
        <v>3087</v>
      </c>
      <c r="B48" s="1555">
        <f>C21</f>
        <v>8.6941256646684978E-3</v>
      </c>
      <c r="C48" s="1531">
        <f>$D$35*B48</f>
        <v>2249829.2916664602</v>
      </c>
      <c r="D48" s="1540">
        <v>873749.90254727402</v>
      </c>
      <c r="E48" s="1578">
        <f>C48-D48</f>
        <v>1376079.3891191862</v>
      </c>
    </row>
    <row r="49" spans="1:5">
      <c r="A49" s="1534" t="s">
        <v>30</v>
      </c>
      <c r="B49" s="1555">
        <f>C22</f>
        <v>1.0541815744909573E-2</v>
      </c>
      <c r="C49" s="1531">
        <f>B35*B49</f>
        <v>2727966.7634241139</v>
      </c>
      <c r="D49" s="1540">
        <f>D22</f>
        <v>3900665.1686071702</v>
      </c>
      <c r="E49" s="1580">
        <f>C49-D49</f>
        <v>-1172698.4051830564</v>
      </c>
    </row>
    <row r="50" spans="1:5">
      <c r="A50" s="1581"/>
      <c r="B50" s="1582"/>
      <c r="C50" s="1583">
        <f>SUM(C38:C49)</f>
        <v>226402949.57669431</v>
      </c>
      <c r="D50" s="1583">
        <f>SUM(D38:D49)</f>
        <v>246584622.81370175</v>
      </c>
      <c r="E50" s="1584">
        <f>SUM(E38:E49)</f>
        <v>-20181673.237007387</v>
      </c>
    </row>
    <row r="51" spans="1:5" ht="16.2" thickBot="1">
      <c r="A51" s="1585"/>
      <c r="B51" s="1562"/>
      <c r="C51" s="1562"/>
      <c r="D51" s="1562"/>
      <c r="E51" s="1563"/>
    </row>
    <row r="52" spans="1:5">
      <c r="A52" s="2659" t="s">
        <v>3113</v>
      </c>
      <c r="B52" s="2660"/>
      <c r="C52" s="2661"/>
    </row>
    <row r="53" spans="1:5">
      <c r="A53" s="2662"/>
      <c r="B53" s="2663"/>
      <c r="C53" s="2664"/>
      <c r="D53" s="1531"/>
    </row>
    <row r="54" spans="1:5">
      <c r="A54" s="1534" t="s">
        <v>3112</v>
      </c>
      <c r="C54" s="1593">
        <f>D6-D7</f>
        <v>253084175.26084748</v>
      </c>
    </row>
    <row r="55" spans="1:5">
      <c r="A55" s="1534" t="s">
        <v>3114</v>
      </c>
      <c r="C55" s="1580">
        <f>C50-C48</f>
        <v>224153120.28502786</v>
      </c>
    </row>
    <row r="56" spans="1:5">
      <c r="A56" s="1534"/>
      <c r="B56" s="1625" t="s">
        <v>3115</v>
      </c>
      <c r="C56" s="1627">
        <f>C54-C55</f>
        <v>28931054.975819618</v>
      </c>
    </row>
    <row r="57" spans="1:5">
      <c r="A57" s="1534"/>
      <c r="B57" s="1626" t="s">
        <v>3116</v>
      </c>
      <c r="C57" s="1628">
        <f>B65</f>
        <v>46240223.033423185</v>
      </c>
    </row>
    <row r="58" spans="1:5" ht="16.2" thickBot="1">
      <c r="A58" s="1585"/>
      <c r="B58" s="1629" t="s">
        <v>3165</v>
      </c>
      <c r="C58" s="1630">
        <f>C56-C57</f>
        <v>-17309168.057603568</v>
      </c>
    </row>
    <row r="60" spans="1:5" ht="16.2" thickBot="1"/>
    <row r="61" spans="1:5">
      <c r="A61" s="2665" t="s">
        <v>3097</v>
      </c>
      <c r="B61" s="2666"/>
      <c r="C61" s="1586"/>
    </row>
    <row r="62" spans="1:5">
      <c r="A62" s="2667"/>
      <c r="B62" s="2668"/>
      <c r="C62" s="1587"/>
    </row>
    <row r="63" spans="1:5">
      <c r="A63" s="1588" t="s">
        <v>1</v>
      </c>
      <c r="B63" s="1589" t="s">
        <v>3075</v>
      </c>
      <c r="C63" s="1590" t="s">
        <v>3074</v>
      </c>
    </row>
    <row r="64" spans="1:5">
      <c r="A64" s="1534"/>
      <c r="C64" s="1533"/>
    </row>
    <row r="65" spans="1:3">
      <c r="A65" s="1534" t="s">
        <v>3098</v>
      </c>
      <c r="B65" s="1536">
        <f>+PL!C35</f>
        <v>46240223.033423185</v>
      </c>
      <c r="C65" s="1591">
        <v>52056151.382091105</v>
      </c>
    </row>
    <row r="66" spans="1:3" ht="16.2">
      <c r="A66" s="1534" t="s">
        <v>3099</v>
      </c>
      <c r="B66" s="1609">
        <f>+IT!E46</f>
        <v>10965295.032507783</v>
      </c>
      <c r="C66" s="1592">
        <v>11161937.6</v>
      </c>
    </row>
    <row r="67" spans="1:3">
      <c r="A67" s="1534" t="s">
        <v>3100</v>
      </c>
      <c r="B67" s="1611">
        <f>B65-B66</f>
        <v>35274928.000915401</v>
      </c>
      <c r="C67" s="1593">
        <f>C65-C66</f>
        <v>40894213.782091103</v>
      </c>
    </row>
    <row r="68" spans="1:3" ht="16.2">
      <c r="A68" s="1534" t="s">
        <v>3101</v>
      </c>
      <c r="B68" s="1610">
        <v>3900665.1686071744</v>
      </c>
      <c r="C68" s="1594">
        <v>3467811.9679089044</v>
      </c>
    </row>
    <row r="69" spans="1:3" ht="16.2" thickBot="1">
      <c r="A69" s="1595" t="s">
        <v>3102</v>
      </c>
      <c r="B69" s="1596">
        <f>B67+B68</f>
        <v>39175593.169522576</v>
      </c>
      <c r="C69" s="1597">
        <f>C67+C68</f>
        <v>44362025.750000007</v>
      </c>
    </row>
    <row r="71" spans="1:3" ht="16.2" thickBot="1"/>
    <row r="72" spans="1:3">
      <c r="A72" s="2669" t="s">
        <v>3103</v>
      </c>
      <c r="B72" s="2670"/>
      <c r="C72" s="2671"/>
    </row>
    <row r="73" spans="1:3">
      <c r="A73" s="2672"/>
      <c r="B73" s="2673"/>
      <c r="C73" s="2674"/>
    </row>
    <row r="74" spans="1:3">
      <c r="A74" s="1598"/>
      <c r="B74" s="2675" t="s">
        <v>3075</v>
      </c>
      <c r="C74" s="2676"/>
    </row>
    <row r="75" spans="1:3">
      <c r="A75" s="2662" t="s">
        <v>1</v>
      </c>
      <c r="B75" s="2663" t="s">
        <v>3104</v>
      </c>
      <c r="C75" s="2664" t="s">
        <v>3105</v>
      </c>
    </row>
    <row r="76" spans="1:3">
      <c r="A76" s="2662"/>
      <c r="B76" s="2663"/>
      <c r="C76" s="2664"/>
    </row>
    <row r="77" spans="1:3">
      <c r="A77" s="1534"/>
      <c r="B77" s="1599"/>
      <c r="C77" s="1600"/>
    </row>
    <row r="78" spans="1:3">
      <c r="A78" s="1542" t="s">
        <v>3111</v>
      </c>
      <c r="B78" s="1601">
        <f>+IT!E40</f>
        <v>43568400.478813499</v>
      </c>
      <c r="C78" s="1602">
        <f>+IT!E40+IT!D28-IT!D16</f>
        <v>47168606.973423183</v>
      </c>
    </row>
    <row r="79" spans="1:3">
      <c r="A79" s="1534" t="s">
        <v>3106</v>
      </c>
      <c r="B79" s="1603">
        <f>B78*22%</f>
        <v>9585048.1053389702</v>
      </c>
      <c r="C79" s="1604">
        <f>C78*22%</f>
        <v>10377093.5341531</v>
      </c>
    </row>
    <row r="80" spans="1:3">
      <c r="A80" s="1534" t="s">
        <v>3107</v>
      </c>
      <c r="B80" s="1540">
        <f>ROUND(+B79*10%,0.1)</f>
        <v>958505</v>
      </c>
      <c r="C80" s="1593">
        <f>C79*10/100</f>
        <v>1037709.35341531</v>
      </c>
    </row>
    <row r="81" spans="1:3">
      <c r="A81" s="1605"/>
      <c r="B81" s="1540">
        <f>B79+B80</f>
        <v>10543553.10533897</v>
      </c>
      <c r="C81" s="1593">
        <f>C79+C80</f>
        <v>11414802.88756841</v>
      </c>
    </row>
    <row r="82" spans="1:3">
      <c r="A82" s="1534" t="s">
        <v>3108</v>
      </c>
      <c r="B82" s="1540">
        <f>ROUND(+B81*4%,-1)</f>
        <v>421740</v>
      </c>
      <c r="C82" s="1593">
        <f>C81*4/100</f>
        <v>456592.11550273641</v>
      </c>
    </row>
    <row r="83" spans="1:3">
      <c r="A83" s="1534"/>
      <c r="B83" s="1540"/>
      <c r="C83" s="1593"/>
    </row>
    <row r="84" spans="1:3" ht="18">
      <c r="A84" s="1606" t="s">
        <v>3109</v>
      </c>
      <c r="B84" s="1607">
        <f>B81+B82</f>
        <v>10965293.10533897</v>
      </c>
      <c r="C84" s="1608">
        <f>C81+C82</f>
        <v>11871395.003071146</v>
      </c>
    </row>
    <row r="85" spans="1:3">
      <c r="A85" s="1534"/>
      <c r="C85" s="1533"/>
    </row>
    <row r="86" spans="1:3">
      <c r="A86" s="2653" t="s">
        <v>3110</v>
      </c>
      <c r="B86" s="2654"/>
      <c r="C86" s="2655"/>
    </row>
    <row r="87" spans="1:3">
      <c r="A87" s="2653"/>
      <c r="B87" s="2654"/>
      <c r="C87" s="2655"/>
    </row>
    <row r="88" spans="1:3" ht="16.2" thickBot="1">
      <c r="A88" s="2656"/>
      <c r="B88" s="2657"/>
      <c r="C88" s="2658"/>
    </row>
  </sheetData>
  <mergeCells count="20">
    <mergeCell ref="A1:G2"/>
    <mergeCell ref="A3:A4"/>
    <mergeCell ref="B3:C3"/>
    <mergeCell ref="D3:E3"/>
    <mergeCell ref="F3:F4"/>
    <mergeCell ref="G3:G4"/>
    <mergeCell ref="A30:E31"/>
    <mergeCell ref="A32:A33"/>
    <mergeCell ref="B32:B33"/>
    <mergeCell ref="C32:C33"/>
    <mergeCell ref="D32:D33"/>
    <mergeCell ref="E32:E33"/>
    <mergeCell ref="A86:C88"/>
    <mergeCell ref="A52:C53"/>
    <mergeCell ref="A61:B62"/>
    <mergeCell ref="A72:C73"/>
    <mergeCell ref="B74:C74"/>
    <mergeCell ref="A75:A76"/>
    <mergeCell ref="B75:B76"/>
    <mergeCell ref="C75:C76"/>
  </mergeCells>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45"/>
  <sheetViews>
    <sheetView workbookViewId="0">
      <selection activeCell="H39" sqref="H39"/>
    </sheetView>
  </sheetViews>
  <sheetFormatPr defaultRowHeight="14.4"/>
  <cols>
    <col min="1" max="1" width="37.5546875" bestFit="1" customWidth="1"/>
    <col min="2" max="2" width="14.5546875" customWidth="1"/>
    <col min="3" max="3" width="16.44140625" customWidth="1"/>
    <col min="4" max="4" width="17.44140625" customWidth="1"/>
    <col min="7" max="7" width="12" bestFit="1" customWidth="1"/>
  </cols>
  <sheetData>
    <row r="1" spans="1:7" ht="15.6">
      <c r="A1" s="2699" t="s">
        <v>1661</v>
      </c>
      <c r="B1" s="2699"/>
      <c r="C1" s="2699"/>
      <c r="D1" s="195"/>
    </row>
    <row r="2" spans="1:7">
      <c r="A2" s="2700" t="s">
        <v>1662</v>
      </c>
      <c r="B2" s="2700"/>
      <c r="C2" s="2700"/>
      <c r="D2" s="195"/>
    </row>
    <row r="3" spans="1:7">
      <c r="A3" s="2700" t="s">
        <v>1663</v>
      </c>
      <c r="B3" s="2700"/>
      <c r="C3" s="2700"/>
      <c r="D3" s="195"/>
    </row>
    <row r="4" spans="1:7">
      <c r="A4" s="2700" t="s">
        <v>1664</v>
      </c>
      <c r="B4" s="2700"/>
      <c r="C4" s="2700"/>
      <c r="D4" s="195"/>
    </row>
    <row r="5" spans="1:7" ht="15" thickBot="1">
      <c r="A5" s="2701" t="s">
        <v>1665</v>
      </c>
      <c r="B5" s="2701"/>
      <c r="C5" s="2701"/>
      <c r="D5" s="195"/>
    </row>
    <row r="6" spans="1:7" ht="15.6">
      <c r="A6" s="2702" t="s">
        <v>3120</v>
      </c>
      <c r="B6" s="2702"/>
      <c r="C6" s="2702"/>
      <c r="D6" s="195"/>
      <c r="F6" s="1619"/>
      <c r="G6" s="1620"/>
    </row>
    <row r="7" spans="1:7">
      <c r="A7" s="2700" t="s">
        <v>2517</v>
      </c>
      <c r="B7" s="2700"/>
      <c r="C7" s="2700"/>
      <c r="D7" s="195"/>
      <c r="F7" s="1621"/>
      <c r="G7" s="1622" t="s">
        <v>158</v>
      </c>
    </row>
    <row r="8" spans="1:7" ht="15" thickBot="1">
      <c r="A8" s="1052" t="s">
        <v>82</v>
      </c>
      <c r="B8" s="2703" t="s">
        <v>3121</v>
      </c>
      <c r="C8" s="2703"/>
      <c r="D8" s="2703"/>
      <c r="F8" s="1623"/>
      <c r="G8" s="1624"/>
    </row>
    <row r="9" spans="1:7">
      <c r="A9" s="194" t="s">
        <v>82</v>
      </c>
      <c r="B9" s="2704" t="s">
        <v>1667</v>
      </c>
      <c r="C9" s="2705"/>
      <c r="D9" s="2705"/>
    </row>
    <row r="10" spans="1:7">
      <c r="A10" s="1615" t="s">
        <v>1</v>
      </c>
      <c r="B10" s="2706" t="s">
        <v>2517</v>
      </c>
      <c r="C10" s="2707"/>
      <c r="D10" s="2707"/>
    </row>
    <row r="11" spans="1:7">
      <c r="A11" s="1615" t="s">
        <v>82</v>
      </c>
      <c r="B11" s="2708" t="s">
        <v>1332</v>
      </c>
      <c r="C11" s="2709"/>
      <c r="D11" s="196" t="s">
        <v>1333</v>
      </c>
      <c r="E11" s="2698" t="s">
        <v>3155</v>
      </c>
      <c r="G11" t="s">
        <v>3156</v>
      </c>
    </row>
    <row r="12" spans="1:7">
      <c r="A12" s="1616" t="s">
        <v>82</v>
      </c>
      <c r="B12" s="101" t="s">
        <v>66</v>
      </c>
      <c r="C12" s="101" t="s">
        <v>67</v>
      </c>
      <c r="D12" s="197" t="s">
        <v>1196</v>
      </c>
      <c r="E12" s="2698"/>
      <c r="G12" t="s">
        <v>3157</v>
      </c>
    </row>
    <row r="13" spans="1:7">
      <c r="A13" s="1" t="s">
        <v>3122</v>
      </c>
      <c r="B13" s="113"/>
      <c r="C13" s="107"/>
      <c r="D13" s="262"/>
      <c r="G13" t="s">
        <v>3158</v>
      </c>
    </row>
    <row r="14" spans="1:7">
      <c r="A14" s="13" t="s">
        <v>3123</v>
      </c>
      <c r="B14" s="95">
        <v>999</v>
      </c>
      <c r="C14" s="95">
        <v>0</v>
      </c>
      <c r="D14" s="1618">
        <f>C14-B14</f>
        <v>-999</v>
      </c>
      <c r="E14">
        <v>2288440</v>
      </c>
      <c r="G14" t="s">
        <v>3159</v>
      </c>
    </row>
    <row r="15" spans="1:7" hidden="1">
      <c r="A15" s="13" t="s">
        <v>3124</v>
      </c>
      <c r="B15" s="95">
        <v>1306369</v>
      </c>
      <c r="C15" s="112">
        <v>2887464</v>
      </c>
      <c r="D15" s="1617">
        <f t="shared" ref="D15:D44" si="0">C15-B15</f>
        <v>1581095</v>
      </c>
    </row>
    <row r="16" spans="1:7" hidden="1">
      <c r="A16" s="13" t="s">
        <v>3125</v>
      </c>
      <c r="B16" s="95">
        <v>20402422</v>
      </c>
      <c r="C16" s="112">
        <v>38346998</v>
      </c>
      <c r="D16" s="1617">
        <f t="shared" si="0"/>
        <v>17944576</v>
      </c>
    </row>
    <row r="17" spans="1:11" hidden="1">
      <c r="A17" s="13" t="s">
        <v>3126</v>
      </c>
      <c r="B17" s="95">
        <v>3540</v>
      </c>
      <c r="C17" s="112">
        <v>4278200</v>
      </c>
      <c r="D17" s="1617">
        <f t="shared" si="0"/>
        <v>4274660</v>
      </c>
    </row>
    <row r="18" spans="1:11" hidden="1">
      <c r="A18" s="13" t="s">
        <v>3127</v>
      </c>
      <c r="B18" s="95">
        <v>1981824</v>
      </c>
      <c r="C18" s="112">
        <v>3457145</v>
      </c>
      <c r="D18" s="1617">
        <f t="shared" si="0"/>
        <v>1475321</v>
      </c>
    </row>
    <row r="19" spans="1:11" hidden="1">
      <c r="A19" s="13" t="s">
        <v>3128</v>
      </c>
      <c r="B19" s="95">
        <v>63946</v>
      </c>
      <c r="C19" s="112">
        <v>669816</v>
      </c>
      <c r="D19" s="1617">
        <f t="shared" si="0"/>
        <v>605870</v>
      </c>
      <c r="I19" t="s">
        <v>3160</v>
      </c>
      <c r="J19">
        <v>1084824</v>
      </c>
    </row>
    <row r="20" spans="1:11">
      <c r="A20" s="13" t="s">
        <v>3129</v>
      </c>
      <c r="B20" s="95">
        <v>7612028</v>
      </c>
      <c r="C20" s="112">
        <v>6972946</v>
      </c>
      <c r="D20" s="1618">
        <f t="shared" si="0"/>
        <v>-639082</v>
      </c>
      <c r="J20">
        <v>638212</v>
      </c>
    </row>
    <row r="21" spans="1:11">
      <c r="A21" s="13" t="s">
        <v>3130</v>
      </c>
      <c r="B21" s="95">
        <v>9309785</v>
      </c>
      <c r="C21" s="112">
        <v>9194400</v>
      </c>
      <c r="D21" s="1618">
        <f t="shared" si="0"/>
        <v>-115385</v>
      </c>
      <c r="J21">
        <v>3797980</v>
      </c>
      <c r="K21">
        <v>3856336</v>
      </c>
    </row>
    <row r="22" spans="1:11" hidden="1">
      <c r="A22" s="13" t="s">
        <v>3131</v>
      </c>
      <c r="B22" s="95">
        <v>1811569</v>
      </c>
      <c r="C22" s="112">
        <v>2100000</v>
      </c>
      <c r="D22" s="1617">
        <f t="shared" si="0"/>
        <v>288431</v>
      </c>
      <c r="J22" s="254">
        <f>J19+J20+J21</f>
        <v>5521016</v>
      </c>
      <c r="K22">
        <f>J19+J20+K21</f>
        <v>5579372</v>
      </c>
    </row>
    <row r="23" spans="1:11" hidden="1">
      <c r="A23" s="13" t="s">
        <v>3132</v>
      </c>
      <c r="B23" s="95"/>
      <c r="C23" s="112">
        <v>127118</v>
      </c>
      <c r="D23" s="1617">
        <v>127118</v>
      </c>
    </row>
    <row r="24" spans="1:11">
      <c r="A24" s="13" t="s">
        <v>3133</v>
      </c>
      <c r="B24" s="95">
        <v>31197721</v>
      </c>
      <c r="C24" s="112">
        <v>30302188</v>
      </c>
      <c r="D24" s="1618">
        <f>C24-B24</f>
        <v>-895533</v>
      </c>
    </row>
    <row r="25" spans="1:11" hidden="1">
      <c r="A25" s="13" t="s">
        <v>3134</v>
      </c>
      <c r="B25" s="95">
        <v>10079786</v>
      </c>
      <c r="C25" s="112">
        <v>10460923</v>
      </c>
      <c r="D25" s="1617">
        <f t="shared" si="0"/>
        <v>381137</v>
      </c>
      <c r="J25">
        <f>K22-J22</f>
        <v>58356</v>
      </c>
    </row>
    <row r="26" spans="1:11" hidden="1">
      <c r="A26" s="13" t="s">
        <v>3135</v>
      </c>
      <c r="B26" s="95">
        <v>240000</v>
      </c>
      <c r="C26" s="112">
        <v>6000000</v>
      </c>
      <c r="D26" s="1617">
        <f t="shared" si="0"/>
        <v>5760000</v>
      </c>
    </row>
    <row r="27" spans="1:11">
      <c r="A27" s="13" t="s">
        <v>3136</v>
      </c>
      <c r="B27" s="95">
        <v>2779311</v>
      </c>
      <c r="C27" s="112">
        <v>1452882</v>
      </c>
      <c r="D27" s="1618">
        <f t="shared" si="0"/>
        <v>-1326429</v>
      </c>
      <c r="G27" s="100">
        <f>D24+D27+D28+D34+D35+D37+D39+D20+D21+D14</f>
        <v>-17581760</v>
      </c>
    </row>
    <row r="28" spans="1:11">
      <c r="A28" s="13" t="s">
        <v>3137</v>
      </c>
      <c r="B28" s="95">
        <v>14377479</v>
      </c>
      <c r="C28" s="112">
        <v>7828408</v>
      </c>
      <c r="D28" s="1618">
        <f t="shared" si="0"/>
        <v>-6549071</v>
      </c>
    </row>
    <row r="29" spans="1:11" hidden="1">
      <c r="A29" s="13" t="s">
        <v>3138</v>
      </c>
      <c r="B29" s="95">
        <v>1595944</v>
      </c>
      <c r="C29" s="112">
        <v>2658875</v>
      </c>
      <c r="D29" s="1617">
        <f t="shared" si="0"/>
        <v>1062931</v>
      </c>
    </row>
    <row r="30" spans="1:11" hidden="1">
      <c r="A30" s="13" t="s">
        <v>3139</v>
      </c>
      <c r="B30" s="95">
        <v>8709756</v>
      </c>
      <c r="C30" s="112">
        <v>11032518</v>
      </c>
      <c r="D30" s="1617">
        <f t="shared" si="0"/>
        <v>2322762</v>
      </c>
    </row>
    <row r="31" spans="1:11" hidden="1">
      <c r="A31" s="13" t="s">
        <v>3140</v>
      </c>
      <c r="B31" s="95">
        <v>6005878</v>
      </c>
      <c r="C31" s="112">
        <v>12209897</v>
      </c>
      <c r="D31" s="1617">
        <f t="shared" si="0"/>
        <v>6204019</v>
      </c>
    </row>
    <row r="32" spans="1:11" hidden="1">
      <c r="A32" s="13" t="s">
        <v>3141</v>
      </c>
      <c r="B32" s="95">
        <v>28153750</v>
      </c>
      <c r="C32" s="112">
        <v>30465627.949999999</v>
      </c>
      <c r="D32" s="1617">
        <f t="shared" si="0"/>
        <v>2311877.9499999993</v>
      </c>
    </row>
    <row r="33" spans="1:4" hidden="1">
      <c r="A33" s="13" t="s">
        <v>3142</v>
      </c>
      <c r="B33" s="95">
        <v>0.36</v>
      </c>
      <c r="C33" s="112">
        <v>2966102</v>
      </c>
      <c r="D33" s="1617">
        <f t="shared" si="0"/>
        <v>2966101.64</v>
      </c>
    </row>
    <row r="34" spans="1:4">
      <c r="A34" s="13" t="s">
        <v>3143</v>
      </c>
      <c r="B34" s="95">
        <v>9371874</v>
      </c>
      <c r="C34" s="112">
        <v>6595887</v>
      </c>
      <c r="D34" s="1618">
        <f t="shared" si="0"/>
        <v>-2775987</v>
      </c>
    </row>
    <row r="35" spans="1:4">
      <c r="A35" s="13" t="s">
        <v>3144</v>
      </c>
      <c r="B35" s="95">
        <v>8231261</v>
      </c>
      <c r="C35" s="112">
        <v>6611838</v>
      </c>
      <c r="D35" s="1618">
        <f t="shared" si="0"/>
        <v>-1619423</v>
      </c>
    </row>
    <row r="36" spans="1:4" hidden="1">
      <c r="A36" s="13" t="s">
        <v>3145</v>
      </c>
      <c r="B36" s="95">
        <v>34045</v>
      </c>
      <c r="C36" s="112">
        <v>2142212</v>
      </c>
      <c r="D36" s="1617">
        <f t="shared" si="0"/>
        <v>2108167</v>
      </c>
    </row>
    <row r="37" spans="1:4">
      <c r="A37" s="13" t="s">
        <v>3146</v>
      </c>
      <c r="B37" s="95">
        <v>3712881</v>
      </c>
      <c r="C37" s="112">
        <v>1329081</v>
      </c>
      <c r="D37" s="1618">
        <f t="shared" si="0"/>
        <v>-2383800</v>
      </c>
    </row>
    <row r="38" spans="1:4" hidden="1">
      <c r="A38" s="13" t="s">
        <v>3147</v>
      </c>
      <c r="B38" s="95">
        <v>19623428</v>
      </c>
      <c r="C38" s="112">
        <v>28562740</v>
      </c>
      <c r="D38" s="1617">
        <f t="shared" si="0"/>
        <v>8939312</v>
      </c>
    </row>
    <row r="39" spans="1:4">
      <c r="A39" s="13" t="s">
        <v>3148</v>
      </c>
      <c r="B39" s="95">
        <v>4627201</v>
      </c>
      <c r="C39" s="112">
        <v>3351150</v>
      </c>
      <c r="D39" s="1618">
        <f t="shared" si="0"/>
        <v>-1276051</v>
      </c>
    </row>
    <row r="40" spans="1:4" hidden="1">
      <c r="A40" s="13" t="s">
        <v>3149</v>
      </c>
      <c r="B40" s="95"/>
      <c r="C40" s="112">
        <v>62345</v>
      </c>
      <c r="D40" s="1617">
        <f t="shared" si="0"/>
        <v>62345</v>
      </c>
    </row>
    <row r="41" spans="1:4" hidden="1">
      <c r="A41" s="13" t="s">
        <v>3150</v>
      </c>
      <c r="B41" s="95">
        <v>1156807</v>
      </c>
      <c r="C41" s="112">
        <v>2288489</v>
      </c>
      <c r="D41" s="1617">
        <f t="shared" si="0"/>
        <v>1131682</v>
      </c>
    </row>
    <row r="42" spans="1:4" hidden="1">
      <c r="A42" s="13" t="s">
        <v>3151</v>
      </c>
      <c r="B42" s="95">
        <v>14160916</v>
      </c>
      <c r="C42" s="112">
        <v>14312421</v>
      </c>
      <c r="D42" s="1617">
        <f t="shared" si="0"/>
        <v>151505</v>
      </c>
    </row>
    <row r="43" spans="1:4" hidden="1">
      <c r="A43" s="13" t="s">
        <v>3152</v>
      </c>
      <c r="B43" s="95"/>
      <c r="C43" s="112">
        <v>600000</v>
      </c>
      <c r="D43" s="1617">
        <f t="shared" si="0"/>
        <v>600000</v>
      </c>
    </row>
    <row r="44" spans="1:4" hidden="1">
      <c r="A44" s="13" t="s">
        <v>3153</v>
      </c>
      <c r="B44" s="95"/>
      <c r="C44" s="112">
        <v>1700000</v>
      </c>
      <c r="D44" s="1617">
        <f t="shared" si="0"/>
        <v>1700000</v>
      </c>
    </row>
    <row r="45" spans="1:4" hidden="1">
      <c r="A45" s="13" t="s">
        <v>3154</v>
      </c>
      <c r="B45" s="95"/>
      <c r="C45" s="112">
        <v>900000</v>
      </c>
      <c r="D45" s="1617">
        <v>900000</v>
      </c>
    </row>
  </sheetData>
  <autoFilter ref="A13:D45" xr:uid="{00000000-0009-0000-0000-000001000000}">
    <filterColumn colId="3">
      <colorFilter dxfId="0"/>
    </filterColumn>
  </autoFilter>
  <mergeCells count="12">
    <mergeCell ref="E11:E12"/>
    <mergeCell ref="A1:C1"/>
    <mergeCell ref="A2:C2"/>
    <mergeCell ref="A3:C3"/>
    <mergeCell ref="A4:C4"/>
    <mergeCell ref="A5:C5"/>
    <mergeCell ref="A6:C6"/>
    <mergeCell ref="A7:C7"/>
    <mergeCell ref="B8:D8"/>
    <mergeCell ref="B9:D9"/>
    <mergeCell ref="B10:D10"/>
    <mergeCell ref="B11:C11"/>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18"/>
  <sheetViews>
    <sheetView showGridLines="0" view="pageBreakPreview" topLeftCell="A41" zoomScaleSheetLayoutView="100" workbookViewId="0">
      <selection activeCell="G55" sqref="G55"/>
    </sheetView>
  </sheetViews>
  <sheetFormatPr defaultColWidth="9.44140625" defaultRowHeight="16.350000000000001" customHeight="1"/>
  <cols>
    <col min="1" max="1" width="4" style="652" customWidth="1"/>
    <col min="2" max="2" width="27.5546875" style="652" customWidth="1"/>
    <col min="3" max="3" width="53.5546875" style="652" customWidth="1"/>
    <col min="4" max="4" width="20" style="653" customWidth="1"/>
    <col min="5" max="5" width="20" style="652" customWidth="1"/>
    <col min="6" max="6" width="17.5546875" style="654" bestFit="1" customWidth="1"/>
    <col min="7" max="7" width="18" style="652" bestFit="1" customWidth="1"/>
    <col min="8" max="8" width="13.5546875" style="653" bestFit="1" customWidth="1"/>
    <col min="9" max="9" width="16.5546875" style="653" customWidth="1"/>
    <col min="10" max="10" width="19.44140625" style="652" bestFit="1" customWidth="1"/>
    <col min="11" max="11" width="18.44140625" style="652" customWidth="1"/>
    <col min="12" max="12" width="18.44140625" style="652" bestFit="1" customWidth="1"/>
    <col min="13" max="13" width="15.5546875" style="652" customWidth="1"/>
    <col min="14" max="14" width="15.44140625" style="652" customWidth="1"/>
    <col min="15" max="15" width="14.5546875" style="652" bestFit="1" customWidth="1"/>
    <col min="16" max="16" width="13.44140625" style="652" bestFit="1" customWidth="1"/>
    <col min="17" max="18" width="9.44140625" style="652"/>
    <col min="19" max="19" width="19.44140625" style="652" customWidth="1"/>
    <col min="20" max="20" width="14" style="652" customWidth="1"/>
    <col min="21" max="21" width="17.5546875" style="652" customWidth="1"/>
    <col min="22" max="22" width="14" style="652" customWidth="1"/>
    <col min="23" max="23" width="14.44140625" style="652" bestFit="1" customWidth="1"/>
    <col min="24" max="24" width="17.5546875" style="652" customWidth="1"/>
    <col min="25" max="25" width="15.5546875" style="652" customWidth="1"/>
    <col min="26" max="16384" width="9.44140625" style="652"/>
  </cols>
  <sheetData>
    <row r="1" spans="1:25" ht="17.850000000000001" customHeight="1" thickBot="1"/>
    <row r="2" spans="1:25" ht="33.75" customHeight="1">
      <c r="A2" s="1275"/>
      <c r="B2" s="1379" t="s">
        <v>262</v>
      </c>
      <c r="C2" s="1918" t="s">
        <v>3627</v>
      </c>
      <c r="D2" s="1380" t="s">
        <v>263</v>
      </c>
      <c r="E2" s="1917" t="s">
        <v>2132</v>
      </c>
      <c r="F2" s="1275"/>
      <c r="G2" s="1276"/>
      <c r="H2" s="652"/>
      <c r="I2" s="652"/>
      <c r="J2" s="653"/>
    </row>
    <row r="3" spans="1:25" ht="18.600000000000001" customHeight="1">
      <c r="A3" s="1275"/>
      <c r="B3" s="1381"/>
      <c r="C3" s="1919" t="str">
        <f>BS!A3</f>
        <v>CIN: U74210TN2002PLC048568</v>
      </c>
      <c r="D3" s="1277"/>
      <c r="E3" s="1382"/>
      <c r="F3" s="1275"/>
      <c r="G3" s="1276"/>
      <c r="H3" s="652"/>
      <c r="I3" s="652"/>
      <c r="J3" s="653"/>
    </row>
    <row r="4" spans="1:25" ht="18.600000000000001" customHeight="1">
      <c r="A4" s="1275"/>
      <c r="B4" s="1383" t="s">
        <v>264</v>
      </c>
      <c r="C4" s="1374" t="s">
        <v>228</v>
      </c>
      <c r="D4" s="1278" t="s">
        <v>3626</v>
      </c>
      <c r="E4" s="1384" t="s">
        <v>1660</v>
      </c>
      <c r="F4" s="1275"/>
      <c r="G4" s="1276"/>
      <c r="H4" s="652"/>
      <c r="I4" s="652"/>
      <c r="J4" s="653"/>
      <c r="W4" s="652" t="s">
        <v>265</v>
      </c>
      <c r="Y4" s="655" t="e">
        <f>ROUND(+#REF!,-2)</f>
        <v>#REF!</v>
      </c>
    </row>
    <row r="5" spans="1:25" ht="16.350000000000001" customHeight="1">
      <c r="A5" s="1275"/>
      <c r="B5" s="1383" t="s">
        <v>266</v>
      </c>
      <c r="C5" s="1374" t="s">
        <v>2443</v>
      </c>
      <c r="D5" s="1278" t="s">
        <v>267</v>
      </c>
      <c r="E5" s="1384" t="s">
        <v>229</v>
      </c>
      <c r="F5" s="1275"/>
      <c r="G5" s="1276"/>
      <c r="H5" s="652"/>
      <c r="I5" s="652"/>
      <c r="J5" s="653"/>
      <c r="T5" s="656" t="s">
        <v>268</v>
      </c>
      <c r="U5" s="656"/>
      <c r="V5" s="656" t="s">
        <v>269</v>
      </c>
      <c r="W5" s="656" t="s">
        <v>270</v>
      </c>
      <c r="X5" s="656"/>
      <c r="Y5" s="656" t="s">
        <v>271</v>
      </c>
    </row>
    <row r="6" spans="1:25" ht="20.100000000000001" customHeight="1">
      <c r="A6" s="1275"/>
      <c r="B6" s="1383" t="s">
        <v>2168</v>
      </c>
      <c r="C6" s="1375" t="s">
        <v>3619</v>
      </c>
      <c r="D6" s="1278" t="s">
        <v>272</v>
      </c>
      <c r="E6" s="1385" t="s">
        <v>4203</v>
      </c>
      <c r="F6" s="1275"/>
      <c r="G6" s="1276" t="s">
        <v>1158</v>
      </c>
      <c r="H6" s="652"/>
      <c r="I6" s="652"/>
      <c r="J6" s="653"/>
      <c r="T6" s="657"/>
      <c r="U6" s="657"/>
      <c r="V6" s="658"/>
      <c r="W6" s="658"/>
      <c r="X6" s="657"/>
      <c r="Y6" s="658"/>
    </row>
    <row r="7" spans="1:25" ht="14.25" customHeight="1">
      <c r="A7" s="1275"/>
      <c r="B7" s="1383"/>
      <c r="C7" s="1374" t="s">
        <v>3620</v>
      </c>
      <c r="D7" s="1278" t="s">
        <v>273</v>
      </c>
      <c r="E7" s="1385" t="s">
        <v>4202</v>
      </c>
      <c r="F7" s="1275"/>
      <c r="G7" s="1276"/>
      <c r="H7" s="652"/>
      <c r="I7" s="652"/>
      <c r="J7" s="653"/>
      <c r="T7" s="657" t="s">
        <v>274</v>
      </c>
      <c r="U7" s="657">
        <v>0</v>
      </c>
      <c r="V7" s="658">
        <v>0</v>
      </c>
      <c r="W7" s="658" t="e">
        <f>+#REF!+V7</f>
        <v>#REF!</v>
      </c>
      <c r="X7" s="659" t="e">
        <f>+#REF!-W7</f>
        <v>#REF!</v>
      </c>
      <c r="Y7" s="658" t="e">
        <f>ROUND(X7*1%*3,0)</f>
        <v>#REF!</v>
      </c>
    </row>
    <row r="8" spans="1:25" ht="15.6" hidden="1" customHeight="1" thickBot="1">
      <c r="A8" s="1275"/>
      <c r="B8" s="1383"/>
      <c r="C8" s="1374"/>
      <c r="D8" s="1278"/>
      <c r="E8" s="1386"/>
      <c r="F8" s="1275"/>
      <c r="G8" s="1276"/>
      <c r="H8" s="652"/>
      <c r="I8" s="652"/>
      <c r="J8" s="653"/>
      <c r="T8" s="657"/>
      <c r="U8" s="657"/>
      <c r="V8" s="658"/>
      <c r="W8" s="658"/>
      <c r="X8" s="657"/>
      <c r="Y8" s="658"/>
    </row>
    <row r="9" spans="1:25" ht="16.350000000000001" customHeight="1" thickBot="1">
      <c r="A9" s="1275"/>
      <c r="B9" s="2710" t="s">
        <v>4316</v>
      </c>
      <c r="C9" s="2711"/>
      <c r="D9" s="2711"/>
      <c r="E9" s="2712"/>
      <c r="F9" s="1275"/>
      <c r="G9" s="1276"/>
      <c r="H9" s="652"/>
      <c r="I9" s="652"/>
      <c r="J9" s="653"/>
      <c r="T9" s="657"/>
      <c r="U9" s="657"/>
      <c r="V9" s="658"/>
      <c r="W9" s="658"/>
      <c r="X9" s="657"/>
      <c r="Y9" s="658"/>
    </row>
    <row r="10" spans="1:25" ht="16.350000000000001" customHeight="1" thickTop="1">
      <c r="A10" s="1275"/>
      <c r="B10" s="1387" t="s">
        <v>224</v>
      </c>
      <c r="C10" s="1353"/>
      <c r="D10" s="1354"/>
      <c r="E10" s="1388"/>
      <c r="F10" s="1275"/>
      <c r="G10" s="1276"/>
      <c r="H10" s="652"/>
      <c r="I10" s="652"/>
      <c r="J10" s="653"/>
      <c r="T10" s="657"/>
      <c r="U10" s="657"/>
      <c r="V10" s="658"/>
      <c r="W10" s="658"/>
      <c r="X10" s="657"/>
      <c r="Y10" s="658"/>
    </row>
    <row r="11" spans="1:25" ht="16.350000000000001" customHeight="1">
      <c r="A11" s="1275"/>
      <c r="B11" s="1389" t="s">
        <v>225</v>
      </c>
      <c r="C11" s="1353"/>
      <c r="D11" s="1355"/>
      <c r="E11" s="1390">
        <f>+PL!C35</f>
        <v>46240223.033423185</v>
      </c>
      <c r="F11" s="1275"/>
      <c r="G11" s="1276"/>
      <c r="H11" s="652"/>
      <c r="I11" s="652"/>
      <c r="J11" s="653"/>
      <c r="T11" s="657" t="s">
        <v>275</v>
      </c>
      <c r="U11" s="657">
        <v>0</v>
      </c>
      <c r="V11" s="658">
        <v>0</v>
      </c>
      <c r="W11" s="658" t="e">
        <f>+#REF!+V11</f>
        <v>#REF!</v>
      </c>
      <c r="X11" s="659" t="e">
        <f>+#REF!-W11</f>
        <v>#REF!</v>
      </c>
      <c r="Y11" s="658" t="e">
        <f>ROUND(X11*1%*1,0)</f>
        <v>#REF!</v>
      </c>
    </row>
    <row r="12" spans="1:25" ht="16.350000000000001" customHeight="1">
      <c r="A12" s="1275"/>
      <c r="B12" s="1391" t="s">
        <v>2961</v>
      </c>
      <c r="C12" s="1353"/>
      <c r="D12" s="1355"/>
      <c r="E12" s="1390"/>
      <c r="F12" s="1275"/>
      <c r="G12" s="1276"/>
      <c r="H12" s="652"/>
      <c r="I12" s="652"/>
      <c r="J12" s="653"/>
      <c r="T12" s="657"/>
      <c r="U12" s="657"/>
      <c r="V12" s="658"/>
      <c r="W12" s="658"/>
      <c r="X12" s="659"/>
      <c r="Y12" s="658"/>
    </row>
    <row r="13" spans="1:25" ht="18.600000000000001" customHeight="1">
      <c r="A13" s="1275"/>
      <c r="B13" s="1389" t="s">
        <v>276</v>
      </c>
      <c r="C13" s="1353"/>
      <c r="D13" s="1356">
        <f>Notes!J235</f>
        <v>3323836</v>
      </c>
      <c r="E13" s="1390">
        <f>+Notes!J235</f>
        <v>3323836</v>
      </c>
      <c r="F13" s="1275"/>
      <c r="G13" s="1276"/>
      <c r="H13" s="652"/>
      <c r="I13" s="652"/>
      <c r="J13" s="653"/>
      <c r="T13" s="657"/>
      <c r="U13" s="657"/>
      <c r="V13" s="658"/>
      <c r="W13" s="658"/>
      <c r="X13" s="659"/>
      <c r="Y13" s="658"/>
    </row>
    <row r="14" spans="1:25" ht="15" customHeight="1">
      <c r="A14" s="1275"/>
      <c r="B14" s="1389"/>
      <c r="C14" s="1353"/>
      <c r="D14" s="1357"/>
      <c r="E14" s="1392">
        <f>E11-E13</f>
        <v>42916387.033423185</v>
      </c>
      <c r="F14" s="1275"/>
      <c r="G14" s="1276"/>
      <c r="H14" s="652"/>
      <c r="I14" s="652"/>
      <c r="J14" s="653"/>
      <c r="T14" s="657"/>
      <c r="U14" s="657"/>
      <c r="V14" s="658"/>
      <c r="W14" s="658"/>
      <c r="X14" s="659"/>
      <c r="Y14" s="658"/>
    </row>
    <row r="15" spans="1:25" ht="18.600000000000001" customHeight="1">
      <c r="A15" s="1275"/>
      <c r="B15" s="1391" t="s">
        <v>2962</v>
      </c>
      <c r="C15" s="1353"/>
      <c r="D15" s="1357"/>
      <c r="E15" s="1390"/>
      <c r="F15" s="1275"/>
      <c r="G15" s="1276"/>
      <c r="H15" s="652"/>
      <c r="I15" s="652"/>
      <c r="J15" s="653"/>
      <c r="T15" s="657"/>
      <c r="U15" s="657"/>
      <c r="V15" s="658"/>
      <c r="W15" s="658"/>
      <c r="X15" s="657"/>
      <c r="Y15" s="658"/>
    </row>
    <row r="16" spans="1:25" ht="16.350000000000001" customHeight="1">
      <c r="A16" s="1275"/>
      <c r="B16" s="1393" t="s">
        <v>277</v>
      </c>
      <c r="C16" s="1353"/>
      <c r="D16" s="1357">
        <f>Dep_Co!K26</f>
        <v>8219826.5053903172</v>
      </c>
      <c r="E16" s="1390"/>
      <c r="F16" s="1275"/>
      <c r="G16" s="1276"/>
      <c r="H16" s="652"/>
      <c r="I16" s="652"/>
      <c r="J16" s="653"/>
      <c r="T16" s="657"/>
      <c r="U16" s="657"/>
      <c r="V16" s="657"/>
      <c r="W16" s="657"/>
      <c r="X16" s="657"/>
      <c r="Y16" s="658"/>
    </row>
    <row r="17" spans="1:256" ht="21.6" customHeight="1">
      <c r="A17" s="1275"/>
      <c r="B17" s="1393" t="s">
        <v>4235</v>
      </c>
      <c r="C17" s="1353"/>
      <c r="D17" s="1357">
        <f>Disallowance!D14</f>
        <v>367821</v>
      </c>
      <c r="E17" s="1390"/>
      <c r="F17" s="1275"/>
      <c r="G17" s="1276">
        <v>14296407</v>
      </c>
      <c r="H17" s="652"/>
      <c r="I17" s="652"/>
      <c r="J17" s="653"/>
      <c r="T17" s="657"/>
      <c r="U17" s="657"/>
      <c r="V17" s="657"/>
      <c r="W17" s="657"/>
      <c r="X17" s="657"/>
      <c r="Y17" s="658"/>
    </row>
    <row r="18" spans="1:256" ht="21.6" customHeight="1">
      <c r="A18" s="1275"/>
      <c r="B18" s="1393" t="s">
        <v>4334</v>
      </c>
      <c r="C18" s="1353"/>
      <c r="D18" s="1357">
        <f>I18</f>
        <v>123600</v>
      </c>
      <c r="E18" s="1390"/>
      <c r="F18" s="1275"/>
      <c r="G18" s="1276">
        <f>412000</f>
        <v>412000</v>
      </c>
      <c r="H18" s="2458">
        <f>G18*30%</f>
        <v>123600</v>
      </c>
      <c r="I18" s="2458">
        <f>H18</f>
        <v>123600</v>
      </c>
      <c r="J18" s="653"/>
      <c r="T18" s="657"/>
      <c r="U18" s="657"/>
      <c r="V18" s="657"/>
      <c r="W18" s="657"/>
      <c r="X18" s="657"/>
      <c r="Y18" s="658"/>
    </row>
    <row r="19" spans="1:256" ht="16.350000000000001" hidden="1" customHeight="1">
      <c r="A19" s="1275"/>
      <c r="B19" s="1393" t="s">
        <v>3584</v>
      </c>
      <c r="C19" s="1353"/>
      <c r="D19" s="1511">
        <v>0</v>
      </c>
      <c r="E19" s="1390"/>
      <c r="F19" s="1378">
        <v>382438</v>
      </c>
      <c r="G19" s="1276"/>
      <c r="H19" s="652"/>
      <c r="I19" s="652"/>
      <c r="J19" s="653"/>
      <c r="T19" s="657"/>
      <c r="U19" s="657"/>
      <c r="V19" s="657"/>
      <c r="W19" s="657"/>
      <c r="X19" s="657"/>
      <c r="Y19" s="658"/>
    </row>
    <row r="20" spans="1:256" ht="16.350000000000001" customHeight="1">
      <c r="A20" s="1275"/>
      <c r="B20" s="1393" t="s">
        <v>4244</v>
      </c>
      <c r="C20" s="1353"/>
      <c r="D20" s="1511">
        <f>H23</f>
        <v>125012.94</v>
      </c>
      <c r="E20" s="1390"/>
      <c r="F20" s="1378" t="s">
        <v>4245</v>
      </c>
      <c r="G20" s="1276"/>
      <c r="H20" s="653">
        <v>125382.94</v>
      </c>
      <c r="I20" s="652"/>
      <c r="J20" s="653"/>
      <c r="T20" s="657"/>
      <c r="U20" s="657"/>
      <c r="V20" s="657"/>
      <c r="W20" s="657"/>
      <c r="X20" s="657"/>
      <c r="Y20" s="658"/>
    </row>
    <row r="21" spans="1:256" ht="23.1" hidden="1" customHeight="1">
      <c r="A21" s="1275"/>
      <c r="B21" s="1498" t="s">
        <v>3020</v>
      </c>
      <c r="C21" s="1353"/>
      <c r="D21" s="1511">
        <v>0</v>
      </c>
      <c r="E21" s="1390"/>
      <c r="F21" s="1378"/>
      <c r="G21" s="1276"/>
      <c r="H21" s="652"/>
      <c r="I21" s="652"/>
      <c r="J21" s="653"/>
      <c r="T21" s="657"/>
      <c r="U21" s="657"/>
      <c r="V21" s="657"/>
      <c r="W21" s="657"/>
      <c r="X21" s="657"/>
      <c r="Y21" s="658"/>
    </row>
    <row r="22" spans="1:256" ht="16.350000000000001" customHeight="1">
      <c r="A22" s="1275"/>
      <c r="B22" s="1393" t="s">
        <v>278</v>
      </c>
      <c r="C22" s="1353"/>
      <c r="D22" s="1512">
        <f>261950</f>
        <v>261950</v>
      </c>
      <c r="E22" s="1395">
        <f>SUM(D16:D22)</f>
        <v>9098210.4453903157</v>
      </c>
      <c r="F22" s="1275">
        <f>Notes!J281-100000</f>
        <v>161950</v>
      </c>
      <c r="G22" s="1276">
        <v>261950</v>
      </c>
      <c r="H22" s="652">
        <f>185*2</f>
        <v>370</v>
      </c>
      <c r="I22" s="652"/>
      <c r="J22" s="653"/>
      <c r="T22" s="657"/>
      <c r="U22" s="657"/>
      <c r="V22" s="657"/>
      <c r="W22" s="657"/>
      <c r="X22" s="657"/>
      <c r="Y22" s="658"/>
    </row>
    <row r="23" spans="1:256" ht="16.350000000000001" customHeight="1">
      <c r="A23" s="1275"/>
      <c r="B23" s="1393"/>
      <c r="C23" s="1353"/>
      <c r="D23" s="1512"/>
      <c r="E23" s="1390"/>
      <c r="F23" s="1275"/>
      <c r="G23" s="1276"/>
      <c r="H23" s="653">
        <f>H20-H22</f>
        <v>125012.94</v>
      </c>
      <c r="I23" s="652"/>
      <c r="J23" s="653"/>
      <c r="T23" s="657"/>
      <c r="U23" s="657"/>
      <c r="V23" s="657"/>
      <c r="W23" s="657"/>
      <c r="X23" s="657"/>
      <c r="Y23" s="658"/>
    </row>
    <row r="24" spans="1:256" ht="16.350000000000001" customHeight="1">
      <c r="A24" s="1275"/>
      <c r="B24" s="1393"/>
      <c r="C24" s="1353"/>
      <c r="D24" s="1512"/>
      <c r="E24" s="1390"/>
      <c r="F24" s="1275"/>
      <c r="G24" s="1276"/>
      <c r="H24" s="652"/>
      <c r="I24" s="652"/>
      <c r="J24" s="653"/>
      <c r="T24" s="657"/>
      <c r="U24" s="657"/>
      <c r="V24" s="657"/>
      <c r="W24" s="657"/>
      <c r="X24" s="657"/>
      <c r="Y24" s="658"/>
    </row>
    <row r="25" spans="1:256" ht="16.350000000000001" customHeight="1">
      <c r="A25" s="1275"/>
      <c r="B25" s="1393"/>
      <c r="C25" s="1353"/>
      <c r="D25" s="1512"/>
      <c r="E25" s="1390"/>
      <c r="F25" s="1275"/>
      <c r="G25" s="1276"/>
      <c r="H25" s="652"/>
      <c r="I25" s="652"/>
      <c r="J25" s="653"/>
      <c r="T25" s="657"/>
      <c r="U25" s="657"/>
      <c r="V25" s="657"/>
      <c r="W25" s="657"/>
      <c r="X25" s="657"/>
      <c r="Y25" s="658"/>
    </row>
    <row r="26" spans="1:256" ht="14.25" customHeight="1" thickBot="1">
      <c r="A26" s="1275"/>
      <c r="B26" s="1389"/>
      <c r="C26" s="1353"/>
      <c r="D26" s="1355"/>
      <c r="E26" s="1390">
        <f>E14+E22</f>
        <v>52014597.478813499</v>
      </c>
      <c r="F26" s="1275"/>
      <c r="G26" s="1276">
        <v>100000</v>
      </c>
      <c r="H26" s="652"/>
      <c r="I26" s="652"/>
      <c r="J26" s="653"/>
      <c r="T26" s="660"/>
      <c r="U26" s="660"/>
      <c r="V26" s="660"/>
      <c r="W26" s="661" t="s">
        <v>0</v>
      </c>
      <c r="X26" s="661"/>
      <c r="Y26" s="662" t="e">
        <f>SUM(Y6:Y16)</f>
        <v>#REF!</v>
      </c>
    </row>
    <row r="27" spans="1:256" ht="17.100000000000001" customHeight="1" thickTop="1">
      <c r="A27" s="1275"/>
      <c r="B27" s="1389" t="s">
        <v>279</v>
      </c>
      <c r="C27" s="1353"/>
      <c r="D27" s="1355"/>
      <c r="E27" s="1390"/>
      <c r="F27" s="1275"/>
      <c r="G27" s="1276"/>
      <c r="H27" s="652"/>
      <c r="I27" s="652"/>
      <c r="J27" s="653"/>
    </row>
    <row r="28" spans="1:256" ht="16.350000000000001" customHeight="1">
      <c r="A28" s="1275"/>
      <c r="B28" s="1389" t="s">
        <v>2958</v>
      </c>
      <c r="C28" s="1353"/>
      <c r="D28" s="1356">
        <f>Dep_IT!I23</f>
        <v>11820033</v>
      </c>
      <c r="E28" s="1390">
        <f>D28</f>
        <v>11820033</v>
      </c>
      <c r="F28" s="1275"/>
      <c r="G28" s="1276"/>
      <c r="H28" s="652"/>
      <c r="I28" s="652"/>
      <c r="J28" s="653"/>
    </row>
    <row r="29" spans="1:256" ht="16.350000000000001" customHeight="1">
      <c r="A29" s="1275"/>
      <c r="B29" s="1389" t="s">
        <v>278</v>
      </c>
      <c r="C29" s="1353"/>
      <c r="D29" s="1356">
        <f>G26*50%</f>
        <v>50000</v>
      </c>
      <c r="E29" s="1390">
        <f>D29</f>
        <v>50000</v>
      </c>
      <c r="F29" s="1275"/>
      <c r="G29" s="1276"/>
      <c r="H29" s="652"/>
      <c r="I29" s="652"/>
      <c r="J29" s="653"/>
    </row>
    <row r="30" spans="1:256" ht="16.350000000000001" customHeight="1" thickBot="1">
      <c r="A30" s="1275"/>
      <c r="B30" s="1389"/>
      <c r="C30" s="1353"/>
      <c r="D30" s="1358"/>
      <c r="E30" s="1396">
        <f>E26+E29-E28</f>
        <v>40244564.478813499</v>
      </c>
      <c r="F30" s="1275"/>
      <c r="G30" s="1276"/>
      <c r="H30" s="652"/>
      <c r="I30" s="652"/>
      <c r="J30" s="653"/>
      <c r="N30" s="663"/>
      <c r="Q30" s="663"/>
      <c r="R30" s="663"/>
      <c r="V30" s="663"/>
      <c r="Y30" s="663"/>
      <c r="AB30" s="663"/>
      <c r="AC30" s="663"/>
      <c r="AF30" s="663"/>
      <c r="AG30" s="663"/>
      <c r="AJ30" s="663"/>
      <c r="AK30" s="663"/>
      <c r="AN30" s="663"/>
      <c r="AO30" s="663"/>
      <c r="AR30" s="663"/>
      <c r="AS30" s="663"/>
      <c r="AV30" s="663"/>
      <c r="AW30" s="663"/>
      <c r="AZ30" s="663"/>
      <c r="BA30" s="663"/>
      <c r="BD30" s="663"/>
      <c r="BE30" s="663"/>
      <c r="BH30" s="663"/>
      <c r="BI30" s="663"/>
      <c r="BL30" s="663"/>
      <c r="BM30" s="663"/>
      <c r="BP30" s="663"/>
      <c r="BQ30" s="663"/>
      <c r="BT30" s="663"/>
      <c r="BU30" s="663"/>
      <c r="BX30" s="663"/>
      <c r="BY30" s="663"/>
      <c r="CB30" s="663"/>
      <c r="CC30" s="663"/>
      <c r="CF30" s="663"/>
      <c r="CG30" s="663"/>
      <c r="CJ30" s="663"/>
      <c r="CK30" s="663"/>
      <c r="CN30" s="663"/>
      <c r="CO30" s="663"/>
      <c r="CR30" s="663"/>
      <c r="CS30" s="663"/>
      <c r="CV30" s="663"/>
      <c r="CW30" s="663"/>
      <c r="CZ30" s="663"/>
      <c r="DA30" s="663"/>
      <c r="DD30" s="663"/>
      <c r="DE30" s="663"/>
      <c r="DH30" s="663"/>
      <c r="DI30" s="663"/>
      <c r="DL30" s="663"/>
      <c r="DM30" s="663"/>
      <c r="DP30" s="663"/>
      <c r="DQ30" s="663"/>
      <c r="DT30" s="663"/>
      <c r="DU30" s="663"/>
      <c r="DX30" s="663"/>
      <c r="DY30" s="663"/>
      <c r="EB30" s="663"/>
      <c r="EC30" s="663"/>
      <c r="EF30" s="663"/>
      <c r="EG30" s="663"/>
      <c r="EJ30" s="663"/>
      <c r="EK30" s="663"/>
      <c r="EN30" s="663"/>
      <c r="EO30" s="663"/>
      <c r="ER30" s="663"/>
      <c r="ES30" s="663"/>
      <c r="EV30" s="663"/>
      <c r="EW30" s="663"/>
      <c r="EZ30" s="663"/>
      <c r="FA30" s="663"/>
      <c r="FD30" s="663"/>
      <c r="FE30" s="663"/>
      <c r="FH30" s="663"/>
      <c r="FI30" s="663"/>
      <c r="FL30" s="663"/>
      <c r="FM30" s="663"/>
      <c r="FP30" s="663"/>
      <c r="FQ30" s="663"/>
      <c r="FT30" s="663"/>
      <c r="FU30" s="663"/>
      <c r="FX30" s="663"/>
      <c r="FY30" s="663"/>
      <c r="GB30" s="663"/>
      <c r="GC30" s="663"/>
      <c r="GF30" s="663"/>
      <c r="GG30" s="663"/>
      <c r="GJ30" s="663"/>
      <c r="GK30" s="663"/>
      <c r="GN30" s="663"/>
      <c r="GO30" s="663"/>
      <c r="GR30" s="663"/>
      <c r="GS30" s="663"/>
      <c r="GV30" s="663"/>
      <c r="GW30" s="663"/>
      <c r="GZ30" s="663"/>
      <c r="HA30" s="663"/>
      <c r="HD30" s="663"/>
      <c r="HE30" s="663"/>
      <c r="HH30" s="663"/>
      <c r="HI30" s="663"/>
      <c r="HL30" s="663"/>
      <c r="HM30" s="663"/>
      <c r="HP30" s="663"/>
      <c r="HQ30" s="663"/>
      <c r="HT30" s="663"/>
      <c r="HU30" s="663"/>
      <c r="HX30" s="663"/>
      <c r="HY30" s="663"/>
      <c r="IB30" s="663"/>
      <c r="IC30" s="663"/>
      <c r="IF30" s="663"/>
      <c r="IG30" s="663"/>
      <c r="IJ30" s="663"/>
      <c r="IK30" s="663"/>
      <c r="IN30" s="663"/>
      <c r="IO30" s="663"/>
      <c r="IR30" s="663"/>
      <c r="IS30" s="663"/>
      <c r="IV30" s="663"/>
    </row>
    <row r="31" spans="1:256" ht="16.350000000000001" customHeight="1" thickTop="1">
      <c r="A31" s="1275"/>
      <c r="B31" s="1391" t="s">
        <v>280</v>
      </c>
      <c r="C31" s="1353"/>
      <c r="D31" s="1358"/>
      <c r="E31" s="1390"/>
      <c r="F31" s="1275"/>
      <c r="G31" s="1276"/>
      <c r="H31" s="652"/>
      <c r="I31" s="652"/>
      <c r="J31" s="653"/>
      <c r="N31" s="663"/>
      <c r="Q31" s="663"/>
      <c r="R31" s="663"/>
      <c r="V31" s="663"/>
      <c r="Y31" s="663"/>
      <c r="AB31" s="663"/>
      <c r="AC31" s="663"/>
      <c r="AF31" s="663"/>
      <c r="AG31" s="663"/>
      <c r="AJ31" s="663"/>
      <c r="AK31" s="663"/>
      <c r="AN31" s="663"/>
      <c r="AO31" s="663"/>
      <c r="AR31" s="663"/>
      <c r="AS31" s="663"/>
      <c r="AV31" s="663"/>
      <c r="AW31" s="663"/>
      <c r="AZ31" s="663"/>
      <c r="BA31" s="663"/>
      <c r="BD31" s="663"/>
      <c r="BE31" s="663"/>
      <c r="BH31" s="663"/>
      <c r="BI31" s="663"/>
      <c r="BL31" s="663"/>
      <c r="BM31" s="663"/>
      <c r="BP31" s="663"/>
      <c r="BQ31" s="663"/>
      <c r="BT31" s="663"/>
      <c r="BU31" s="663"/>
      <c r="BX31" s="663"/>
      <c r="BY31" s="663"/>
      <c r="CB31" s="663"/>
      <c r="CC31" s="663"/>
      <c r="CF31" s="663"/>
      <c r="CG31" s="663"/>
      <c r="CJ31" s="663"/>
      <c r="CK31" s="663"/>
      <c r="CN31" s="663"/>
      <c r="CO31" s="663"/>
      <c r="CR31" s="663"/>
      <c r="CS31" s="663"/>
      <c r="CV31" s="663"/>
      <c r="CW31" s="663"/>
      <c r="CZ31" s="663"/>
      <c r="DA31" s="663"/>
      <c r="DD31" s="663"/>
      <c r="DE31" s="663"/>
      <c r="DH31" s="663"/>
      <c r="DI31" s="663"/>
      <c r="DL31" s="663"/>
      <c r="DM31" s="663"/>
      <c r="DP31" s="663"/>
      <c r="DQ31" s="663"/>
      <c r="DT31" s="663"/>
      <c r="DU31" s="663"/>
      <c r="DX31" s="663"/>
      <c r="DY31" s="663"/>
      <c r="EB31" s="663"/>
      <c r="EC31" s="663"/>
      <c r="EF31" s="663"/>
      <c r="EG31" s="663"/>
      <c r="EJ31" s="663"/>
      <c r="EK31" s="663"/>
      <c r="EN31" s="663"/>
      <c r="EO31" s="663"/>
      <c r="ER31" s="663"/>
      <c r="ES31" s="663"/>
      <c r="EV31" s="663"/>
      <c r="EW31" s="663"/>
      <c r="EZ31" s="663"/>
      <c r="FA31" s="663"/>
      <c r="FD31" s="663"/>
      <c r="FE31" s="663"/>
      <c r="FH31" s="663"/>
      <c r="FI31" s="663"/>
      <c r="FL31" s="663"/>
      <c r="FM31" s="663"/>
      <c r="FP31" s="663"/>
      <c r="FQ31" s="663"/>
      <c r="FT31" s="663"/>
      <c r="FU31" s="663"/>
      <c r="FX31" s="663"/>
      <c r="FY31" s="663"/>
      <c r="GB31" s="663"/>
      <c r="GC31" s="663"/>
      <c r="GF31" s="663"/>
      <c r="GG31" s="663"/>
      <c r="GJ31" s="663"/>
      <c r="GK31" s="663"/>
      <c r="GN31" s="663"/>
      <c r="GO31" s="663"/>
      <c r="GR31" s="663"/>
      <c r="GS31" s="663"/>
      <c r="GV31" s="663"/>
      <c r="GW31" s="663"/>
      <c r="GZ31" s="663"/>
      <c r="HA31" s="663"/>
      <c r="HD31" s="663"/>
      <c r="HE31" s="663"/>
      <c r="HH31" s="663"/>
      <c r="HI31" s="663"/>
      <c r="HL31" s="663"/>
      <c r="HM31" s="663"/>
      <c r="HP31" s="663"/>
      <c r="HQ31" s="663"/>
      <c r="HT31" s="663"/>
      <c r="HU31" s="663"/>
      <c r="HX31" s="663"/>
      <c r="HY31" s="663"/>
      <c r="IB31" s="663"/>
      <c r="IC31" s="663"/>
      <c r="IF31" s="663"/>
      <c r="IG31" s="663"/>
      <c r="IJ31" s="663"/>
      <c r="IK31" s="663"/>
      <c r="IN31" s="663"/>
      <c r="IO31" s="663"/>
      <c r="IR31" s="663"/>
      <c r="IS31" s="663"/>
      <c r="IV31" s="663"/>
    </row>
    <row r="32" spans="1:256" ht="16.350000000000001" customHeight="1" thickBot="1">
      <c r="A32" s="1275"/>
      <c r="B32" s="1389" t="s">
        <v>276</v>
      </c>
      <c r="C32" s="1353"/>
      <c r="D32" s="1357">
        <f>D13</f>
        <v>3323836</v>
      </c>
      <c r="E32" s="1397">
        <f>D32</f>
        <v>3323836</v>
      </c>
      <c r="F32" s="1275"/>
      <c r="G32" s="1276"/>
      <c r="H32" s="652"/>
      <c r="I32" s="652"/>
      <c r="J32" s="653"/>
      <c r="N32" s="663"/>
      <c r="Q32" s="663"/>
      <c r="R32" s="663"/>
      <c r="V32" s="663"/>
      <c r="Y32" s="663"/>
      <c r="AB32" s="663"/>
      <c r="AC32" s="663"/>
      <c r="AF32" s="663"/>
      <c r="AG32" s="663"/>
      <c r="AJ32" s="663"/>
      <c r="AK32" s="663"/>
      <c r="AN32" s="663"/>
      <c r="AO32" s="663"/>
      <c r="AR32" s="663"/>
      <c r="AS32" s="663"/>
      <c r="AV32" s="663"/>
      <c r="AW32" s="663"/>
      <c r="AZ32" s="663"/>
      <c r="BA32" s="663"/>
      <c r="BD32" s="663"/>
      <c r="BE32" s="663"/>
      <c r="BH32" s="663"/>
      <c r="BI32" s="663"/>
      <c r="BL32" s="663"/>
      <c r="BM32" s="663"/>
      <c r="BP32" s="663"/>
      <c r="BQ32" s="663"/>
      <c r="BT32" s="663"/>
      <c r="BU32" s="663"/>
      <c r="BX32" s="663"/>
      <c r="BY32" s="663"/>
      <c r="CB32" s="663"/>
      <c r="CC32" s="663"/>
      <c r="CF32" s="663"/>
      <c r="CG32" s="663"/>
      <c r="CJ32" s="663"/>
      <c r="CK32" s="663"/>
      <c r="CN32" s="663"/>
      <c r="CO32" s="663"/>
      <c r="CR32" s="663"/>
      <c r="CS32" s="663"/>
      <c r="CV32" s="663"/>
      <c r="CW32" s="663"/>
      <c r="CZ32" s="663"/>
      <c r="DA32" s="663"/>
      <c r="DD32" s="663"/>
      <c r="DE32" s="663"/>
      <c r="DH32" s="663"/>
      <c r="DI32" s="663"/>
      <c r="DL32" s="663"/>
      <c r="DM32" s="663"/>
      <c r="DP32" s="663"/>
      <c r="DQ32" s="663"/>
      <c r="DT32" s="663"/>
      <c r="DU32" s="663"/>
      <c r="DX32" s="663"/>
      <c r="DY32" s="663"/>
      <c r="EB32" s="663"/>
      <c r="EC32" s="663"/>
      <c r="EF32" s="663"/>
      <c r="EG32" s="663"/>
      <c r="EJ32" s="663"/>
      <c r="EK32" s="663"/>
      <c r="EN32" s="663"/>
      <c r="EO32" s="663"/>
      <c r="ER32" s="663"/>
      <c r="ES32" s="663"/>
      <c r="EV32" s="663"/>
      <c r="EW32" s="663"/>
      <c r="EZ32" s="663"/>
      <c r="FA32" s="663"/>
      <c r="FD32" s="663"/>
      <c r="FE32" s="663"/>
      <c r="FH32" s="663"/>
      <c r="FI32" s="663"/>
      <c r="FL32" s="663"/>
      <c r="FM32" s="663"/>
      <c r="FP32" s="663"/>
      <c r="FQ32" s="663"/>
      <c r="FT32" s="663"/>
      <c r="FU32" s="663"/>
      <c r="FX32" s="663"/>
      <c r="FY32" s="663"/>
      <c r="GB32" s="663"/>
      <c r="GC32" s="663"/>
      <c r="GF32" s="663"/>
      <c r="GG32" s="663"/>
      <c r="GJ32" s="663"/>
      <c r="GK32" s="663"/>
      <c r="GN32" s="663"/>
      <c r="GO32" s="663"/>
      <c r="GR32" s="663"/>
      <c r="GS32" s="663"/>
      <c r="GV32" s="663"/>
      <c r="GW32" s="663"/>
      <c r="GZ32" s="663"/>
      <c r="HA32" s="663"/>
      <c r="HD32" s="663"/>
      <c r="HE32" s="663"/>
      <c r="HH32" s="663"/>
      <c r="HI32" s="663"/>
      <c r="HL32" s="663"/>
      <c r="HM32" s="663"/>
      <c r="HP32" s="663"/>
      <c r="HQ32" s="663"/>
      <c r="HT32" s="663"/>
      <c r="HU32" s="663"/>
      <c r="HX32" s="663"/>
      <c r="HY32" s="663"/>
      <c r="IB32" s="663"/>
      <c r="IC32" s="663"/>
      <c r="IF32" s="663"/>
      <c r="IG32" s="663"/>
      <c r="IJ32" s="663"/>
      <c r="IK32" s="663"/>
      <c r="IN32" s="663"/>
      <c r="IO32" s="663"/>
      <c r="IR32" s="663"/>
      <c r="IS32" s="663"/>
      <c r="IV32" s="663"/>
    </row>
    <row r="33" spans="1:256" ht="16.350000000000001" hidden="1" customHeight="1" thickTop="1" thickBot="1">
      <c r="A33" s="1275"/>
      <c r="B33" s="1389"/>
      <c r="C33" s="1359"/>
      <c r="D33" s="1360"/>
      <c r="E33" s="1397"/>
      <c r="F33" s="1275"/>
      <c r="G33" s="1276"/>
      <c r="H33" s="652"/>
      <c r="I33" s="652"/>
      <c r="J33" s="653"/>
      <c r="N33" s="663"/>
      <c r="Q33" s="663"/>
      <c r="R33" s="663"/>
      <c r="V33" s="663"/>
      <c r="Y33" s="663"/>
      <c r="AB33" s="663"/>
      <c r="AC33" s="663"/>
      <c r="AF33" s="663"/>
      <c r="AG33" s="663"/>
      <c r="AJ33" s="663"/>
      <c r="AK33" s="663"/>
      <c r="AN33" s="663"/>
      <c r="AO33" s="663"/>
      <c r="AR33" s="663"/>
      <c r="AS33" s="663"/>
      <c r="AV33" s="663"/>
      <c r="AW33" s="663"/>
      <c r="AZ33" s="663"/>
      <c r="BA33" s="663"/>
      <c r="BD33" s="663"/>
      <c r="BE33" s="663"/>
      <c r="BH33" s="663"/>
      <c r="BI33" s="663"/>
      <c r="BL33" s="663"/>
      <c r="BM33" s="663"/>
      <c r="BP33" s="663"/>
      <c r="BQ33" s="663"/>
      <c r="BT33" s="663"/>
      <c r="BU33" s="663"/>
      <c r="BX33" s="663"/>
      <c r="BY33" s="663"/>
      <c r="CB33" s="663"/>
      <c r="CC33" s="663"/>
      <c r="CF33" s="663"/>
      <c r="CG33" s="663"/>
      <c r="CJ33" s="663"/>
      <c r="CK33" s="663"/>
      <c r="CN33" s="663"/>
      <c r="CO33" s="663"/>
      <c r="CR33" s="663"/>
      <c r="CS33" s="663"/>
      <c r="CV33" s="663"/>
      <c r="CW33" s="663"/>
      <c r="CZ33" s="663"/>
      <c r="DA33" s="663"/>
      <c r="DD33" s="663"/>
      <c r="DE33" s="663"/>
      <c r="DH33" s="663"/>
      <c r="DI33" s="663"/>
      <c r="DL33" s="663"/>
      <c r="DM33" s="663"/>
      <c r="DP33" s="663"/>
      <c r="DQ33" s="663"/>
      <c r="DT33" s="663"/>
      <c r="DU33" s="663"/>
      <c r="DX33" s="663"/>
      <c r="DY33" s="663"/>
      <c r="EB33" s="663"/>
      <c r="EC33" s="663"/>
      <c r="EF33" s="663"/>
      <c r="EG33" s="663"/>
      <c r="EJ33" s="663"/>
      <c r="EK33" s="663"/>
      <c r="EN33" s="663"/>
      <c r="EO33" s="663"/>
      <c r="ER33" s="663"/>
      <c r="ES33" s="663"/>
      <c r="EV33" s="663"/>
      <c r="EW33" s="663"/>
      <c r="EZ33" s="663"/>
      <c r="FA33" s="663"/>
      <c r="FD33" s="663"/>
      <c r="FE33" s="663"/>
      <c r="FH33" s="663"/>
      <c r="FI33" s="663"/>
      <c r="FL33" s="663"/>
      <c r="FM33" s="663"/>
      <c r="FP33" s="663"/>
      <c r="FQ33" s="663"/>
      <c r="FT33" s="663"/>
      <c r="FU33" s="663"/>
      <c r="FX33" s="663"/>
      <c r="FY33" s="663"/>
      <c r="GB33" s="663"/>
      <c r="GC33" s="663"/>
      <c r="GF33" s="663"/>
      <c r="GG33" s="663"/>
      <c r="GJ33" s="663"/>
      <c r="GK33" s="663"/>
      <c r="GN33" s="663"/>
      <c r="GO33" s="663"/>
      <c r="GR33" s="663"/>
      <c r="GS33" s="663"/>
      <c r="GV33" s="663"/>
      <c r="GW33" s="663"/>
      <c r="GZ33" s="663"/>
      <c r="HA33" s="663"/>
      <c r="HD33" s="663"/>
      <c r="HE33" s="663"/>
      <c r="HH33" s="663"/>
      <c r="HI33" s="663"/>
      <c r="HL33" s="663"/>
      <c r="HM33" s="663"/>
      <c r="HP33" s="663"/>
      <c r="HQ33" s="663"/>
      <c r="HT33" s="663"/>
      <c r="HU33" s="663"/>
      <c r="HX33" s="663"/>
      <c r="HY33" s="663"/>
      <c r="IB33" s="663"/>
      <c r="IC33" s="663"/>
      <c r="IF33" s="663"/>
      <c r="IG33" s="663"/>
      <c r="IJ33" s="663"/>
      <c r="IK33" s="663"/>
      <c r="IN33" s="663"/>
      <c r="IO33" s="663"/>
      <c r="IR33" s="663"/>
      <c r="IS33" s="663"/>
      <c r="IV33" s="663"/>
    </row>
    <row r="34" spans="1:256" ht="16.350000000000001" customHeight="1" thickTop="1" thickBot="1">
      <c r="A34" s="1275"/>
      <c r="B34" s="1389"/>
      <c r="C34" s="1359"/>
      <c r="D34" s="1884"/>
      <c r="E34" s="1883"/>
      <c r="F34" s="1275"/>
      <c r="G34" s="1276"/>
      <c r="H34" s="652"/>
      <c r="I34" s="652"/>
      <c r="J34" s="653"/>
      <c r="N34" s="663"/>
      <c r="Q34" s="663"/>
      <c r="R34" s="663"/>
      <c r="V34" s="663"/>
      <c r="Y34" s="663"/>
      <c r="AB34" s="663"/>
      <c r="AC34" s="663"/>
      <c r="AF34" s="663"/>
      <c r="AG34" s="663"/>
      <c r="AJ34" s="663"/>
      <c r="AK34" s="663"/>
      <c r="AN34" s="663"/>
      <c r="AO34" s="663"/>
      <c r="AR34" s="663"/>
      <c r="AS34" s="663"/>
      <c r="AV34" s="663"/>
      <c r="AW34" s="663"/>
      <c r="AZ34" s="663"/>
      <c r="BA34" s="663"/>
      <c r="BD34" s="663"/>
      <c r="BE34" s="663"/>
      <c r="BH34" s="663"/>
      <c r="BI34" s="663"/>
      <c r="BL34" s="663"/>
      <c r="BM34" s="663"/>
      <c r="BP34" s="663"/>
      <c r="BQ34" s="663"/>
      <c r="BT34" s="663"/>
      <c r="BU34" s="663"/>
      <c r="BX34" s="663"/>
      <c r="BY34" s="663"/>
      <c r="CB34" s="663"/>
      <c r="CC34" s="663"/>
      <c r="CF34" s="663"/>
      <c r="CG34" s="663"/>
      <c r="CJ34" s="663"/>
      <c r="CK34" s="663"/>
      <c r="CN34" s="663"/>
      <c r="CO34" s="663"/>
      <c r="CR34" s="663"/>
      <c r="CS34" s="663"/>
      <c r="CV34" s="663"/>
      <c r="CW34" s="663"/>
      <c r="CZ34" s="663"/>
      <c r="DA34" s="663"/>
      <c r="DD34" s="663"/>
      <c r="DE34" s="663"/>
      <c r="DH34" s="663"/>
      <c r="DI34" s="663"/>
      <c r="DL34" s="663"/>
      <c r="DM34" s="663"/>
      <c r="DP34" s="663"/>
      <c r="DQ34" s="663"/>
      <c r="DT34" s="663"/>
      <c r="DU34" s="663"/>
      <c r="DX34" s="663"/>
      <c r="DY34" s="663"/>
      <c r="EB34" s="663"/>
      <c r="EC34" s="663"/>
      <c r="EF34" s="663"/>
      <c r="EG34" s="663"/>
      <c r="EJ34" s="663"/>
      <c r="EK34" s="663"/>
      <c r="EN34" s="663"/>
      <c r="EO34" s="663"/>
      <c r="ER34" s="663"/>
      <c r="ES34" s="663"/>
      <c r="EV34" s="663"/>
      <c r="EW34" s="663"/>
      <c r="EZ34" s="663"/>
      <c r="FA34" s="663"/>
      <c r="FD34" s="663"/>
      <c r="FE34" s="663"/>
      <c r="FH34" s="663"/>
      <c r="FI34" s="663"/>
      <c r="FL34" s="663"/>
      <c r="FM34" s="663"/>
      <c r="FP34" s="663"/>
      <c r="FQ34" s="663"/>
      <c r="FT34" s="663"/>
      <c r="FU34" s="663"/>
      <c r="FX34" s="663"/>
      <c r="FY34" s="663"/>
      <c r="GB34" s="663"/>
      <c r="GC34" s="663"/>
      <c r="GF34" s="663"/>
      <c r="GG34" s="663"/>
      <c r="GJ34" s="663"/>
      <c r="GK34" s="663"/>
      <c r="GN34" s="663"/>
      <c r="GO34" s="663"/>
      <c r="GR34" s="663"/>
      <c r="GS34" s="663"/>
      <c r="GV34" s="663"/>
      <c r="GW34" s="663"/>
      <c r="GZ34" s="663"/>
      <c r="HA34" s="663"/>
      <c r="HD34" s="663"/>
      <c r="HE34" s="663"/>
      <c r="HH34" s="663"/>
      <c r="HI34" s="663"/>
      <c r="HL34" s="663"/>
      <c r="HM34" s="663"/>
      <c r="HP34" s="663"/>
      <c r="HQ34" s="663"/>
      <c r="HT34" s="663"/>
      <c r="HU34" s="663"/>
      <c r="HX34" s="663"/>
      <c r="HY34" s="663"/>
      <c r="IB34" s="663"/>
      <c r="IC34" s="663"/>
      <c r="IF34" s="663"/>
      <c r="IG34" s="663"/>
      <c r="IJ34" s="663"/>
      <c r="IK34" s="663"/>
      <c r="IN34" s="663"/>
      <c r="IO34" s="663"/>
      <c r="IR34" s="663"/>
      <c r="IS34" s="663"/>
      <c r="IV34" s="663"/>
    </row>
    <row r="35" spans="1:256" ht="16.350000000000001" customHeight="1" thickTop="1" thickBot="1">
      <c r="A35" s="1275"/>
      <c r="B35" s="2713" t="s">
        <v>281</v>
      </c>
      <c r="C35" s="2714"/>
      <c r="D35" s="2714"/>
      <c r="E35" s="2715"/>
      <c r="F35" s="1275"/>
      <c r="G35" s="1276"/>
      <c r="H35" s="652"/>
      <c r="I35" s="652"/>
      <c r="J35" s="653"/>
    </row>
    <row r="36" spans="1:256" ht="16.350000000000001" customHeight="1" thickTop="1">
      <c r="A36" s="1275"/>
      <c r="B36" s="1394" t="s">
        <v>282</v>
      </c>
      <c r="C36" s="1361"/>
      <c r="D36" s="1362"/>
      <c r="E36" s="1398">
        <f>E30</f>
        <v>40244564.478813499</v>
      </c>
      <c r="F36" s="1275"/>
      <c r="G36" s="1276"/>
      <c r="H36" s="652"/>
      <c r="I36" s="652"/>
      <c r="J36" s="653"/>
    </row>
    <row r="37" spans="1:256" ht="16.350000000000001" customHeight="1" thickBot="1">
      <c r="A37" s="1275"/>
      <c r="B37" s="1394" t="s">
        <v>283</v>
      </c>
      <c r="C37" s="1361"/>
      <c r="D37" s="1363"/>
      <c r="E37" s="1399">
        <f>E32</f>
        <v>3323836</v>
      </c>
      <c r="F37" s="1280"/>
      <c r="G37" s="1276"/>
      <c r="H37" s="652"/>
      <c r="I37" s="652"/>
      <c r="J37" s="653"/>
    </row>
    <row r="38" spans="1:256" ht="16.350000000000001" customHeight="1">
      <c r="A38" s="1275"/>
      <c r="B38" s="1400"/>
      <c r="C38" s="1361"/>
      <c r="D38" s="1364"/>
      <c r="E38" s="1401">
        <f>SUM(E36:E37)</f>
        <v>43568400.478813499</v>
      </c>
      <c r="F38" s="1275"/>
      <c r="G38" s="1276"/>
      <c r="H38" s="652"/>
      <c r="I38" s="652"/>
      <c r="J38" s="653"/>
      <c r="T38" s="664"/>
    </row>
    <row r="39" spans="1:256" ht="11.85" customHeight="1">
      <c r="A39" s="1275"/>
      <c r="B39" s="1389"/>
      <c r="C39" s="1353"/>
      <c r="D39" s="1363"/>
      <c r="E39" s="1399" t="s">
        <v>2444</v>
      </c>
      <c r="F39" s="1275"/>
      <c r="G39" s="1276"/>
      <c r="H39" s="652"/>
      <c r="I39" s="652"/>
      <c r="J39" s="653"/>
    </row>
    <row r="40" spans="1:256" ht="14.1" customHeight="1" thickBot="1">
      <c r="A40" s="1275"/>
      <c r="B40" s="1402"/>
      <c r="C40" s="1365" t="s">
        <v>284</v>
      </c>
      <c r="D40" s="1366"/>
      <c r="E40" s="1403">
        <f>E38</f>
        <v>43568400.478813499</v>
      </c>
      <c r="F40" s="1275"/>
      <c r="G40" s="1276"/>
      <c r="H40" s="652"/>
      <c r="I40" s="652"/>
      <c r="J40" s="653"/>
    </row>
    <row r="41" spans="1:256" ht="16.350000000000001" customHeight="1" thickTop="1" thickBot="1">
      <c r="A41" s="1275"/>
      <c r="B41" s="2716" t="s">
        <v>226</v>
      </c>
      <c r="C41" s="2717"/>
      <c r="D41" s="2717"/>
      <c r="E41" s="2718"/>
      <c r="F41" s="1275"/>
      <c r="G41" s="1276"/>
      <c r="H41" s="652"/>
      <c r="I41" s="652"/>
      <c r="L41" s="653"/>
      <c r="M41" s="653"/>
    </row>
    <row r="42" spans="1:256" ht="16.350000000000001" customHeight="1" thickTop="1">
      <c r="A42" s="1275"/>
      <c r="B42" s="1404" t="s">
        <v>2451</v>
      </c>
      <c r="C42" s="1367"/>
      <c r="D42" s="1362"/>
      <c r="E42" s="1405">
        <f>E40*0.22</f>
        <v>9585048.1053389702</v>
      </c>
      <c r="F42" s="1275"/>
      <c r="G42" s="1276"/>
      <c r="H42" s="652"/>
      <c r="I42" s="652"/>
      <c r="J42" s="653"/>
    </row>
    <row r="43" spans="1:256" ht="16.350000000000001" customHeight="1" thickBot="1">
      <c r="A43" s="1275"/>
      <c r="B43" s="1389" t="s">
        <v>2449</v>
      </c>
      <c r="C43" s="1353"/>
      <c r="D43" s="1363"/>
      <c r="E43" s="1406">
        <f>E42*10%</f>
        <v>958504.81053389702</v>
      </c>
      <c r="F43" s="1275"/>
      <c r="G43" s="1276"/>
      <c r="H43" s="652"/>
      <c r="I43" s="652"/>
      <c r="J43" s="653"/>
      <c r="M43" s="665"/>
      <c r="N43" s="666"/>
    </row>
    <row r="44" spans="1:256" ht="16.350000000000001" customHeight="1">
      <c r="A44" s="1275"/>
      <c r="B44" s="1400"/>
      <c r="C44" s="1361"/>
      <c r="D44" s="1364"/>
      <c r="E44" s="1407">
        <f>E42+E43</f>
        <v>10543552.915872868</v>
      </c>
      <c r="F44" s="1275" t="s">
        <v>1158</v>
      </c>
      <c r="G44" s="1276"/>
      <c r="H44" s="652"/>
      <c r="I44" s="652"/>
      <c r="J44" s="653"/>
    </row>
    <row r="45" spans="1:256" ht="16.350000000000001" customHeight="1" thickBot="1">
      <c r="A45" s="1275"/>
      <c r="B45" s="1394" t="s">
        <v>2109</v>
      </c>
      <c r="C45" s="1361"/>
      <c r="D45" s="1364"/>
      <c r="E45" s="1406">
        <f>E44*4%</f>
        <v>421742.11663491471</v>
      </c>
      <c r="F45" s="1275"/>
      <c r="G45" s="1276"/>
      <c r="H45" s="652"/>
      <c r="I45" s="652"/>
      <c r="J45" s="653"/>
    </row>
    <row r="46" spans="1:256" ht="16.350000000000001" customHeight="1">
      <c r="A46" s="1275"/>
      <c r="B46" s="1400"/>
      <c r="C46" s="1361"/>
      <c r="D46" s="1364"/>
      <c r="E46" s="1408">
        <f>+E44+E45</f>
        <v>10965295.032507783</v>
      </c>
      <c r="F46" s="1280"/>
      <c r="G46" s="1281"/>
      <c r="H46" s="668"/>
      <c r="I46" s="668"/>
      <c r="J46" s="666"/>
      <c r="L46" s="668"/>
      <c r="M46" s="668"/>
      <c r="N46" s="668"/>
    </row>
    <row r="47" spans="1:256" ht="16.350000000000001" customHeight="1" thickBot="1">
      <c r="A47" s="1275"/>
      <c r="B47" s="1389" t="s">
        <v>1652</v>
      </c>
      <c r="C47" s="1353"/>
      <c r="D47" s="1363"/>
      <c r="E47" s="1409">
        <f>10071025</f>
        <v>10071025</v>
      </c>
      <c r="F47" s="1280"/>
      <c r="G47" s="1276"/>
      <c r="H47" s="669"/>
      <c r="I47" s="670"/>
      <c r="J47" s="671"/>
      <c r="K47" s="667"/>
      <c r="L47" s="667"/>
      <c r="M47" s="671"/>
      <c r="N47" s="671"/>
    </row>
    <row r="48" spans="1:256" ht="16.350000000000001" customHeight="1">
      <c r="A48" s="1275"/>
      <c r="B48" s="1389"/>
      <c r="C48" s="1353"/>
      <c r="D48" s="1368"/>
      <c r="E48" s="1407">
        <f>E46-E47</f>
        <v>894270.0325077828</v>
      </c>
      <c r="F48" s="1280"/>
      <c r="G48" s="1276">
        <v>11126150</v>
      </c>
      <c r="H48" s="669"/>
      <c r="I48" s="670"/>
      <c r="J48" s="671"/>
      <c r="K48" s="667"/>
      <c r="L48" s="671"/>
      <c r="M48" s="671"/>
      <c r="N48" s="671"/>
    </row>
    <row r="49" spans="1:21" ht="16.350000000000001" customHeight="1">
      <c r="A49" s="1275"/>
      <c r="B49" s="1389" t="s">
        <v>285</v>
      </c>
      <c r="C49" s="1353"/>
      <c r="D49" s="1363"/>
      <c r="E49" s="1410">
        <f>Notes!J210</f>
        <v>3800000</v>
      </c>
      <c r="F49" s="1280">
        <f>E47</f>
        <v>10071025</v>
      </c>
      <c r="G49" s="1276">
        <f>G48-E49</f>
        <v>7326150</v>
      </c>
      <c r="K49" s="667"/>
      <c r="L49" s="671"/>
      <c r="M49" s="671"/>
      <c r="N49" s="671"/>
      <c r="O49" s="663"/>
      <c r="U49" s="652">
        <f>52*800</f>
        <v>41600</v>
      </c>
    </row>
    <row r="50" spans="1:21" ht="14.25" customHeight="1">
      <c r="A50" s="1275"/>
      <c r="B50" s="1389"/>
      <c r="C50" s="1353"/>
      <c r="D50" s="1363"/>
      <c r="E50" s="1411">
        <f>E48-E49</f>
        <v>-2905729.9674922172</v>
      </c>
      <c r="F50" s="1280"/>
      <c r="G50" s="1276"/>
      <c r="K50" s="667"/>
      <c r="L50" s="671"/>
      <c r="M50" s="671"/>
      <c r="N50" s="671"/>
      <c r="O50" s="663"/>
    </row>
    <row r="51" spans="1:21" ht="12.6" customHeight="1">
      <c r="A51" s="1275"/>
      <c r="B51" s="1612" t="s">
        <v>2450</v>
      </c>
      <c r="C51" s="1361"/>
      <c r="D51" s="1369"/>
      <c r="E51" s="1412">
        <v>0</v>
      </c>
      <c r="F51" s="1280"/>
      <c r="G51" s="1276"/>
      <c r="K51" s="667"/>
      <c r="L51" s="671"/>
      <c r="M51" s="671"/>
      <c r="N51" s="671"/>
      <c r="O51" s="663"/>
    </row>
    <row r="52" spans="1:21" ht="14.1" customHeight="1">
      <c r="A52" s="1275"/>
      <c r="B52" s="1389"/>
      <c r="C52" s="1370"/>
      <c r="D52" s="1363"/>
      <c r="E52" s="1406">
        <f>E50+E51</f>
        <v>-2905729.9674922172</v>
      </c>
      <c r="F52" s="1280"/>
      <c r="G52" s="1276" t="s">
        <v>4366</v>
      </c>
      <c r="H52" s="653">
        <v>10965295</v>
      </c>
      <c r="K52" s="667"/>
      <c r="L52" s="671"/>
      <c r="M52" s="671"/>
      <c r="N52" s="671"/>
      <c r="O52" s="663"/>
    </row>
    <row r="53" spans="1:21" ht="16.350000000000001" customHeight="1">
      <c r="A53" s="1275"/>
      <c r="B53" s="1389"/>
      <c r="C53" s="1370"/>
      <c r="D53" s="1363"/>
      <c r="E53" s="1413" t="s">
        <v>2444</v>
      </c>
      <c r="F53" s="1280"/>
      <c r="G53" s="1276" t="s">
        <v>4365</v>
      </c>
      <c r="H53" s="670"/>
      <c r="I53" s="670">
        <v>10965295</v>
      </c>
      <c r="J53" s="671"/>
      <c r="K53" s="667"/>
      <c r="L53" s="671"/>
      <c r="M53" s="671"/>
      <c r="N53" s="671"/>
    </row>
    <row r="54" spans="1:21" ht="16.350000000000001" customHeight="1" thickBot="1">
      <c r="A54" s="1275"/>
      <c r="B54" s="1389" t="s">
        <v>3628</v>
      </c>
      <c r="C54" s="1353"/>
      <c r="D54" s="1371"/>
      <c r="E54" s="1414">
        <v>0</v>
      </c>
      <c r="F54" s="1280"/>
      <c r="G54" s="1276"/>
      <c r="H54" s="670"/>
      <c r="I54" s="670"/>
      <c r="J54" s="671"/>
      <c r="K54" s="667"/>
      <c r="L54" s="671"/>
      <c r="M54" s="671"/>
      <c r="N54" s="671"/>
    </row>
    <row r="55" spans="1:21" ht="19.5" customHeight="1" thickBot="1">
      <c r="A55" s="1275" t="s">
        <v>1158</v>
      </c>
      <c r="B55" s="1920" t="s">
        <v>3629</v>
      </c>
      <c r="C55" s="1372"/>
      <c r="D55" s="1373"/>
      <c r="E55" s="1415">
        <f>E52</f>
        <v>-2905729.9674922172</v>
      </c>
      <c r="F55" s="1275"/>
      <c r="G55" s="1280"/>
      <c r="H55" s="672"/>
      <c r="I55" s="672"/>
      <c r="J55" s="668"/>
      <c r="L55" s="668"/>
      <c r="M55" s="668"/>
      <c r="N55" s="668"/>
    </row>
    <row r="56" spans="1:21" ht="16.350000000000001" customHeight="1" thickTop="1">
      <c r="A56" s="1275"/>
      <c r="B56" s="1416"/>
      <c r="C56" s="1275"/>
      <c r="D56" s="1376" t="s">
        <v>297</v>
      </c>
      <c r="E56" s="1417"/>
      <c r="F56" s="1275"/>
      <c r="G56" s="1275"/>
      <c r="H56" s="652"/>
      <c r="I56" s="652"/>
    </row>
    <row r="57" spans="1:21" ht="16.350000000000001" hidden="1" customHeight="1" thickTop="1">
      <c r="A57" s="1275"/>
      <c r="B57" s="1416"/>
      <c r="C57" s="1279"/>
      <c r="D57" s="1282"/>
      <c r="E57" s="1418" t="str">
        <f>+BS!F55</f>
        <v xml:space="preserve">                                                                                                                                                                                                                                                                                                                                                                                                                                                                                                                                                                                                                                                                                                                                                                                                                                                                                                                                                                                                                                                                                                                                                                                                                                                                                                                                                                                                                                                                                                                                                                                                              </v>
      </c>
      <c r="F57" s="1275"/>
      <c r="G57" s="1275"/>
      <c r="I57" s="652"/>
    </row>
    <row r="58" spans="1:21" ht="16.350000000000001" hidden="1" customHeight="1">
      <c r="B58" s="1416"/>
      <c r="C58" s="1275"/>
      <c r="D58" s="1282"/>
      <c r="E58" s="1419"/>
      <c r="F58" s="652"/>
      <c r="G58" s="673"/>
      <c r="H58" s="652"/>
      <c r="I58" s="652"/>
      <c r="J58" s="653"/>
    </row>
    <row r="59" spans="1:21" ht="16.350000000000001" hidden="1" customHeight="1">
      <c r="B59" s="1416"/>
      <c r="C59" s="1275"/>
      <c r="D59" s="1283"/>
      <c r="E59" s="1420"/>
      <c r="F59" s="652"/>
      <c r="G59" s="654"/>
      <c r="I59" s="652"/>
      <c r="J59" s="653"/>
    </row>
    <row r="60" spans="1:21" ht="16.350000000000001" hidden="1" customHeight="1">
      <c r="B60" s="1416"/>
      <c r="C60" s="1275"/>
      <c r="D60" s="71"/>
      <c r="E60" s="1421"/>
      <c r="F60" s="652"/>
      <c r="G60" s="654"/>
      <c r="H60" s="674"/>
      <c r="I60" s="674"/>
      <c r="J60" s="674"/>
      <c r="K60" s="674"/>
      <c r="M60" s="674"/>
      <c r="N60" s="653"/>
      <c r="O60" s="653"/>
    </row>
    <row r="61" spans="1:21" ht="16.350000000000001" hidden="1" customHeight="1">
      <c r="B61" s="1416"/>
      <c r="C61" s="1284" t="s">
        <v>298</v>
      </c>
      <c r="D61" s="1285"/>
      <c r="E61" s="1422" t="s">
        <v>299</v>
      </c>
      <c r="F61" s="652"/>
      <c r="G61" s="654"/>
      <c r="H61" s="674"/>
      <c r="I61" s="674"/>
      <c r="J61" s="674"/>
      <c r="K61" s="674"/>
      <c r="M61" s="674"/>
      <c r="N61" s="653"/>
      <c r="O61" s="653"/>
    </row>
    <row r="62" spans="1:21" ht="16.350000000000001" hidden="1" customHeight="1">
      <c r="B62" s="1416"/>
      <c r="C62" s="1286" t="s">
        <v>80</v>
      </c>
      <c r="D62" s="1287"/>
      <c r="E62" s="1423" t="s">
        <v>300</v>
      </c>
      <c r="F62" s="652"/>
      <c r="G62" s="654"/>
      <c r="H62" s="674"/>
      <c r="I62" s="674"/>
      <c r="J62" s="674"/>
      <c r="K62" s="674"/>
      <c r="M62" s="674"/>
      <c r="N62" s="653"/>
      <c r="O62" s="653"/>
    </row>
    <row r="63" spans="1:21" ht="16.350000000000001" hidden="1" customHeight="1">
      <c r="B63" s="1416"/>
      <c r="C63" s="1286"/>
      <c r="D63" s="1287"/>
      <c r="E63" s="1423"/>
      <c r="F63" s="652"/>
      <c r="G63" s="654"/>
      <c r="H63" s="674"/>
      <c r="I63" s="675"/>
      <c r="J63" s="674"/>
      <c r="K63" s="674"/>
      <c r="M63" s="676"/>
      <c r="N63" s="653"/>
      <c r="O63" s="653"/>
    </row>
    <row r="64" spans="1:21" ht="16.350000000000001" hidden="1" customHeight="1">
      <c r="B64" s="1416"/>
      <c r="C64" s="1286"/>
      <c r="D64" s="1287"/>
      <c r="E64" s="1423"/>
      <c r="F64" s="652"/>
      <c r="G64" s="654"/>
      <c r="H64" s="674"/>
      <c r="I64" s="675"/>
      <c r="J64" s="674"/>
      <c r="K64" s="674"/>
      <c r="M64" s="675"/>
      <c r="N64" s="653"/>
      <c r="O64" s="653"/>
    </row>
    <row r="65" spans="2:15" ht="16.350000000000001" hidden="1" customHeight="1">
      <c r="B65" s="1424" t="str">
        <f>BS!A63</f>
        <v>Place: Chennai</v>
      </c>
      <c r="C65" s="1286"/>
      <c r="D65" s="1287"/>
      <c r="E65" s="1423"/>
      <c r="F65" s="652"/>
      <c r="G65" s="654"/>
      <c r="H65" s="674"/>
      <c r="I65" s="675"/>
      <c r="J65" s="674"/>
      <c r="K65" s="674"/>
      <c r="M65" s="675"/>
      <c r="N65" s="653"/>
      <c r="O65" s="653"/>
    </row>
    <row r="66" spans="2:15" ht="16.350000000000001" hidden="1" customHeight="1">
      <c r="B66" s="1425" t="str">
        <f>BS!A64</f>
        <v>Date:  07-09-2023</v>
      </c>
      <c r="C66" s="1288"/>
      <c r="D66" s="1289"/>
      <c r="E66" s="1426"/>
      <c r="F66" s="652"/>
      <c r="G66" s="654"/>
      <c r="H66" s="674"/>
      <c r="I66" s="675"/>
      <c r="J66" s="674"/>
      <c r="K66" s="674"/>
      <c r="M66" s="675"/>
      <c r="N66" s="653"/>
      <c r="O66" s="653"/>
    </row>
    <row r="67" spans="2:15" ht="16.350000000000001" hidden="1" customHeight="1" thickBot="1">
      <c r="B67" s="1416"/>
      <c r="C67" s="1275"/>
      <c r="D67" s="1275"/>
      <c r="E67" s="1386"/>
      <c r="F67" s="652"/>
      <c r="G67" s="654"/>
      <c r="H67" s="674"/>
      <c r="I67" s="674"/>
      <c r="J67" s="674"/>
      <c r="K67" s="674"/>
    </row>
    <row r="68" spans="2:15" ht="16.350000000000001" hidden="1" customHeight="1" thickTop="1">
      <c r="B68" s="1427"/>
      <c r="C68" s="2719" t="s">
        <v>297</v>
      </c>
      <c r="D68" s="2719"/>
      <c r="E68" s="2720"/>
      <c r="F68" s="652"/>
      <c r="G68" s="654"/>
      <c r="H68" s="652"/>
      <c r="I68" s="652"/>
      <c r="J68" s="653"/>
    </row>
    <row r="69" spans="2:15" ht="14.25" hidden="1" customHeight="1">
      <c r="B69" s="1416"/>
      <c r="C69" s="1275"/>
      <c r="D69" s="1275"/>
      <c r="E69" s="1386"/>
      <c r="F69" s="652"/>
      <c r="G69" s="654"/>
      <c r="H69" s="652"/>
      <c r="I69" s="652"/>
      <c r="J69" s="653"/>
    </row>
    <row r="70" spans="2:15" ht="14.25" customHeight="1">
      <c r="B70" s="1416"/>
      <c r="C70" s="1275"/>
      <c r="D70" s="1275"/>
      <c r="E70" s="1386"/>
      <c r="F70" s="652"/>
      <c r="G70" s="654"/>
      <c r="H70" s="652"/>
      <c r="I70" s="652"/>
      <c r="J70" s="653"/>
    </row>
    <row r="71" spans="2:15" ht="23.1" customHeight="1">
      <c r="B71" s="1416"/>
      <c r="C71" s="1353"/>
      <c r="D71" s="1353"/>
      <c r="E71" s="1384"/>
      <c r="F71" s="652"/>
      <c r="G71" s="654"/>
      <c r="H71" s="652"/>
      <c r="I71" s="652"/>
      <c r="J71" s="653"/>
    </row>
    <row r="72" spans="2:15" ht="2.85" customHeight="1">
      <c r="B72" s="1416"/>
      <c r="C72" s="1353"/>
      <c r="D72" s="1353"/>
      <c r="E72" s="1384"/>
      <c r="F72" s="652"/>
      <c r="G72" s="654"/>
      <c r="H72" s="652"/>
      <c r="I72" s="652"/>
      <c r="J72" s="653"/>
    </row>
    <row r="73" spans="2:15" ht="16.350000000000001" customHeight="1">
      <c r="B73" s="1416" t="s">
        <v>954</v>
      </c>
      <c r="C73" s="1187" t="s">
        <v>298</v>
      </c>
      <c r="D73" s="1186"/>
      <c r="E73" s="1428" t="s">
        <v>2445</v>
      </c>
      <c r="F73" s="652"/>
      <c r="G73" s="654"/>
      <c r="H73" s="652"/>
      <c r="I73" s="652"/>
      <c r="J73" s="653"/>
    </row>
    <row r="74" spans="2:15" ht="16.350000000000001" customHeight="1">
      <c r="B74" s="1429" t="str">
        <f>BS!A64</f>
        <v>Date:  07-09-2023</v>
      </c>
      <c r="C74" s="1188" t="s">
        <v>80</v>
      </c>
      <c r="D74" s="1186"/>
      <c r="E74" s="1274" t="s">
        <v>300</v>
      </c>
      <c r="F74" s="652"/>
      <c r="G74" s="654"/>
      <c r="H74" s="652"/>
      <c r="I74" s="652"/>
      <c r="J74" s="653"/>
    </row>
    <row r="75" spans="2:15" ht="15.6" customHeight="1" thickBot="1">
      <c r="B75" s="1430"/>
      <c r="C75" s="1431" t="str">
        <f>BS!D63</f>
        <v>DIN No.01926196</v>
      </c>
      <c r="D75" s="1432"/>
      <c r="E75" s="1433" t="str">
        <f>BS!E63</f>
        <v>DIN No.01926144</v>
      </c>
      <c r="F75" s="652"/>
      <c r="G75" s="654"/>
      <c r="H75" s="652"/>
      <c r="I75" s="652"/>
      <c r="J75" s="653"/>
    </row>
    <row r="76" spans="2:15" ht="16.350000000000001" customHeight="1">
      <c r="B76" s="1275"/>
      <c r="C76" s="1275"/>
      <c r="D76" s="1353"/>
      <c r="E76" s="1377"/>
      <c r="F76" s="652"/>
      <c r="G76" s="654"/>
      <c r="H76" s="652"/>
      <c r="I76" s="652"/>
      <c r="J76" s="653"/>
    </row>
    <row r="77" spans="2:15" ht="16.350000000000001" customHeight="1">
      <c r="D77" s="652"/>
      <c r="E77" s="653"/>
      <c r="F77" s="652"/>
      <c r="G77" s="654"/>
      <c r="H77" s="652"/>
      <c r="I77" s="652"/>
      <c r="J77" s="653"/>
    </row>
    <row r="78" spans="2:15" ht="16.350000000000001" customHeight="1">
      <c r="D78" s="652"/>
      <c r="E78" s="653"/>
      <c r="F78" s="652"/>
      <c r="G78" s="654"/>
      <c r="H78" s="652"/>
      <c r="I78" s="652"/>
      <c r="J78" s="653"/>
    </row>
    <row r="79" spans="2:15" ht="16.350000000000001" customHeight="1">
      <c r="D79" s="652"/>
      <c r="E79" s="653"/>
      <c r="F79" s="652"/>
      <c r="G79" s="654"/>
      <c r="H79" s="652"/>
      <c r="I79" s="652"/>
      <c r="J79" s="653"/>
    </row>
    <row r="80" spans="2:15" ht="16.350000000000001" customHeight="1">
      <c r="D80" s="652"/>
      <c r="E80" s="653"/>
      <c r="F80" s="652"/>
      <c r="G80" s="654"/>
      <c r="H80" s="652"/>
      <c r="I80" s="652"/>
      <c r="J80" s="653"/>
    </row>
    <row r="81" spans="2:10" ht="16.350000000000001" customHeight="1">
      <c r="D81" s="652"/>
      <c r="E81" s="653"/>
      <c r="F81" s="652"/>
      <c r="G81" s="654"/>
      <c r="H81" s="652"/>
      <c r="I81" s="652"/>
      <c r="J81" s="653"/>
    </row>
    <row r="82" spans="2:10" ht="16.350000000000001" customHeight="1">
      <c r="D82" s="652"/>
      <c r="E82" s="653"/>
      <c r="F82" s="652"/>
      <c r="G82" s="654"/>
      <c r="H82" s="652"/>
      <c r="I82" s="652"/>
      <c r="J82" s="653"/>
    </row>
    <row r="83" spans="2:10" ht="16.350000000000001" customHeight="1">
      <c r="D83" s="652"/>
      <c r="E83" s="653"/>
      <c r="F83" s="652"/>
      <c r="G83" s="654"/>
      <c r="H83" s="652"/>
      <c r="I83" s="652"/>
      <c r="J83" s="653"/>
    </row>
    <row r="84" spans="2:10" ht="16.350000000000001" customHeight="1">
      <c r="D84" s="652"/>
      <c r="E84" s="653"/>
      <c r="F84" s="652"/>
      <c r="G84" s="654"/>
      <c r="H84" s="652"/>
      <c r="I84" s="652"/>
      <c r="J84" s="653"/>
    </row>
    <row r="85" spans="2:10" ht="16.350000000000001" customHeight="1">
      <c r="D85" s="652"/>
      <c r="E85" s="653"/>
      <c r="F85" s="652"/>
      <c r="G85" s="654"/>
      <c r="H85" s="652"/>
      <c r="I85" s="652"/>
      <c r="J85" s="653"/>
    </row>
    <row r="86" spans="2:10" ht="16.350000000000001" customHeight="1">
      <c r="D86" s="652"/>
      <c r="E86" s="653"/>
      <c r="F86" s="652"/>
      <c r="G86" s="654"/>
      <c r="H86" s="652"/>
      <c r="I86" s="652"/>
      <c r="J86" s="653"/>
    </row>
    <row r="87" spans="2:10" ht="16.350000000000001" customHeight="1">
      <c r="D87" s="652"/>
      <c r="E87" s="653"/>
      <c r="F87" s="652"/>
      <c r="G87" s="654"/>
      <c r="H87" s="652"/>
      <c r="I87" s="652"/>
      <c r="J87" s="653"/>
    </row>
    <row r="88" spans="2:10" ht="16.350000000000001" customHeight="1">
      <c r="D88" s="652"/>
      <c r="E88" s="653"/>
      <c r="F88" s="652"/>
      <c r="G88" s="654"/>
      <c r="H88" s="652"/>
      <c r="I88" s="652"/>
      <c r="J88" s="653"/>
    </row>
    <row r="89" spans="2:10" ht="16.350000000000001" customHeight="1">
      <c r="D89" s="652"/>
      <c r="E89" s="653"/>
      <c r="F89" s="652"/>
      <c r="G89" s="654"/>
      <c r="H89" s="652"/>
      <c r="I89" s="652"/>
      <c r="J89" s="653"/>
    </row>
    <row r="90" spans="2:10" ht="16.350000000000001" customHeight="1">
      <c r="D90" s="652"/>
      <c r="E90" s="653"/>
      <c r="F90" s="652"/>
      <c r="G90" s="654"/>
      <c r="H90" s="652"/>
      <c r="I90" s="652"/>
      <c r="J90" s="653"/>
    </row>
    <row r="91" spans="2:10" ht="16.350000000000001" customHeight="1">
      <c r="D91" s="652"/>
      <c r="E91" s="653"/>
      <c r="F91" s="652"/>
      <c r="G91" s="654"/>
      <c r="H91" s="652"/>
      <c r="I91" s="652"/>
      <c r="J91" s="653"/>
    </row>
    <row r="92" spans="2:10" ht="16.350000000000001" customHeight="1">
      <c r="D92" s="652"/>
      <c r="E92" s="653"/>
      <c r="F92" s="652"/>
      <c r="G92" s="654"/>
      <c r="H92" s="652"/>
      <c r="I92" s="652"/>
      <c r="J92" s="653"/>
    </row>
    <row r="93" spans="2:10" ht="16.350000000000001" customHeight="1">
      <c r="D93" s="652"/>
      <c r="E93" s="653"/>
      <c r="F93" s="652"/>
      <c r="G93" s="654"/>
      <c r="H93" s="652"/>
      <c r="I93" s="652"/>
      <c r="J93" s="653"/>
    </row>
    <row r="94" spans="2:10" ht="16.350000000000001" customHeight="1">
      <c r="D94" s="652"/>
      <c r="E94" s="653"/>
      <c r="F94" s="652"/>
      <c r="G94" s="654"/>
      <c r="H94" s="652"/>
      <c r="I94" s="652"/>
      <c r="J94" s="653"/>
    </row>
    <row r="95" spans="2:10" ht="16.350000000000001" customHeight="1">
      <c r="F95" s="652"/>
      <c r="G95" s="654"/>
      <c r="H95" s="652"/>
      <c r="I95" s="652"/>
      <c r="J95" s="653"/>
    </row>
    <row r="96" spans="2:10" ht="16.350000000000001" customHeight="1">
      <c r="B96" s="678"/>
      <c r="C96" s="679"/>
      <c r="D96" s="679"/>
      <c r="E96" s="679"/>
    </row>
    <row r="97" spans="2:9" ht="16.350000000000001" customHeight="1">
      <c r="B97" s="678" t="s">
        <v>1192</v>
      </c>
      <c r="C97" s="679"/>
      <c r="D97" s="679"/>
      <c r="E97" s="679"/>
      <c r="F97" s="680"/>
      <c r="G97" s="681"/>
      <c r="H97" s="681"/>
    </row>
    <row r="98" spans="2:9" ht="16.350000000000001" customHeight="1">
      <c r="B98" s="682" t="s">
        <v>1193</v>
      </c>
      <c r="C98" s="679">
        <f>+E46</f>
        <v>10965295.032507783</v>
      </c>
      <c r="D98" s="683"/>
      <c r="E98" s="679"/>
      <c r="F98" s="680"/>
      <c r="G98" s="684"/>
      <c r="H98" s="684"/>
    </row>
    <row r="99" spans="2:9" ht="16.350000000000001" customHeight="1">
      <c r="B99" s="682" t="s">
        <v>1194</v>
      </c>
      <c r="C99" s="685">
        <v>0</v>
      </c>
      <c r="D99" s="679"/>
      <c r="E99" s="686"/>
      <c r="F99" s="687"/>
      <c r="G99" s="684"/>
      <c r="H99" s="684"/>
    </row>
    <row r="100" spans="2:9" ht="16.350000000000001" customHeight="1">
      <c r="B100" s="688"/>
      <c r="C100" s="679">
        <f>+C98-C99</f>
        <v>10965295.032507783</v>
      </c>
      <c r="D100" s="679"/>
      <c r="E100" s="679"/>
      <c r="F100" s="689"/>
      <c r="G100" s="684"/>
      <c r="H100" s="684"/>
    </row>
    <row r="101" spans="2:9" ht="16.350000000000001" customHeight="1">
      <c r="B101" s="679" t="s">
        <v>1195</v>
      </c>
      <c r="C101" s="690" t="e">
        <f>SUM(#REF!)</f>
        <v>#REF!</v>
      </c>
      <c r="D101" s="690"/>
      <c r="E101" s="679"/>
      <c r="F101" s="691"/>
      <c r="G101" s="692"/>
      <c r="H101" s="684"/>
    </row>
    <row r="102" spans="2:9" ht="16.350000000000001" customHeight="1" thickBot="1">
      <c r="B102" s="679" t="s">
        <v>1196</v>
      </c>
      <c r="C102" s="693" t="e">
        <f>C100-C101</f>
        <v>#REF!</v>
      </c>
      <c r="D102" s="679"/>
      <c r="E102" s="679"/>
      <c r="F102" s="689"/>
      <c r="G102" s="684"/>
      <c r="H102" s="684"/>
    </row>
    <row r="103" spans="2:9" ht="16.350000000000001" customHeight="1" thickTop="1">
      <c r="B103" s="679" t="s">
        <v>1363</v>
      </c>
      <c r="C103" s="679">
        <f>ROUND(C100*90%,0)</f>
        <v>9868766</v>
      </c>
      <c r="D103" s="679"/>
      <c r="E103" s="679"/>
      <c r="F103" s="689"/>
      <c r="G103" s="694"/>
      <c r="H103" s="684"/>
    </row>
    <row r="104" spans="2:9" ht="16.350000000000001" customHeight="1">
      <c r="B104" s="679"/>
      <c r="C104" s="679"/>
      <c r="D104" s="679"/>
      <c r="E104" s="679"/>
      <c r="F104" s="689"/>
      <c r="G104" s="684"/>
      <c r="H104" s="684"/>
    </row>
    <row r="105" spans="2:9" ht="16.350000000000001" customHeight="1">
      <c r="B105" s="679" t="s">
        <v>1197</v>
      </c>
      <c r="C105" s="690"/>
      <c r="D105" s="679"/>
      <c r="E105" s="679"/>
      <c r="F105" s="689"/>
      <c r="G105" s="684"/>
      <c r="H105" s="684"/>
    </row>
    <row r="106" spans="2:9" ht="16.350000000000001" customHeight="1">
      <c r="B106" s="679" t="s">
        <v>1137</v>
      </c>
      <c r="C106" s="690" t="s">
        <v>1198</v>
      </c>
      <c r="D106" s="679" t="s">
        <v>1199</v>
      </c>
      <c r="E106" s="679" t="s">
        <v>1172</v>
      </c>
      <c r="F106" s="689"/>
      <c r="G106" s="684"/>
      <c r="H106" s="695"/>
    </row>
    <row r="107" spans="2:9" ht="16.350000000000001" customHeight="1">
      <c r="B107" s="696" t="e">
        <f>IF(C101&lt;C103,C102,0)</f>
        <v>#REF!</v>
      </c>
      <c r="C107" s="690">
        <v>7</v>
      </c>
      <c r="D107" s="697">
        <v>0.01</v>
      </c>
      <c r="E107" s="679" t="e">
        <f>ROUND(B107*C107*D107,0)</f>
        <v>#REF!</v>
      </c>
      <c r="F107" s="689"/>
      <c r="G107" s="684"/>
      <c r="H107" s="684"/>
    </row>
    <row r="108" spans="2:9" ht="16.350000000000001" customHeight="1">
      <c r="B108" s="696"/>
      <c r="C108" s="690"/>
      <c r="D108" s="679"/>
      <c r="E108" s="679"/>
      <c r="F108" s="689"/>
      <c r="G108" s="694"/>
      <c r="H108" s="684"/>
    </row>
    <row r="109" spans="2:9" ht="16.350000000000001" customHeight="1">
      <c r="B109" s="679" t="s">
        <v>1197</v>
      </c>
      <c r="C109" s="690"/>
      <c r="D109" s="679"/>
      <c r="E109" s="679"/>
      <c r="F109" s="689"/>
      <c r="G109" s="684"/>
      <c r="H109" s="684"/>
    </row>
    <row r="110" spans="2:9" ht="16.350000000000001" customHeight="1">
      <c r="B110" s="696" t="s">
        <v>1200</v>
      </c>
      <c r="C110" s="690" t="s">
        <v>1201</v>
      </c>
      <c r="D110" s="679" t="s">
        <v>1202</v>
      </c>
      <c r="E110" s="690" t="s">
        <v>1203</v>
      </c>
      <c r="F110" s="689"/>
      <c r="G110" s="684"/>
      <c r="H110" s="684"/>
    </row>
    <row r="111" spans="2:9" ht="16.350000000000001" customHeight="1">
      <c r="B111" s="698">
        <v>42536</v>
      </c>
      <c r="C111" s="690">
        <f>$C$100*15%</f>
        <v>1644794.2548761673</v>
      </c>
      <c r="D111" s="690" t="e">
        <f>#REF!</f>
        <v>#REF!</v>
      </c>
      <c r="E111" s="679" t="e">
        <f>C111-D111</f>
        <v>#REF!</v>
      </c>
      <c r="F111" s="689" t="s">
        <v>1204</v>
      </c>
      <c r="G111" s="684" t="s">
        <v>1205</v>
      </c>
      <c r="H111" s="684" t="s">
        <v>1172</v>
      </c>
      <c r="I111" s="653" t="s">
        <v>1364</v>
      </c>
    </row>
    <row r="112" spans="2:9" ht="16.350000000000001" customHeight="1">
      <c r="B112" s="698">
        <v>42628</v>
      </c>
      <c r="C112" s="690">
        <f>$C$100*45%</f>
        <v>4934382.7646285025</v>
      </c>
      <c r="D112" s="690" t="e">
        <f>D111+#REF!</f>
        <v>#REF!</v>
      </c>
      <c r="E112" s="679" t="e">
        <f>C112-D112</f>
        <v>#REF!</v>
      </c>
      <c r="F112" s="699">
        <v>3</v>
      </c>
      <c r="G112" s="700">
        <v>0.01</v>
      </c>
      <c r="H112" s="684" t="e">
        <f>ROUND(IF(D111&lt;I112,E111*F112*G112,0),0)</f>
        <v>#REF!</v>
      </c>
      <c r="I112" s="653">
        <f>ROUND($C$100*12%,0)</f>
        <v>1315835</v>
      </c>
    </row>
    <row r="113" spans="2:9" ht="16.350000000000001" customHeight="1">
      <c r="B113" s="698">
        <v>42719</v>
      </c>
      <c r="C113" s="690">
        <f>$C$100*75%</f>
        <v>8223971.2743808366</v>
      </c>
      <c r="D113" s="690" t="e">
        <f>D112+#REF!</f>
        <v>#REF!</v>
      </c>
      <c r="E113" s="679" t="e">
        <f>C113-D113</f>
        <v>#REF!</v>
      </c>
      <c r="F113" s="699">
        <v>3</v>
      </c>
      <c r="G113" s="700">
        <v>0.01</v>
      </c>
      <c r="H113" s="684" t="e">
        <f>ROUND(IF(D112&lt;I113,E112*F113*G113,0),0)</f>
        <v>#REF!</v>
      </c>
      <c r="I113" s="653">
        <f>ROUND($C$100*36%,0)</f>
        <v>3947506</v>
      </c>
    </row>
    <row r="114" spans="2:9" ht="16.350000000000001" customHeight="1">
      <c r="B114" s="698">
        <v>42809</v>
      </c>
      <c r="C114" s="690">
        <f>$C$100*100%</f>
        <v>10965295.032507783</v>
      </c>
      <c r="D114" s="690" t="e">
        <f>D113+#REF!</f>
        <v>#REF!</v>
      </c>
      <c r="E114" s="679" t="e">
        <f>C114-D114</f>
        <v>#REF!</v>
      </c>
      <c r="F114" s="699">
        <v>3</v>
      </c>
      <c r="G114" s="700">
        <v>0.01</v>
      </c>
      <c r="H114" s="684" t="e">
        <f>ROUND(IF(D113&lt;I114,E113*F114*G114,0),0)</f>
        <v>#REF!</v>
      </c>
      <c r="I114" s="653">
        <f>ROUND($C$100*75%,0)</f>
        <v>8223971</v>
      </c>
    </row>
    <row r="115" spans="2:9" ht="16.350000000000001" customHeight="1">
      <c r="B115" s="679" t="s">
        <v>0</v>
      </c>
      <c r="C115" s="690"/>
      <c r="D115" s="690"/>
      <c r="E115" s="679"/>
      <c r="F115" s="699">
        <v>1</v>
      </c>
      <c r="G115" s="700">
        <v>0.01</v>
      </c>
      <c r="H115" s="684" t="e">
        <f>ROUND(IF(D114&lt;I115,E114*F115*G115,0),0)</f>
        <v>#REF!</v>
      </c>
      <c r="I115" s="653">
        <f>ROUND($C$100*100%,0)</f>
        <v>10965295</v>
      </c>
    </row>
    <row r="116" spans="2:9" ht="16.350000000000001" customHeight="1">
      <c r="B116" s="679" t="s">
        <v>0</v>
      </c>
      <c r="F116" s="689"/>
      <c r="G116" s="684"/>
      <c r="H116" s="701" t="e">
        <f>SUM(H112:H115)</f>
        <v>#REF!</v>
      </c>
    </row>
    <row r="117" spans="2:9" ht="16.350000000000001" customHeight="1" thickBot="1">
      <c r="H117" s="702" t="e">
        <f>H116+E107</f>
        <v>#REF!</v>
      </c>
    </row>
    <row r="118" spans="2:9" ht="16.350000000000001" customHeight="1" thickTop="1"/>
  </sheetData>
  <mergeCells count="4">
    <mergeCell ref="B9:E9"/>
    <mergeCell ref="B35:E35"/>
    <mergeCell ref="B41:E41"/>
    <mergeCell ref="C68:E68"/>
  </mergeCells>
  <hyperlinks>
    <hyperlink ref="Y4" r:id="rId1" display="=@round(+D46,1)" xr:uid="{00000000-0004-0000-0200-000000000000}"/>
  </hyperlinks>
  <printOptions horizontalCentered="1" verticalCentered="1"/>
  <pageMargins left="0.7" right="0.7" top="0.75" bottom="0.75" header="0.3" footer="0.3"/>
  <pageSetup paperSize="9" scale="72" orientation="portrait" r:id="rId2"/>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F14"/>
  <sheetViews>
    <sheetView workbookViewId="0">
      <selection activeCell="D10" sqref="D10"/>
    </sheetView>
  </sheetViews>
  <sheetFormatPr defaultColWidth="8.77734375" defaultRowHeight="15.6"/>
  <cols>
    <col min="1" max="1" width="8.77734375" style="2299"/>
    <col min="2" max="2" width="5.44140625" style="2299" bestFit="1" customWidth="1"/>
    <col min="3" max="3" width="28" style="2299" bestFit="1" customWidth="1"/>
    <col min="4" max="4" width="12" style="2299" bestFit="1" customWidth="1"/>
    <col min="5" max="5" width="10.44140625" style="2299" bestFit="1" customWidth="1"/>
    <col min="6" max="16384" width="8.77734375" style="2299"/>
  </cols>
  <sheetData>
    <row r="3" spans="2:6">
      <c r="B3" s="2300" t="s">
        <v>4236</v>
      </c>
      <c r="C3" s="2300" t="s">
        <v>1</v>
      </c>
      <c r="D3" s="2300" t="s">
        <v>1137</v>
      </c>
    </row>
    <row r="4" spans="2:6">
      <c r="B4" s="2300">
        <v>1</v>
      </c>
      <c r="C4" s="2300" t="s">
        <v>4237</v>
      </c>
      <c r="D4" s="2301">
        <v>28633</v>
      </c>
    </row>
    <row r="5" spans="2:6">
      <c r="B5" s="2300">
        <f t="shared" ref="B5:B10" si="0">B4+1</f>
        <v>2</v>
      </c>
      <c r="C5" s="2300" t="s">
        <v>4238</v>
      </c>
      <c r="D5" s="2301">
        <v>30600</v>
      </c>
    </row>
    <row r="6" spans="2:6">
      <c r="B6" s="2300">
        <f t="shared" si="0"/>
        <v>3</v>
      </c>
      <c r="C6" s="2300" t="s">
        <v>4239</v>
      </c>
      <c r="D6" s="2301">
        <v>10490</v>
      </c>
    </row>
    <row r="7" spans="2:6">
      <c r="B7" s="2300">
        <f t="shared" si="0"/>
        <v>4</v>
      </c>
      <c r="C7" s="2300" t="s">
        <v>4240</v>
      </c>
      <c r="D7" s="2301"/>
      <c r="E7" s="2323">
        <v>44977</v>
      </c>
      <c r="F7" s="2299" t="s">
        <v>4259</v>
      </c>
    </row>
    <row r="8" spans="2:6">
      <c r="B8" s="2300">
        <f t="shared" si="0"/>
        <v>5</v>
      </c>
      <c r="C8" s="2300" t="s">
        <v>4241</v>
      </c>
      <c r="D8" s="2301">
        <v>20157</v>
      </c>
    </row>
    <row r="9" spans="2:6">
      <c r="B9" s="2300">
        <f t="shared" si="0"/>
        <v>6</v>
      </c>
      <c r="C9" s="2300" t="s">
        <v>4242</v>
      </c>
      <c r="D9" s="2301">
        <v>61383</v>
      </c>
    </row>
    <row r="10" spans="2:6">
      <c r="B10" s="2300">
        <f t="shared" si="0"/>
        <v>7</v>
      </c>
      <c r="C10" s="2300" t="s">
        <v>4237</v>
      </c>
      <c r="D10" s="2301">
        <v>12558</v>
      </c>
    </row>
    <row r="11" spans="2:6">
      <c r="B11" s="2300">
        <v>8</v>
      </c>
      <c r="C11" s="2300" t="s">
        <v>1303</v>
      </c>
      <c r="D11" s="2301"/>
    </row>
    <row r="12" spans="2:6">
      <c r="B12" s="2300"/>
      <c r="C12" s="2300"/>
      <c r="D12" s="2302">
        <f>SUM(D4:D10)</f>
        <v>163821</v>
      </c>
    </row>
    <row r="13" spans="2:6">
      <c r="B13" s="2300"/>
      <c r="C13" s="2300" t="s">
        <v>4243</v>
      </c>
      <c r="D13" s="2301">
        <v>204000</v>
      </c>
    </row>
    <row r="14" spans="2:6">
      <c r="B14" s="2300"/>
      <c r="C14" s="2300"/>
      <c r="D14" s="2303">
        <f>D12+D13</f>
        <v>367821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343"/>
  <sheetViews>
    <sheetView view="pageBreakPreview" topLeftCell="B293" zoomScale="90" zoomScaleSheetLayoutView="90" workbookViewId="0">
      <selection activeCell="N45" sqref="N45"/>
    </sheetView>
  </sheetViews>
  <sheetFormatPr defaultColWidth="8.5546875" defaultRowHeight="16.2"/>
  <cols>
    <col min="1" max="1" width="11.5546875" style="715" hidden="1" customWidth="1"/>
    <col min="2" max="2" width="6" style="711" customWidth="1"/>
    <col min="3" max="3" width="9.5546875" style="712" customWidth="1"/>
    <col min="4" max="4" width="20.44140625" style="708" customWidth="1"/>
    <col min="5" max="5" width="26.44140625" style="708" customWidth="1"/>
    <col min="6" max="6" width="15.5546875" style="708" customWidth="1"/>
    <col min="7" max="7" width="15.44140625" style="708" customWidth="1"/>
    <col min="8" max="8" width="8.5546875" style="708"/>
    <col min="9" max="9" width="14.44140625" style="708" customWidth="1"/>
    <col min="10" max="10" width="15.44140625" style="708" customWidth="1"/>
    <col min="11" max="11" width="14.5546875" style="708" customWidth="1"/>
    <col min="12" max="12" width="11" style="708" bestFit="1" customWidth="1"/>
    <col min="13" max="13" width="15.5546875" style="708" customWidth="1"/>
    <col min="14" max="16384" width="8.5546875" style="708"/>
  </cols>
  <sheetData>
    <row r="1" spans="1:12">
      <c r="A1" s="703"/>
      <c r="B1" s="704"/>
      <c r="C1" s="705"/>
      <c r="D1" s="706"/>
      <c r="E1" s="706"/>
      <c r="F1" s="706"/>
      <c r="G1" s="706"/>
      <c r="H1" s="706"/>
      <c r="I1" s="706"/>
      <c r="J1" s="706"/>
      <c r="K1" s="707"/>
    </row>
    <row r="2" spans="1:12" ht="36.75" customHeight="1">
      <c r="A2" s="2794" t="str">
        <f>+BS!A2</f>
        <v>M/s. Sathiapal Engineers (India) Private Limited
(Formerly known as M/S Sathiapal Engineers (India) Limited)</v>
      </c>
      <c r="B2" s="2794"/>
      <c r="C2" s="2794"/>
      <c r="D2" s="2794"/>
      <c r="E2" s="2794"/>
      <c r="F2" s="2794"/>
      <c r="G2" s="2794"/>
      <c r="H2" s="2794"/>
      <c r="I2" s="2794"/>
      <c r="J2" s="2794"/>
      <c r="K2" s="2794"/>
      <c r="L2" s="1290"/>
    </row>
    <row r="3" spans="1:12" ht="16.5" customHeight="1">
      <c r="A3" s="2795" t="str">
        <f>+BS!A4</f>
        <v>New No. 57, Old No. 3, Canal Road, Kilpauk Garden Colony, Kilpauk, Chennai 600 010.</v>
      </c>
      <c r="B3" s="2795"/>
      <c r="C3" s="2795"/>
      <c r="D3" s="2795"/>
      <c r="E3" s="2795"/>
      <c r="F3" s="2795"/>
      <c r="G3" s="2795"/>
      <c r="H3" s="2795"/>
      <c r="I3" s="2795"/>
      <c r="J3" s="2795"/>
      <c r="K3" s="2795"/>
      <c r="L3" s="1290"/>
    </row>
    <row r="4" spans="1:12" ht="19.350000000000001" customHeight="1">
      <c r="A4" s="2796" t="s">
        <v>316</v>
      </c>
      <c r="B4" s="2796"/>
      <c r="C4" s="2796"/>
      <c r="D4" s="2796"/>
      <c r="E4" s="2796"/>
      <c r="F4" s="2796"/>
      <c r="G4" s="2796"/>
      <c r="H4" s="2796"/>
      <c r="I4" s="2796"/>
      <c r="J4" s="2796"/>
      <c r="K4" s="2796"/>
      <c r="L4" s="1290"/>
    </row>
    <row r="5" spans="1:12" ht="16.8" thickBot="1">
      <c r="A5" s="1642"/>
      <c r="B5" s="1643"/>
      <c r="C5" s="1644"/>
      <c r="D5" s="1645"/>
      <c r="E5" s="1646"/>
      <c r="F5" s="1646"/>
      <c r="G5" s="1645"/>
      <c r="H5" s="1645"/>
      <c r="I5" s="1645"/>
      <c r="J5" s="1645"/>
      <c r="K5" s="1645"/>
      <c r="L5" s="1290"/>
    </row>
    <row r="6" spans="1:12" ht="16.5" customHeight="1">
      <c r="A6" s="2797" t="s">
        <v>317</v>
      </c>
      <c r="B6" s="1641" t="s">
        <v>309</v>
      </c>
      <c r="C6" s="2799" t="s">
        <v>1</v>
      </c>
      <c r="D6" s="2800"/>
      <c r="E6" s="2800"/>
      <c r="F6" s="2800"/>
      <c r="G6" s="2800"/>
      <c r="H6" s="2800"/>
      <c r="I6" s="2800"/>
      <c r="J6" s="2800"/>
      <c r="K6" s="2801"/>
      <c r="L6" s="1290"/>
    </row>
    <row r="7" spans="1:12" ht="12.75" customHeight="1">
      <c r="A7" s="2798"/>
      <c r="B7" s="1647"/>
      <c r="C7" s="2802"/>
      <c r="D7" s="2803"/>
      <c r="E7" s="2803"/>
      <c r="F7" s="2803"/>
      <c r="G7" s="2803"/>
      <c r="H7" s="2803"/>
      <c r="I7" s="2803"/>
      <c r="J7" s="2803"/>
      <c r="K7" s="2804"/>
      <c r="L7" s="1290"/>
    </row>
    <row r="8" spans="1:12" ht="16.5" customHeight="1">
      <c r="A8" s="1648"/>
      <c r="B8" s="1649">
        <v>1</v>
      </c>
      <c r="C8" s="2805" t="s">
        <v>318</v>
      </c>
      <c r="D8" s="2806"/>
      <c r="E8" s="2806"/>
      <c r="F8" s="2806"/>
      <c r="G8" s="2806"/>
      <c r="H8" s="2806"/>
      <c r="I8" s="2806"/>
      <c r="J8" s="2806"/>
      <c r="K8" s="2807"/>
      <c r="L8" s="1290"/>
    </row>
    <row r="9" spans="1:12" ht="35.85" customHeight="1">
      <c r="A9" s="1650"/>
      <c r="B9" s="1651"/>
      <c r="C9" s="2781" t="s">
        <v>2452</v>
      </c>
      <c r="D9" s="2722"/>
      <c r="E9" s="2722"/>
      <c r="F9" s="2722"/>
      <c r="G9" s="2722"/>
      <c r="H9" s="2722"/>
      <c r="I9" s="2722"/>
      <c r="J9" s="2722"/>
      <c r="K9" s="2723"/>
      <c r="L9" s="1290"/>
    </row>
    <row r="10" spans="1:12" ht="14.1" hidden="1" customHeight="1">
      <c r="A10" s="1652"/>
      <c r="B10" s="1653"/>
      <c r="C10" s="2721"/>
      <c r="D10" s="2722"/>
      <c r="E10" s="2722"/>
      <c r="F10" s="2722"/>
      <c r="G10" s="2722"/>
      <c r="H10" s="2722"/>
      <c r="I10" s="2722"/>
      <c r="J10" s="2722"/>
      <c r="K10" s="2723"/>
      <c r="L10" s="1290"/>
    </row>
    <row r="11" spans="1:12" ht="14.1" customHeight="1">
      <c r="A11" s="1652"/>
      <c r="B11" s="1653"/>
      <c r="C11" s="1654" t="s">
        <v>319</v>
      </c>
      <c r="D11" s="1655"/>
      <c r="E11" s="1655"/>
      <c r="F11" s="1655"/>
      <c r="G11" s="1655"/>
      <c r="H11" s="1655"/>
      <c r="I11" s="1655"/>
      <c r="J11" s="1655"/>
      <c r="K11" s="1656"/>
      <c r="L11" s="1290"/>
    </row>
    <row r="12" spans="1:12" ht="55.5" customHeight="1">
      <c r="A12" s="1652"/>
      <c r="B12" s="1653"/>
      <c r="C12" s="2755" t="s">
        <v>3179</v>
      </c>
      <c r="D12" s="2756"/>
      <c r="E12" s="2756"/>
      <c r="F12" s="2756"/>
      <c r="G12" s="2756"/>
      <c r="H12" s="2756"/>
      <c r="I12" s="2756"/>
      <c r="J12" s="2756"/>
      <c r="K12" s="2757"/>
      <c r="L12" s="1290"/>
    </row>
    <row r="13" spans="1:12" ht="14.25" customHeight="1">
      <c r="A13" s="1652"/>
      <c r="B13" s="1653"/>
      <c r="C13" s="2721"/>
      <c r="D13" s="2722"/>
      <c r="E13" s="2722"/>
      <c r="F13" s="2722"/>
      <c r="G13" s="2722"/>
      <c r="H13" s="2722"/>
      <c r="I13" s="2722"/>
      <c r="J13" s="2722"/>
      <c r="K13" s="2723"/>
      <c r="L13" s="1290"/>
    </row>
    <row r="14" spans="1:12" ht="50.25" hidden="1" customHeight="1">
      <c r="A14" s="1652"/>
      <c r="B14" s="1653"/>
      <c r="C14" s="2791" t="s">
        <v>320</v>
      </c>
      <c r="D14" s="2792"/>
      <c r="E14" s="2792"/>
      <c r="F14" s="2792"/>
      <c r="G14" s="2792"/>
      <c r="H14" s="2792"/>
      <c r="I14" s="2792"/>
      <c r="J14" s="2792"/>
      <c r="K14" s="2793"/>
      <c r="L14" s="1290"/>
    </row>
    <row r="15" spans="1:12" s="709" customFormat="1" ht="41.25" customHeight="1">
      <c r="A15" s="1657"/>
      <c r="B15" s="1658"/>
      <c r="C15" s="2746" t="s">
        <v>321</v>
      </c>
      <c r="D15" s="2747"/>
      <c r="E15" s="2747"/>
      <c r="F15" s="2747"/>
      <c r="G15" s="2747"/>
      <c r="H15" s="2747"/>
      <c r="I15" s="2747"/>
      <c r="J15" s="2747"/>
      <c r="K15" s="2748"/>
      <c r="L15" s="1659"/>
    </row>
    <row r="16" spans="1:12" s="709" customFormat="1" ht="41.25" customHeight="1">
      <c r="A16" s="1657"/>
      <c r="B16" s="1658"/>
      <c r="C16" s="2808" t="s">
        <v>2170</v>
      </c>
      <c r="D16" s="2809"/>
      <c r="E16" s="2809"/>
      <c r="F16" s="2809"/>
      <c r="G16" s="2809"/>
      <c r="H16" s="2809"/>
      <c r="I16" s="2809"/>
      <c r="J16" s="2809"/>
      <c r="K16" s="2810"/>
      <c r="L16" s="1659"/>
    </row>
    <row r="17" spans="1:12" ht="18" customHeight="1">
      <c r="A17" s="1660"/>
      <c r="B17" s="1653"/>
      <c r="C17" s="2721"/>
      <c r="D17" s="2722"/>
      <c r="E17" s="2722"/>
      <c r="F17" s="2722"/>
      <c r="G17" s="2722"/>
      <c r="H17" s="2722"/>
      <c r="I17" s="2722"/>
      <c r="J17" s="2722"/>
      <c r="K17" s="2723"/>
      <c r="L17" s="1290"/>
    </row>
    <row r="18" spans="1:12" ht="16.5" customHeight="1">
      <c r="A18" s="1660" t="s">
        <v>322</v>
      </c>
      <c r="B18" s="1661">
        <v>2</v>
      </c>
      <c r="C18" s="2731" t="s">
        <v>323</v>
      </c>
      <c r="D18" s="2732"/>
      <c r="E18" s="2732"/>
      <c r="F18" s="2732"/>
      <c r="G18" s="2732"/>
      <c r="H18" s="2732"/>
      <c r="I18" s="2732"/>
      <c r="J18" s="2732"/>
      <c r="K18" s="2733"/>
      <c r="L18" s="1290"/>
    </row>
    <row r="19" spans="1:12" ht="43.5" hidden="1" customHeight="1">
      <c r="A19" s="1662" t="s">
        <v>311</v>
      </c>
      <c r="B19" s="1663"/>
      <c r="C19" s="1664" t="s">
        <v>324</v>
      </c>
      <c r="D19" s="1665"/>
      <c r="E19" s="1665"/>
      <c r="F19" s="1665"/>
      <c r="G19" s="1665"/>
      <c r="H19" s="1665"/>
      <c r="I19" s="1665"/>
      <c r="J19" s="1665"/>
      <c r="K19" s="1666"/>
      <c r="L19" s="1290"/>
    </row>
    <row r="20" spans="1:12" ht="158.25" hidden="1" customHeight="1">
      <c r="A20" s="1667" t="s">
        <v>311</v>
      </c>
      <c r="B20" s="1668"/>
      <c r="C20" s="1669" t="s">
        <v>3174</v>
      </c>
      <c r="D20" s="1665"/>
      <c r="E20" s="1665"/>
      <c r="F20" s="1665"/>
      <c r="G20" s="1665"/>
      <c r="H20" s="1665"/>
      <c r="I20" s="1665"/>
      <c r="J20" s="1665"/>
      <c r="K20" s="1666"/>
      <c r="L20" s="1290"/>
    </row>
    <row r="21" spans="1:12">
      <c r="A21" s="1660"/>
      <c r="B21" s="1670">
        <v>2.1</v>
      </c>
      <c r="C21" s="2731" t="s">
        <v>325</v>
      </c>
      <c r="D21" s="2732"/>
      <c r="E21" s="2732"/>
      <c r="F21" s="2732"/>
      <c r="G21" s="2732"/>
      <c r="H21" s="2732"/>
      <c r="I21" s="2732"/>
      <c r="J21" s="2732"/>
      <c r="K21" s="2733"/>
      <c r="L21" s="1290"/>
    </row>
    <row r="22" spans="1:12">
      <c r="A22" s="1660"/>
      <c r="B22" s="1670"/>
      <c r="C22" s="2721"/>
      <c r="D22" s="2722"/>
      <c r="E22" s="2722"/>
      <c r="F22" s="2722"/>
      <c r="G22" s="2722"/>
      <c r="H22" s="2722"/>
      <c r="I22" s="2722"/>
      <c r="J22" s="2722"/>
      <c r="K22" s="2723"/>
      <c r="L22" s="1290"/>
    </row>
    <row r="23" spans="1:12" ht="98.85" customHeight="1">
      <c r="A23" s="1660"/>
      <c r="B23" s="1670"/>
      <c r="C23" s="2721" t="s">
        <v>1206</v>
      </c>
      <c r="D23" s="2722"/>
      <c r="E23" s="2722"/>
      <c r="F23" s="2722"/>
      <c r="G23" s="2722"/>
      <c r="H23" s="2722"/>
      <c r="I23" s="2722"/>
      <c r="J23" s="2722"/>
      <c r="K23" s="2723"/>
      <c r="L23" s="1290"/>
    </row>
    <row r="24" spans="1:12">
      <c r="A24" s="1660"/>
      <c r="B24" s="1670"/>
      <c r="C24" s="2721"/>
      <c r="D24" s="2722"/>
      <c r="E24" s="2722"/>
      <c r="F24" s="2722"/>
      <c r="G24" s="2722"/>
      <c r="H24" s="2722"/>
      <c r="I24" s="2722"/>
      <c r="J24" s="2722"/>
      <c r="K24" s="2723"/>
      <c r="L24" s="1290"/>
    </row>
    <row r="25" spans="1:12">
      <c r="A25" s="1660"/>
      <c r="B25" s="1671">
        <f>B21+0.1</f>
        <v>2.2000000000000002</v>
      </c>
      <c r="C25" s="2775" t="s">
        <v>326</v>
      </c>
      <c r="D25" s="2776"/>
      <c r="E25" s="2776"/>
      <c r="F25" s="2776"/>
      <c r="G25" s="2776"/>
      <c r="H25" s="2776"/>
      <c r="I25" s="2776"/>
      <c r="J25" s="2776"/>
      <c r="K25" s="2777"/>
      <c r="L25" s="1290"/>
    </row>
    <row r="26" spans="1:12" ht="8.85" customHeight="1">
      <c r="A26" s="1660"/>
      <c r="B26" s="1670"/>
      <c r="C26" s="2721"/>
      <c r="D26" s="2722"/>
      <c r="E26" s="2722"/>
      <c r="F26" s="2722"/>
      <c r="G26" s="2722"/>
      <c r="H26" s="2722"/>
      <c r="I26" s="2722"/>
      <c r="J26" s="2722"/>
      <c r="K26" s="2723"/>
      <c r="L26" s="1290"/>
    </row>
    <row r="27" spans="1:12" ht="82.5" customHeight="1">
      <c r="A27" s="1660"/>
      <c r="B27" s="1670"/>
      <c r="C27" s="2721" t="s">
        <v>1207</v>
      </c>
      <c r="D27" s="2722"/>
      <c r="E27" s="2722"/>
      <c r="F27" s="2722"/>
      <c r="G27" s="2722"/>
      <c r="H27" s="2722"/>
      <c r="I27" s="2722"/>
      <c r="J27" s="2722"/>
      <c r="K27" s="2723"/>
      <c r="L27" s="1290"/>
    </row>
    <row r="28" spans="1:12">
      <c r="A28" s="1660"/>
      <c r="B28" s="1670"/>
      <c r="C28" s="2721"/>
      <c r="D28" s="2722"/>
      <c r="E28" s="2722"/>
      <c r="F28" s="2722"/>
      <c r="G28" s="2722"/>
      <c r="H28" s="2722"/>
      <c r="I28" s="2722"/>
      <c r="J28" s="2722"/>
      <c r="K28" s="2723"/>
      <c r="L28" s="1290"/>
    </row>
    <row r="29" spans="1:12" ht="17.850000000000001" customHeight="1">
      <c r="A29" s="1660" t="s">
        <v>327</v>
      </c>
      <c r="B29" s="1670">
        <f>B25+0.1</f>
        <v>2.3000000000000003</v>
      </c>
      <c r="C29" s="2785" t="s">
        <v>328</v>
      </c>
      <c r="D29" s="2786"/>
      <c r="E29" s="2786"/>
      <c r="F29" s="2786"/>
      <c r="G29" s="2786"/>
      <c r="H29" s="2786"/>
      <c r="I29" s="2786"/>
      <c r="J29" s="2786"/>
      <c r="K29" s="2787"/>
      <c r="L29" s="1290"/>
    </row>
    <row r="30" spans="1:12">
      <c r="A30" s="1660"/>
      <c r="B30" s="1670"/>
      <c r="C30" s="2788"/>
      <c r="D30" s="2789"/>
      <c r="E30" s="2789"/>
      <c r="F30" s="2789"/>
      <c r="G30" s="2789"/>
      <c r="H30" s="2789"/>
      <c r="I30" s="2789"/>
      <c r="J30" s="2789"/>
      <c r="K30" s="2790"/>
      <c r="L30" s="1290"/>
    </row>
    <row r="31" spans="1:12" ht="54.75" customHeight="1">
      <c r="A31" s="1660"/>
      <c r="B31" s="1670"/>
      <c r="C31" s="2791" t="s">
        <v>1209</v>
      </c>
      <c r="D31" s="2792"/>
      <c r="E31" s="2792"/>
      <c r="F31" s="2792"/>
      <c r="G31" s="2792"/>
      <c r="H31" s="2792"/>
      <c r="I31" s="2792"/>
      <c r="J31" s="2792"/>
      <c r="K31" s="2793"/>
      <c r="L31" s="1290"/>
    </row>
    <row r="32" spans="1:12" ht="16.8" hidden="1" thickBot="1">
      <c r="A32" s="1672"/>
      <c r="B32" s="1673"/>
      <c r="C32" s="1674"/>
      <c r="D32" s="1665"/>
      <c r="E32" s="1665"/>
      <c r="F32" s="1665"/>
      <c r="G32" s="1665"/>
      <c r="H32" s="1665"/>
      <c r="I32" s="1665"/>
      <c r="J32" s="1665"/>
      <c r="K32" s="1666"/>
      <c r="L32" s="1290"/>
    </row>
    <row r="33" spans="1:12" hidden="1">
      <c r="A33" s="1675"/>
      <c r="B33" s="1676"/>
      <c r="C33" s="1655"/>
      <c r="D33" s="1665"/>
      <c r="E33" s="1665"/>
      <c r="F33" s="1665"/>
      <c r="G33" s="1665"/>
      <c r="H33" s="1665"/>
      <c r="I33" s="1665"/>
      <c r="J33" s="1665"/>
      <c r="K33" s="1666"/>
      <c r="L33" s="1290"/>
    </row>
    <row r="34" spans="1:12" ht="15" hidden="1" customHeight="1">
      <c r="A34" s="2727" t="str">
        <f>$A$2</f>
        <v>M/s. Sathiapal Engineers (India) Private Limited
(Formerly known as M/S Sathiapal Engineers (India) Limited)</v>
      </c>
      <c r="B34" s="2728"/>
      <c r="C34" s="2728"/>
      <c r="D34" s="1665"/>
      <c r="E34" s="1665"/>
      <c r="F34" s="1665"/>
      <c r="G34" s="1665"/>
      <c r="H34" s="1665"/>
      <c r="I34" s="1665"/>
      <c r="J34" s="1665"/>
      <c r="K34" s="1666"/>
      <c r="L34" s="1290"/>
    </row>
    <row r="35" spans="1:12" ht="15" hidden="1" customHeight="1">
      <c r="A35" s="2727" t="str">
        <f>$A$3</f>
        <v>New No. 57, Old No. 3, Canal Road, Kilpauk Garden Colony, Kilpauk, Chennai 600 010.</v>
      </c>
      <c r="B35" s="2728"/>
      <c r="C35" s="2728"/>
      <c r="D35" s="1665"/>
      <c r="E35" s="1665"/>
      <c r="F35" s="1665"/>
      <c r="G35" s="1665"/>
      <c r="H35" s="1665"/>
      <c r="I35" s="1665"/>
      <c r="J35" s="1665"/>
      <c r="K35" s="1666"/>
      <c r="L35" s="1290"/>
    </row>
    <row r="36" spans="1:12" hidden="1">
      <c r="A36" s="2727" t="str">
        <f>$A$4</f>
        <v>Notes forming part of the financial statements</v>
      </c>
      <c r="B36" s="2728" t="s">
        <v>316</v>
      </c>
      <c r="C36" s="2728"/>
      <c r="D36" s="1665"/>
      <c r="E36" s="1665"/>
      <c r="F36" s="1665"/>
      <c r="G36" s="1665"/>
      <c r="H36" s="1665"/>
      <c r="I36" s="1665"/>
      <c r="J36" s="1665"/>
      <c r="K36" s="1666"/>
      <c r="L36" s="1290"/>
    </row>
    <row r="37" spans="1:12" hidden="1">
      <c r="A37" s="1675"/>
      <c r="B37" s="1677"/>
      <c r="C37" s="1655"/>
      <c r="D37" s="1665"/>
      <c r="E37" s="1665"/>
      <c r="F37" s="1665"/>
      <c r="G37" s="1665"/>
      <c r="H37" s="1665"/>
      <c r="I37" s="1665"/>
      <c r="J37" s="1665"/>
      <c r="K37" s="1666"/>
      <c r="L37" s="1290"/>
    </row>
    <row r="38" spans="1:12" ht="194.4" hidden="1">
      <c r="A38" s="1675"/>
      <c r="B38" s="1677" t="s">
        <v>329</v>
      </c>
      <c r="C38" s="1655"/>
      <c r="D38" s="1665"/>
      <c r="E38" s="1665"/>
      <c r="F38" s="1665"/>
      <c r="G38" s="1665"/>
      <c r="H38" s="1665"/>
      <c r="I38" s="1665"/>
      <c r="J38" s="1665"/>
      <c r="K38" s="1666"/>
      <c r="L38" s="1290"/>
    </row>
    <row r="39" spans="1:12" hidden="1">
      <c r="A39" s="1675"/>
      <c r="B39" s="1678"/>
      <c r="C39" s="1655"/>
      <c r="D39" s="1665"/>
      <c r="E39" s="1665"/>
      <c r="F39" s="1665"/>
      <c r="G39" s="1665"/>
      <c r="H39" s="1665"/>
      <c r="I39" s="1665"/>
      <c r="J39" s="1665"/>
      <c r="K39" s="1666"/>
      <c r="L39" s="1290"/>
    </row>
    <row r="40" spans="1:12" ht="32.4" hidden="1">
      <c r="A40" s="2729" t="s">
        <v>317</v>
      </c>
      <c r="B40" s="1679" t="s">
        <v>309</v>
      </c>
      <c r="C40" s="1680" t="s">
        <v>1</v>
      </c>
      <c r="D40" s="1665"/>
      <c r="E40" s="1665"/>
      <c r="F40" s="1665"/>
      <c r="G40" s="1665"/>
      <c r="H40" s="1665"/>
      <c r="I40" s="1665"/>
      <c r="J40" s="1665"/>
      <c r="K40" s="1666"/>
      <c r="L40" s="1290"/>
    </row>
    <row r="41" spans="1:12" hidden="1">
      <c r="A41" s="2730"/>
      <c r="B41" s="1681"/>
      <c r="C41" s="1682"/>
      <c r="D41" s="1665"/>
      <c r="E41" s="1665"/>
      <c r="F41" s="1665"/>
      <c r="G41" s="1665"/>
      <c r="H41" s="1665"/>
      <c r="I41" s="1665"/>
      <c r="J41" s="1665"/>
      <c r="K41" s="1666"/>
      <c r="L41" s="1290"/>
    </row>
    <row r="42" spans="1:12">
      <c r="A42" s="1652"/>
      <c r="B42" s="1683"/>
      <c r="C42" s="1655"/>
      <c r="D42" s="1665"/>
      <c r="E42" s="1665"/>
      <c r="F42" s="1665"/>
      <c r="G42" s="1665"/>
      <c r="H42" s="1665"/>
      <c r="I42" s="1665"/>
      <c r="J42" s="1665"/>
      <c r="K42" s="1666"/>
      <c r="L42" s="1290"/>
    </row>
    <row r="43" spans="1:12">
      <c r="A43" s="1660"/>
      <c r="B43" s="1671">
        <f>B29+0.1</f>
        <v>2.4000000000000004</v>
      </c>
      <c r="C43" s="2731" t="s">
        <v>330</v>
      </c>
      <c r="D43" s="2732"/>
      <c r="E43" s="2732"/>
      <c r="F43" s="2732"/>
      <c r="G43" s="2732"/>
      <c r="H43" s="2732"/>
      <c r="I43" s="2732"/>
      <c r="J43" s="2732"/>
      <c r="K43" s="2733"/>
      <c r="L43" s="1290"/>
    </row>
    <row r="44" spans="1:12">
      <c r="A44" s="1660"/>
      <c r="B44" s="1670"/>
      <c r="C44" s="2721"/>
      <c r="D44" s="2722"/>
      <c r="E44" s="2722"/>
      <c r="F44" s="2722"/>
      <c r="G44" s="2722"/>
      <c r="H44" s="2722"/>
      <c r="I44" s="2722"/>
      <c r="J44" s="2722"/>
      <c r="K44" s="2723"/>
      <c r="L44" s="1290"/>
    </row>
    <row r="45" spans="1:12" ht="59.1" customHeight="1">
      <c r="A45" s="1660" t="s">
        <v>331</v>
      </c>
      <c r="B45" s="1670"/>
      <c r="C45" s="2721" t="s">
        <v>548</v>
      </c>
      <c r="D45" s="2722"/>
      <c r="E45" s="2722"/>
      <c r="F45" s="2722"/>
      <c r="G45" s="2722"/>
      <c r="H45" s="2722"/>
      <c r="I45" s="2722"/>
      <c r="J45" s="2722"/>
      <c r="K45" s="2723"/>
      <c r="L45" s="1290"/>
    </row>
    <row r="46" spans="1:12">
      <c r="A46" s="1660"/>
      <c r="B46" s="1670"/>
      <c r="C46" s="2721"/>
      <c r="D46" s="2722"/>
      <c r="E46" s="2722"/>
      <c r="F46" s="2722"/>
      <c r="G46" s="2722"/>
      <c r="H46" s="2722"/>
      <c r="I46" s="2722"/>
      <c r="J46" s="2722"/>
      <c r="K46" s="2723"/>
      <c r="L46" s="1290"/>
    </row>
    <row r="47" spans="1:12">
      <c r="A47" s="1660"/>
      <c r="B47" s="1670">
        <f>B43+0.1</f>
        <v>2.5000000000000004</v>
      </c>
      <c r="C47" s="2731" t="s">
        <v>332</v>
      </c>
      <c r="D47" s="2732"/>
      <c r="E47" s="2732"/>
      <c r="F47" s="2732"/>
      <c r="G47" s="2732"/>
      <c r="H47" s="2732"/>
      <c r="I47" s="2732"/>
      <c r="J47" s="2732"/>
      <c r="K47" s="2733"/>
      <c r="L47" s="1290"/>
    </row>
    <row r="48" spans="1:12">
      <c r="A48" s="1660"/>
      <c r="B48" s="1670"/>
      <c r="C48" s="2721"/>
      <c r="D48" s="2722"/>
      <c r="E48" s="2722"/>
      <c r="F48" s="2722"/>
      <c r="G48" s="2722"/>
      <c r="H48" s="2722"/>
      <c r="I48" s="2722"/>
      <c r="J48" s="2722"/>
      <c r="K48" s="2723"/>
      <c r="L48" s="1290"/>
    </row>
    <row r="49" spans="1:12" ht="18.75" customHeight="1">
      <c r="A49" s="1660"/>
      <c r="B49" s="1670"/>
      <c r="C49" s="2721" t="s">
        <v>333</v>
      </c>
      <c r="D49" s="2722"/>
      <c r="E49" s="2722"/>
      <c r="F49" s="2722"/>
      <c r="G49" s="2722"/>
      <c r="H49" s="2722"/>
      <c r="I49" s="2722"/>
      <c r="J49" s="2722"/>
      <c r="K49" s="2723"/>
      <c r="L49" s="1290"/>
    </row>
    <row r="50" spans="1:12">
      <c r="A50" s="1660"/>
      <c r="B50" s="1670"/>
      <c r="C50" s="2721"/>
      <c r="D50" s="2722"/>
      <c r="E50" s="2722"/>
      <c r="F50" s="2722"/>
      <c r="G50" s="2722"/>
      <c r="H50" s="2722"/>
      <c r="I50" s="2722"/>
      <c r="J50" s="2722"/>
      <c r="K50" s="2723"/>
      <c r="L50" s="1290"/>
    </row>
    <row r="51" spans="1:12">
      <c r="A51" s="1660"/>
      <c r="B51" s="1670">
        <f>B47+0.1</f>
        <v>2.6000000000000005</v>
      </c>
      <c r="C51" s="2731" t="s">
        <v>39</v>
      </c>
      <c r="D51" s="2732"/>
      <c r="E51" s="2732"/>
      <c r="F51" s="2732"/>
      <c r="G51" s="2732"/>
      <c r="H51" s="2732"/>
      <c r="I51" s="2732"/>
      <c r="J51" s="2732"/>
      <c r="K51" s="2733"/>
      <c r="L51" s="1290"/>
    </row>
    <row r="52" spans="1:12">
      <c r="A52" s="1660"/>
      <c r="B52" s="1670"/>
      <c r="C52" s="2721"/>
      <c r="D52" s="2722"/>
      <c r="E52" s="2722"/>
      <c r="F52" s="2722"/>
      <c r="G52" s="2722"/>
      <c r="H52" s="2722"/>
      <c r="I52" s="2722"/>
      <c r="J52" s="2722"/>
      <c r="K52" s="2723"/>
      <c r="L52" s="1290"/>
    </row>
    <row r="53" spans="1:12" ht="39.6" customHeight="1">
      <c r="A53" s="1660"/>
      <c r="B53" s="1670"/>
      <c r="C53" s="2721" t="s">
        <v>334</v>
      </c>
      <c r="D53" s="2722"/>
      <c r="E53" s="2722"/>
      <c r="F53" s="2722"/>
      <c r="G53" s="2722"/>
      <c r="H53" s="2722"/>
      <c r="I53" s="2722"/>
      <c r="J53" s="2722"/>
      <c r="K53" s="2723"/>
      <c r="L53" s="1290"/>
    </row>
    <row r="54" spans="1:12">
      <c r="A54" s="1660"/>
      <c r="B54" s="1670"/>
      <c r="C54" s="2721"/>
      <c r="D54" s="2722"/>
      <c r="E54" s="2722"/>
      <c r="F54" s="2722"/>
      <c r="G54" s="2722"/>
      <c r="H54" s="2722"/>
      <c r="I54" s="2722"/>
      <c r="J54" s="2722"/>
      <c r="K54" s="2723"/>
      <c r="L54" s="1290"/>
    </row>
    <row r="55" spans="1:12">
      <c r="A55" s="1660"/>
      <c r="B55" s="1670">
        <f>B51+0.1</f>
        <v>2.7000000000000006</v>
      </c>
      <c r="C55" s="2731" t="s">
        <v>312</v>
      </c>
      <c r="D55" s="2732"/>
      <c r="E55" s="2732"/>
      <c r="F55" s="2732"/>
      <c r="G55" s="2732"/>
      <c r="H55" s="2732"/>
      <c r="I55" s="2732"/>
      <c r="J55" s="2732"/>
      <c r="K55" s="2733"/>
      <c r="L55" s="1290"/>
    </row>
    <row r="56" spans="1:12">
      <c r="A56" s="1660"/>
      <c r="B56" s="1670"/>
      <c r="C56" s="2721"/>
      <c r="D56" s="2722"/>
      <c r="E56" s="2722"/>
      <c r="F56" s="2722"/>
      <c r="G56" s="2722"/>
      <c r="H56" s="2722"/>
      <c r="I56" s="2722"/>
      <c r="J56" s="2722"/>
      <c r="K56" s="2723"/>
      <c r="L56" s="1290"/>
    </row>
    <row r="57" spans="1:12" ht="57.6" customHeight="1">
      <c r="A57" s="2738" t="s">
        <v>335</v>
      </c>
      <c r="B57" s="1670"/>
      <c r="C57" s="2781" t="s">
        <v>1357</v>
      </c>
      <c r="D57" s="2722"/>
      <c r="E57" s="2722"/>
      <c r="F57" s="2722"/>
      <c r="G57" s="2722"/>
      <c r="H57" s="2722"/>
      <c r="I57" s="2722"/>
      <c r="J57" s="2722"/>
      <c r="K57" s="2723"/>
      <c r="L57" s="1290"/>
    </row>
    <row r="58" spans="1:12" ht="21.75" customHeight="1" thickBot="1">
      <c r="A58" s="2738"/>
      <c r="B58" s="1673"/>
      <c r="C58" s="2782" t="s">
        <v>336</v>
      </c>
      <c r="D58" s="2783"/>
      <c r="E58" s="2783"/>
      <c r="F58" s="2783"/>
      <c r="G58" s="2783"/>
      <c r="H58" s="2783"/>
      <c r="I58" s="2783"/>
      <c r="J58" s="2783"/>
      <c r="K58" s="2784"/>
      <c r="L58" s="1290"/>
    </row>
    <row r="59" spans="1:12" ht="21.6" hidden="1" customHeight="1">
      <c r="A59" s="2738"/>
      <c r="B59" s="1670"/>
      <c r="C59" s="2721" t="s">
        <v>337</v>
      </c>
      <c r="D59" s="2722"/>
      <c r="E59" s="2722"/>
      <c r="F59" s="2722"/>
      <c r="G59" s="2722"/>
      <c r="H59" s="2722"/>
      <c r="I59" s="2722"/>
      <c r="J59" s="2722"/>
      <c r="K59" s="2723"/>
      <c r="L59" s="1290"/>
    </row>
    <row r="60" spans="1:12" hidden="1">
      <c r="A60" s="2738"/>
      <c r="B60" s="1670"/>
      <c r="C60" s="1656"/>
      <c r="D60" s="1665"/>
      <c r="E60" s="1665"/>
      <c r="F60" s="1665"/>
      <c r="G60" s="1665"/>
      <c r="H60" s="1665"/>
      <c r="I60" s="1665"/>
      <c r="J60" s="1665"/>
      <c r="K60" s="1666"/>
      <c r="L60" s="1290"/>
    </row>
    <row r="61" spans="1:12" hidden="1">
      <c r="A61" s="2738"/>
      <c r="B61" s="1670"/>
      <c r="C61" s="1656"/>
      <c r="D61" s="1665"/>
      <c r="E61" s="1665"/>
      <c r="F61" s="1665"/>
      <c r="G61" s="1665"/>
      <c r="H61" s="1665"/>
      <c r="I61" s="1665"/>
      <c r="J61" s="1665"/>
      <c r="K61" s="1666"/>
      <c r="L61" s="1290"/>
    </row>
    <row r="62" spans="1:12" hidden="1">
      <c r="A62" s="2738"/>
      <c r="B62" s="1670"/>
      <c r="C62" s="1656"/>
      <c r="D62" s="1665"/>
      <c r="E62" s="1665"/>
      <c r="F62" s="1665"/>
      <c r="G62" s="1665"/>
      <c r="H62" s="1665"/>
      <c r="I62" s="1665"/>
      <c r="J62" s="1665"/>
      <c r="K62" s="1666"/>
      <c r="L62" s="1290"/>
    </row>
    <row r="63" spans="1:12" hidden="1">
      <c r="A63" s="2738"/>
      <c r="B63" s="1670"/>
      <c r="C63" s="1656"/>
      <c r="D63" s="1665"/>
      <c r="E63" s="1665"/>
      <c r="F63" s="1665"/>
      <c r="G63" s="1665"/>
      <c r="H63" s="1665"/>
      <c r="I63" s="1665"/>
      <c r="J63" s="1665"/>
      <c r="K63" s="1666"/>
      <c r="L63" s="1290"/>
    </row>
    <row r="64" spans="1:12" hidden="1">
      <c r="A64" s="2738"/>
      <c r="B64" s="1670"/>
      <c r="C64" s="1656"/>
      <c r="D64" s="1665"/>
      <c r="E64" s="1665"/>
      <c r="F64" s="1665"/>
      <c r="G64" s="1665"/>
      <c r="H64" s="1665"/>
      <c r="I64" s="1665"/>
      <c r="J64" s="1665"/>
      <c r="K64" s="1666"/>
      <c r="L64" s="1290"/>
    </row>
    <row r="65" spans="1:12" hidden="1">
      <c r="A65" s="2738"/>
      <c r="B65" s="1670"/>
      <c r="C65" s="1656"/>
      <c r="D65" s="1665"/>
      <c r="E65" s="1665"/>
      <c r="F65" s="1665"/>
      <c r="G65" s="1665"/>
      <c r="H65" s="1665"/>
      <c r="I65" s="1665"/>
      <c r="J65" s="1665"/>
      <c r="K65" s="1666"/>
      <c r="L65" s="1290"/>
    </row>
    <row r="66" spans="1:12" hidden="1">
      <c r="A66" s="2738"/>
      <c r="B66" s="1670"/>
      <c r="C66" s="1656"/>
      <c r="D66" s="1665"/>
      <c r="E66" s="1665"/>
      <c r="F66" s="1665"/>
      <c r="G66" s="1665"/>
      <c r="H66" s="1665"/>
      <c r="I66" s="1665"/>
      <c r="J66" s="1665"/>
      <c r="K66" s="1666"/>
      <c r="L66" s="1290"/>
    </row>
    <row r="67" spans="1:12" hidden="1">
      <c r="A67" s="2738"/>
      <c r="B67" s="1670"/>
      <c r="C67" s="1656"/>
      <c r="D67" s="1665"/>
      <c r="E67" s="1665"/>
      <c r="F67" s="1665"/>
      <c r="G67" s="1665"/>
      <c r="H67" s="1665"/>
      <c r="I67" s="1665"/>
      <c r="J67" s="1665"/>
      <c r="K67" s="1666"/>
      <c r="L67" s="1290"/>
    </row>
    <row r="68" spans="1:12" hidden="1">
      <c r="A68" s="1660"/>
      <c r="B68" s="1670"/>
      <c r="C68" s="1656"/>
      <c r="D68" s="1665"/>
      <c r="E68" s="1665"/>
      <c r="F68" s="1665"/>
      <c r="G68" s="1665"/>
      <c r="H68" s="1665"/>
      <c r="I68" s="1665"/>
      <c r="J68" s="1665"/>
      <c r="K68" s="1666"/>
      <c r="L68" s="1290"/>
    </row>
    <row r="69" spans="1:12" hidden="1">
      <c r="A69" s="1660"/>
      <c r="B69" s="1670"/>
      <c r="C69" s="2721"/>
      <c r="D69" s="2722"/>
      <c r="E69" s="2722"/>
      <c r="F69" s="2722"/>
      <c r="G69" s="2722"/>
      <c r="H69" s="2722"/>
      <c r="I69" s="2722"/>
      <c r="J69" s="2722"/>
      <c r="K69" s="2723"/>
      <c r="L69" s="1290"/>
    </row>
    <row r="70" spans="1:12" hidden="1">
      <c r="A70" s="1660"/>
      <c r="B70" s="1671">
        <f>B55+0.1</f>
        <v>2.8000000000000007</v>
      </c>
      <c r="C70" s="2731" t="s">
        <v>338</v>
      </c>
      <c r="D70" s="2732"/>
      <c r="E70" s="2732"/>
      <c r="F70" s="2732"/>
      <c r="G70" s="2732"/>
      <c r="H70" s="2732"/>
      <c r="I70" s="2732"/>
      <c r="J70" s="2732"/>
      <c r="K70" s="2733"/>
      <c r="L70" s="1290"/>
    </row>
    <row r="71" spans="1:12" hidden="1">
      <c r="A71" s="1660"/>
      <c r="B71" s="1670"/>
      <c r="C71" s="2721"/>
      <c r="D71" s="2722"/>
      <c r="E71" s="2722"/>
      <c r="F71" s="2722"/>
      <c r="G71" s="2722"/>
      <c r="H71" s="2722"/>
      <c r="I71" s="2722"/>
      <c r="J71" s="2722"/>
      <c r="K71" s="2723"/>
      <c r="L71" s="1290"/>
    </row>
    <row r="72" spans="1:12" ht="32.25" hidden="1" customHeight="1">
      <c r="A72" s="1660"/>
      <c r="B72" s="1670"/>
      <c r="C72" s="2764" t="s">
        <v>339</v>
      </c>
      <c r="D72" s="2765"/>
      <c r="E72" s="2765"/>
      <c r="F72" s="2765"/>
      <c r="G72" s="2765"/>
      <c r="H72" s="2765"/>
      <c r="I72" s="2765"/>
      <c r="J72" s="2765"/>
      <c r="K72" s="2766"/>
      <c r="L72" s="1290"/>
    </row>
    <row r="73" spans="1:12" ht="16.8" thickBot="1">
      <c r="A73" s="1675"/>
      <c r="B73" s="1684"/>
      <c r="C73" s="2725"/>
      <c r="D73" s="2725"/>
      <c r="E73" s="2725"/>
      <c r="F73" s="2725"/>
      <c r="G73" s="2725"/>
      <c r="H73" s="2725"/>
      <c r="I73" s="2725"/>
      <c r="J73" s="2725"/>
      <c r="K73" s="2725"/>
      <c r="L73" s="1290"/>
    </row>
    <row r="74" spans="1:12">
      <c r="A74" s="1660"/>
      <c r="B74" s="1685">
        <f>B55+0.1</f>
        <v>2.8000000000000007</v>
      </c>
      <c r="C74" s="2778" t="s">
        <v>340</v>
      </c>
      <c r="D74" s="2779"/>
      <c r="E74" s="2779"/>
      <c r="F74" s="2779"/>
      <c r="G74" s="2779"/>
      <c r="H74" s="2779"/>
      <c r="I74" s="2779"/>
      <c r="J74" s="2779"/>
      <c r="K74" s="2780"/>
      <c r="L74" s="1290"/>
    </row>
    <row r="75" spans="1:12">
      <c r="A75" s="1660"/>
      <c r="B75" s="1671"/>
      <c r="C75" s="2721"/>
      <c r="D75" s="2722"/>
      <c r="E75" s="2722"/>
      <c r="F75" s="2722"/>
      <c r="G75" s="2722"/>
      <c r="H75" s="2722"/>
      <c r="I75" s="2722"/>
      <c r="J75" s="2722"/>
      <c r="K75" s="2723"/>
      <c r="L75" s="1290"/>
    </row>
    <row r="76" spans="1:12" ht="51" hidden="1" customHeight="1">
      <c r="A76" s="1660"/>
      <c r="B76" s="1670"/>
      <c r="C76" s="2721" t="s">
        <v>341</v>
      </c>
      <c r="D76" s="2722"/>
      <c r="E76" s="2722"/>
      <c r="F76" s="2722"/>
      <c r="G76" s="2722"/>
      <c r="H76" s="2722"/>
      <c r="I76" s="2722"/>
      <c r="J76" s="2722"/>
      <c r="K76" s="2723"/>
      <c r="L76" s="1290"/>
    </row>
    <row r="77" spans="1:12" ht="26.85" hidden="1" customHeight="1">
      <c r="A77" s="1660"/>
      <c r="B77" s="1670"/>
      <c r="C77" s="2746" t="s">
        <v>342</v>
      </c>
      <c r="D77" s="2747"/>
      <c r="E77" s="2747"/>
      <c r="F77" s="2747"/>
      <c r="G77" s="2747"/>
      <c r="H77" s="2747"/>
      <c r="I77" s="2747"/>
      <c r="J77" s="2747"/>
      <c r="K77" s="2748"/>
      <c r="L77" s="1290"/>
    </row>
    <row r="78" spans="1:12" ht="36" customHeight="1">
      <c r="A78" s="1660"/>
      <c r="B78" s="1670"/>
      <c r="C78" s="2755" t="s">
        <v>343</v>
      </c>
      <c r="D78" s="2756"/>
      <c r="E78" s="2756"/>
      <c r="F78" s="2756"/>
      <c r="G78" s="2756"/>
      <c r="H78" s="2756"/>
      <c r="I78" s="2756"/>
      <c r="J78" s="2756"/>
      <c r="K78" s="2757"/>
      <c r="L78" s="1290"/>
    </row>
    <row r="79" spans="1:12" ht="21.6" hidden="1" customHeight="1">
      <c r="A79" s="1660"/>
      <c r="B79" s="1670"/>
      <c r="C79" s="2758" t="s">
        <v>344</v>
      </c>
      <c r="D79" s="2759"/>
      <c r="E79" s="2759"/>
      <c r="F79" s="2759"/>
      <c r="G79" s="2759"/>
      <c r="H79" s="2759"/>
      <c r="I79" s="2759"/>
      <c r="J79" s="2759"/>
      <c r="K79" s="2760"/>
      <c r="L79" s="1290"/>
    </row>
    <row r="80" spans="1:12" ht="26.85" hidden="1" customHeight="1">
      <c r="A80" s="1660"/>
      <c r="B80" s="1670"/>
      <c r="C80" s="2761" t="s">
        <v>345</v>
      </c>
      <c r="D80" s="2762"/>
      <c r="E80" s="2762"/>
      <c r="F80" s="2762"/>
      <c r="G80" s="2762"/>
      <c r="H80" s="2762"/>
      <c r="I80" s="2762"/>
      <c r="J80" s="2762"/>
      <c r="K80" s="2763"/>
      <c r="L80" s="1290"/>
    </row>
    <row r="81" spans="1:12" ht="18.75" hidden="1" customHeight="1">
      <c r="A81" s="1660"/>
      <c r="B81" s="1670"/>
      <c r="C81" s="2764" t="s">
        <v>346</v>
      </c>
      <c r="D81" s="2765"/>
      <c r="E81" s="2765"/>
      <c r="F81" s="2765"/>
      <c r="G81" s="2765"/>
      <c r="H81" s="2765"/>
      <c r="I81" s="2765"/>
      <c r="J81" s="2765"/>
      <c r="K81" s="2766"/>
      <c r="L81" s="1290"/>
    </row>
    <row r="82" spans="1:12" hidden="1">
      <c r="A82" s="1660"/>
      <c r="B82" s="1670"/>
      <c r="C82" s="2764" t="s">
        <v>344</v>
      </c>
      <c r="D82" s="2765"/>
      <c r="E82" s="2765"/>
      <c r="F82" s="2765"/>
      <c r="G82" s="2765"/>
      <c r="H82" s="2765"/>
      <c r="I82" s="2765"/>
      <c r="J82" s="2765"/>
      <c r="K82" s="2766"/>
      <c r="L82" s="1290"/>
    </row>
    <row r="83" spans="1:12" ht="55.35" hidden="1" customHeight="1">
      <c r="A83" s="1686" t="s">
        <v>347</v>
      </c>
      <c r="B83" s="1670"/>
      <c r="C83" s="2764" t="s">
        <v>345</v>
      </c>
      <c r="D83" s="2765"/>
      <c r="E83" s="2765"/>
      <c r="F83" s="2765"/>
      <c r="G83" s="2765"/>
      <c r="H83" s="2765"/>
      <c r="I83" s="2765"/>
      <c r="J83" s="2765"/>
      <c r="K83" s="2766"/>
      <c r="L83" s="1290"/>
    </row>
    <row r="84" spans="1:12">
      <c r="A84" s="1686"/>
      <c r="B84" s="1670"/>
      <c r="C84" s="2721"/>
      <c r="D84" s="2722"/>
      <c r="E84" s="2722"/>
      <c r="F84" s="2722"/>
      <c r="G84" s="2722"/>
      <c r="H84" s="2722"/>
      <c r="I84" s="2722"/>
      <c r="J84" s="2722"/>
      <c r="K84" s="2723"/>
      <c r="L84" s="1290"/>
    </row>
    <row r="85" spans="1:12">
      <c r="A85" s="2738" t="s">
        <v>348</v>
      </c>
      <c r="B85" s="1670"/>
      <c r="C85" s="2775" t="s">
        <v>349</v>
      </c>
      <c r="D85" s="2776"/>
      <c r="E85" s="2776"/>
      <c r="F85" s="2776"/>
      <c r="G85" s="2776"/>
      <c r="H85" s="2776"/>
      <c r="I85" s="2776"/>
      <c r="J85" s="2776"/>
      <c r="K85" s="2777"/>
      <c r="L85" s="1290"/>
    </row>
    <row r="86" spans="1:12" ht="35.85" customHeight="1" thickBot="1">
      <c r="A86" s="2774"/>
      <c r="B86" s="1670"/>
      <c r="C86" s="2721" t="s">
        <v>350</v>
      </c>
      <c r="D86" s="2722"/>
      <c r="E86" s="2722"/>
      <c r="F86" s="2722"/>
      <c r="G86" s="2722"/>
      <c r="H86" s="2722"/>
      <c r="I86" s="2722"/>
      <c r="J86" s="2722"/>
      <c r="K86" s="2723"/>
      <c r="L86" s="1290"/>
    </row>
    <row r="87" spans="1:12" ht="18" hidden="1" customHeight="1">
      <c r="A87" s="1686"/>
      <c r="B87" s="1670"/>
      <c r="C87" s="2767" t="s">
        <v>351</v>
      </c>
      <c r="D87" s="2768"/>
      <c r="E87" s="2768"/>
      <c r="F87" s="2768"/>
      <c r="G87" s="2768"/>
      <c r="H87" s="2768"/>
      <c r="I87" s="2768"/>
      <c r="J87" s="2768"/>
      <c r="K87" s="2769"/>
      <c r="L87" s="1290"/>
    </row>
    <row r="88" spans="1:12" ht="9.75" hidden="1" customHeight="1">
      <c r="A88" s="1686"/>
      <c r="B88" s="1670"/>
      <c r="C88" s="1687"/>
      <c r="D88" s="1688"/>
      <c r="E88" s="1688"/>
      <c r="F88" s="1688"/>
      <c r="G88" s="1688"/>
      <c r="H88" s="1688"/>
      <c r="I88" s="1688"/>
      <c r="J88" s="1688"/>
      <c r="K88" s="1689"/>
      <c r="L88" s="1290"/>
    </row>
    <row r="89" spans="1:12" ht="20.25" hidden="1" customHeight="1">
      <c r="A89" s="1686"/>
      <c r="B89" s="1670"/>
      <c r="C89" s="2770" t="s">
        <v>352</v>
      </c>
      <c r="D89" s="2771"/>
      <c r="E89" s="2771"/>
      <c r="F89" s="2771"/>
      <c r="G89" s="2771"/>
      <c r="H89" s="2771"/>
      <c r="I89" s="2771"/>
      <c r="J89" s="2771"/>
      <c r="K89" s="2772"/>
      <c r="L89" s="1290"/>
    </row>
    <row r="90" spans="1:12" hidden="1">
      <c r="A90" s="1686"/>
      <c r="B90" s="1670"/>
      <c r="C90" s="2721"/>
      <c r="D90" s="2722"/>
      <c r="E90" s="2722"/>
      <c r="F90" s="2722"/>
      <c r="G90" s="2722"/>
      <c r="H90" s="2722"/>
      <c r="I90" s="2722"/>
      <c r="J90" s="2722"/>
      <c r="K90" s="2723"/>
      <c r="L90" s="1290"/>
    </row>
    <row r="91" spans="1:12" hidden="1">
      <c r="A91" s="1690"/>
      <c r="B91" s="1676"/>
      <c r="C91" s="1655"/>
      <c r="D91" s="1665"/>
      <c r="E91" s="1665"/>
      <c r="F91" s="1665"/>
      <c r="G91" s="1665"/>
      <c r="H91" s="1665"/>
      <c r="I91" s="1665"/>
      <c r="J91" s="1665"/>
      <c r="K91" s="1666"/>
      <c r="L91" s="1290"/>
    </row>
    <row r="92" spans="1:12" hidden="1">
      <c r="A92" s="2727" t="str">
        <f>$A$2</f>
        <v>M/s. Sathiapal Engineers (India) Private Limited
(Formerly known as M/S Sathiapal Engineers (India) Limited)</v>
      </c>
      <c r="B92" s="2728"/>
      <c r="C92" s="2728"/>
      <c r="D92" s="1665"/>
      <c r="E92" s="1665"/>
      <c r="F92" s="1665"/>
      <c r="G92" s="1665"/>
      <c r="H92" s="1665"/>
      <c r="I92" s="1665"/>
      <c r="J92" s="1665"/>
      <c r="K92" s="1666"/>
      <c r="L92" s="1290"/>
    </row>
    <row r="93" spans="1:12" hidden="1">
      <c r="A93" s="2727" t="str">
        <f>$A$3</f>
        <v>New No. 57, Old No. 3, Canal Road, Kilpauk Garden Colony, Kilpauk, Chennai 600 010.</v>
      </c>
      <c r="B93" s="2728"/>
      <c r="C93" s="2728"/>
      <c r="D93" s="1665"/>
      <c r="E93" s="1665"/>
      <c r="F93" s="1665"/>
      <c r="G93" s="1665"/>
      <c r="H93" s="1665"/>
      <c r="I93" s="1665"/>
      <c r="J93" s="1665"/>
      <c r="K93" s="1666"/>
      <c r="L93" s="1290"/>
    </row>
    <row r="94" spans="1:12" hidden="1">
      <c r="A94" s="2727" t="str">
        <f>$A$4</f>
        <v>Notes forming part of the financial statements</v>
      </c>
      <c r="B94" s="2728" t="s">
        <v>316</v>
      </c>
      <c r="C94" s="2728"/>
      <c r="D94" s="1665"/>
      <c r="E94" s="1665"/>
      <c r="F94" s="1665"/>
      <c r="G94" s="1665"/>
      <c r="H94" s="1665"/>
      <c r="I94" s="1665"/>
      <c r="J94" s="1665"/>
      <c r="K94" s="1666"/>
      <c r="L94" s="1290"/>
    </row>
    <row r="95" spans="1:12" hidden="1">
      <c r="A95" s="1675"/>
      <c r="B95" s="1677"/>
      <c r="C95" s="1655"/>
      <c r="D95" s="1665"/>
      <c r="E95" s="1665"/>
      <c r="F95" s="1665"/>
      <c r="G95" s="1665"/>
      <c r="H95" s="1665"/>
      <c r="I95" s="1665"/>
      <c r="J95" s="1665"/>
      <c r="K95" s="1666"/>
      <c r="L95" s="1290"/>
    </row>
    <row r="96" spans="1:12" ht="194.4" hidden="1">
      <c r="A96" s="1675"/>
      <c r="B96" s="1677" t="s">
        <v>329</v>
      </c>
      <c r="C96" s="1655"/>
      <c r="D96" s="1665"/>
      <c r="E96" s="1665"/>
      <c r="F96" s="1665"/>
      <c r="G96" s="1665"/>
      <c r="H96" s="1665"/>
      <c r="I96" s="1665"/>
      <c r="J96" s="1665"/>
      <c r="K96" s="1666"/>
      <c r="L96" s="1290"/>
    </row>
    <row r="97" spans="1:12" hidden="1">
      <c r="A97" s="1675"/>
      <c r="B97" s="1678"/>
      <c r="C97" s="1655"/>
      <c r="D97" s="1665"/>
      <c r="E97" s="1665"/>
      <c r="F97" s="1665"/>
      <c r="G97" s="1665"/>
      <c r="H97" s="1665"/>
      <c r="I97" s="1665"/>
      <c r="J97" s="1665"/>
      <c r="K97" s="1666"/>
      <c r="L97" s="1290"/>
    </row>
    <row r="98" spans="1:12" ht="32.4" hidden="1">
      <c r="A98" s="2729" t="s">
        <v>317</v>
      </c>
      <c r="B98" s="1679" t="s">
        <v>309</v>
      </c>
      <c r="C98" s="1680" t="s">
        <v>1</v>
      </c>
      <c r="D98" s="1665"/>
      <c r="E98" s="1665"/>
      <c r="F98" s="1665"/>
      <c r="G98" s="1665"/>
      <c r="H98" s="1665"/>
      <c r="I98" s="1665"/>
      <c r="J98" s="1665"/>
      <c r="K98" s="1666"/>
      <c r="L98" s="1290"/>
    </row>
    <row r="99" spans="1:12" ht="0.75" customHeight="1">
      <c r="A99" s="2773"/>
      <c r="B99" s="1691"/>
      <c r="C99" s="1656"/>
      <c r="D99" s="1665"/>
      <c r="E99" s="1665"/>
      <c r="F99" s="1665"/>
      <c r="G99" s="1665"/>
      <c r="H99" s="1665"/>
      <c r="I99" s="1665"/>
      <c r="J99" s="1665"/>
      <c r="K99" s="1666"/>
      <c r="L99" s="1290"/>
    </row>
    <row r="100" spans="1:12" ht="16.8" thickBot="1">
      <c r="A100" s="1692"/>
      <c r="B100" s="1691"/>
      <c r="C100" s="1655"/>
      <c r="D100" s="1665"/>
      <c r="E100" s="1665"/>
      <c r="F100" s="1665"/>
      <c r="G100" s="1665"/>
      <c r="H100" s="1665"/>
      <c r="I100" s="1665"/>
      <c r="J100" s="1665"/>
      <c r="K100" s="1666"/>
      <c r="L100" s="1290"/>
    </row>
    <row r="101" spans="1:12" s="710" customFormat="1">
      <c r="A101" s="1693" t="s">
        <v>353</v>
      </c>
      <c r="B101" s="1694">
        <f>B74+0.1</f>
        <v>2.9000000000000008</v>
      </c>
      <c r="C101" s="2731" t="s">
        <v>354</v>
      </c>
      <c r="D101" s="2732"/>
      <c r="E101" s="2732"/>
      <c r="F101" s="2732"/>
      <c r="G101" s="2732"/>
      <c r="H101" s="2732"/>
      <c r="I101" s="2732"/>
      <c r="J101" s="2732"/>
      <c r="K101" s="2733"/>
      <c r="L101" s="1695"/>
    </row>
    <row r="102" spans="1:12" s="710" customFormat="1">
      <c r="A102" s="1692"/>
      <c r="B102" s="1694"/>
      <c r="C102" s="2721"/>
      <c r="D102" s="2722"/>
      <c r="E102" s="2722"/>
      <c r="F102" s="2722"/>
      <c r="G102" s="2722"/>
      <c r="H102" s="2722"/>
      <c r="I102" s="2722"/>
      <c r="J102" s="2722"/>
      <c r="K102" s="2723"/>
      <c r="L102" s="1695"/>
    </row>
    <row r="103" spans="1:12" ht="20.25" customHeight="1">
      <c r="A103" s="1675"/>
      <c r="B103" s="1694"/>
      <c r="C103" s="2721" t="s">
        <v>355</v>
      </c>
      <c r="D103" s="2722"/>
      <c r="E103" s="2722"/>
      <c r="F103" s="2722"/>
      <c r="G103" s="2722"/>
      <c r="H103" s="2722"/>
      <c r="I103" s="2722"/>
      <c r="J103" s="2722"/>
      <c r="K103" s="2723"/>
      <c r="L103" s="1290"/>
    </row>
    <row r="104" spans="1:12" ht="28.35" customHeight="1" thickBot="1">
      <c r="A104" s="1672"/>
      <c r="B104" s="1670"/>
      <c r="C104" s="2721" t="s">
        <v>356</v>
      </c>
      <c r="D104" s="2722"/>
      <c r="E104" s="2722"/>
      <c r="F104" s="2722"/>
      <c r="G104" s="2722"/>
      <c r="H104" s="2722"/>
      <c r="I104" s="2722"/>
      <c r="J104" s="2722"/>
      <c r="K104" s="2723"/>
      <c r="L104" s="1290"/>
    </row>
    <row r="105" spans="1:12" ht="16.8" hidden="1" thickBot="1">
      <c r="A105" s="1660"/>
      <c r="B105" s="1670"/>
      <c r="C105" s="2721"/>
      <c r="D105" s="2722"/>
      <c r="E105" s="2722"/>
      <c r="F105" s="2722"/>
      <c r="G105" s="2722"/>
      <c r="H105" s="2722"/>
      <c r="I105" s="2722"/>
      <c r="J105" s="2722"/>
      <c r="K105" s="2723"/>
      <c r="L105" s="1290"/>
    </row>
    <row r="106" spans="1:12" ht="49.2" hidden="1" thickBot="1">
      <c r="A106" s="1660"/>
      <c r="B106" s="1671">
        <f>B101+0.1</f>
        <v>3.0000000000000009</v>
      </c>
      <c r="C106" s="1696" t="s">
        <v>357</v>
      </c>
      <c r="D106" s="1665"/>
      <c r="E106" s="1665"/>
      <c r="F106" s="1665"/>
      <c r="G106" s="1665"/>
      <c r="H106" s="1665"/>
      <c r="I106" s="1665"/>
      <c r="J106" s="1665"/>
      <c r="K106" s="1666"/>
      <c r="L106" s="1290"/>
    </row>
    <row r="107" spans="1:12" ht="16.8" hidden="1" thickBot="1">
      <c r="A107" s="1660"/>
      <c r="B107" s="1670"/>
      <c r="C107" s="1696"/>
      <c r="D107" s="1665"/>
      <c r="E107" s="1665"/>
      <c r="F107" s="1665"/>
      <c r="G107" s="1665"/>
      <c r="H107" s="1665"/>
      <c r="I107" s="1665"/>
      <c r="J107" s="1665"/>
      <c r="K107" s="1666"/>
      <c r="L107" s="1290"/>
    </row>
    <row r="108" spans="1:12" ht="177.6" hidden="1" customHeight="1">
      <c r="A108" s="1686" t="s">
        <v>358</v>
      </c>
      <c r="B108" s="1670"/>
      <c r="C108" s="1656" t="s">
        <v>359</v>
      </c>
      <c r="D108" s="1665"/>
      <c r="E108" s="1665"/>
      <c r="F108" s="1665"/>
      <c r="G108" s="1665"/>
      <c r="H108" s="1665"/>
      <c r="I108" s="1665"/>
      <c r="J108" s="1665"/>
      <c r="K108" s="1666"/>
      <c r="L108" s="1290"/>
    </row>
    <row r="109" spans="1:12" ht="16.8" hidden="1" thickBot="1">
      <c r="A109" s="1686"/>
      <c r="B109" s="1670"/>
      <c r="C109" s="1656"/>
      <c r="D109" s="1665"/>
      <c r="E109" s="1665"/>
      <c r="F109" s="1665"/>
      <c r="G109" s="1665"/>
      <c r="H109" s="1665"/>
      <c r="I109" s="1665"/>
      <c r="J109" s="1665"/>
      <c r="K109" s="1666"/>
      <c r="L109" s="1290"/>
    </row>
    <row r="110" spans="1:12" ht="71.099999999999994" hidden="1" customHeight="1">
      <c r="A110" s="1686" t="s">
        <v>360</v>
      </c>
      <c r="B110" s="1670"/>
      <c r="C110" s="1656" t="s">
        <v>361</v>
      </c>
      <c r="D110" s="1665"/>
      <c r="E110" s="1665"/>
      <c r="F110" s="1665"/>
      <c r="G110" s="1665"/>
      <c r="H110" s="1665"/>
      <c r="I110" s="1665"/>
      <c r="J110" s="1665"/>
      <c r="K110" s="1666"/>
      <c r="L110" s="1290"/>
    </row>
    <row r="111" spans="1:12" ht="16.8" hidden="1" thickBot="1">
      <c r="A111" s="1686"/>
      <c r="B111" s="1670"/>
      <c r="C111" s="1656"/>
      <c r="D111" s="1665"/>
      <c r="E111" s="1665"/>
      <c r="F111" s="1665"/>
      <c r="G111" s="1665"/>
      <c r="H111" s="1665"/>
      <c r="I111" s="1665"/>
      <c r="J111" s="1665"/>
      <c r="K111" s="1666"/>
      <c r="L111" s="1290"/>
    </row>
    <row r="112" spans="1:12" ht="126" hidden="1" customHeight="1">
      <c r="A112" s="1686" t="s">
        <v>362</v>
      </c>
      <c r="B112" s="1670"/>
      <c r="C112" s="1656" t="s">
        <v>363</v>
      </c>
      <c r="D112" s="1665"/>
      <c r="E112" s="1665"/>
      <c r="F112" s="1665"/>
      <c r="G112" s="1665"/>
      <c r="H112" s="1665"/>
      <c r="I112" s="1665"/>
      <c r="J112" s="1665"/>
      <c r="K112" s="1666"/>
      <c r="L112" s="1290"/>
    </row>
    <row r="113" spans="1:12" ht="16.8" hidden="1" thickBot="1">
      <c r="A113" s="1686"/>
      <c r="B113" s="1670"/>
      <c r="C113" s="1656"/>
      <c r="D113" s="1665"/>
      <c r="E113" s="1665"/>
      <c r="F113" s="1665"/>
      <c r="G113" s="1665"/>
      <c r="H113" s="1665"/>
      <c r="I113" s="1665"/>
      <c r="J113" s="1665"/>
      <c r="K113" s="1666"/>
      <c r="L113" s="1290"/>
    </row>
    <row r="114" spans="1:12" ht="409.6" hidden="1" thickBot="1">
      <c r="A114" s="1686" t="s">
        <v>364</v>
      </c>
      <c r="B114" s="1670"/>
      <c r="C114" s="1656" t="s">
        <v>365</v>
      </c>
      <c r="D114" s="1665"/>
      <c r="E114" s="1665"/>
      <c r="F114" s="1665"/>
      <c r="G114" s="1665"/>
      <c r="H114" s="1665"/>
      <c r="I114" s="1665"/>
      <c r="J114" s="1665"/>
      <c r="K114" s="1666"/>
      <c r="L114" s="1290"/>
    </row>
    <row r="115" spans="1:12" ht="16.8" hidden="1" thickBot="1">
      <c r="A115" s="1686"/>
      <c r="B115" s="1670"/>
      <c r="C115" s="1656"/>
      <c r="D115" s="1665"/>
      <c r="E115" s="1665"/>
      <c r="F115" s="1665"/>
      <c r="G115" s="1665"/>
      <c r="H115" s="1665"/>
      <c r="I115" s="1665"/>
      <c r="J115" s="1665"/>
      <c r="K115" s="1666"/>
      <c r="L115" s="1290"/>
    </row>
    <row r="116" spans="1:12" ht="65.400000000000006" hidden="1" thickBot="1">
      <c r="A116" s="1660"/>
      <c r="B116" s="1670"/>
      <c r="C116" s="1697" t="s">
        <v>366</v>
      </c>
      <c r="D116" s="1665"/>
      <c r="E116" s="1665"/>
      <c r="F116" s="1665"/>
      <c r="G116" s="1665"/>
      <c r="H116" s="1665"/>
      <c r="I116" s="1665"/>
      <c r="J116" s="1665"/>
      <c r="K116" s="1666"/>
      <c r="L116" s="1290"/>
    </row>
    <row r="117" spans="1:12" ht="409.6" hidden="1" thickBot="1">
      <c r="A117" s="1660"/>
      <c r="B117" s="1670"/>
      <c r="C117" s="1656" t="s">
        <v>367</v>
      </c>
      <c r="D117" s="1665"/>
      <c r="E117" s="1665"/>
      <c r="F117" s="1665"/>
      <c r="G117" s="1665"/>
      <c r="H117" s="1665"/>
      <c r="I117" s="1665"/>
      <c r="J117" s="1665"/>
      <c r="K117" s="1666"/>
      <c r="L117" s="1290"/>
    </row>
    <row r="118" spans="1:12" ht="16.8" hidden="1" thickBot="1">
      <c r="A118" s="1672"/>
      <c r="B118" s="1673"/>
      <c r="C118" s="1674"/>
      <c r="D118" s="1665"/>
      <c r="E118" s="1665"/>
      <c r="F118" s="1665"/>
      <c r="G118" s="1665"/>
      <c r="H118" s="1665"/>
      <c r="I118" s="1665"/>
      <c r="J118" s="1665"/>
      <c r="K118" s="1666"/>
      <c r="L118" s="1290"/>
    </row>
    <row r="119" spans="1:12" ht="16.8" hidden="1" thickBot="1">
      <c r="A119" s="1675"/>
      <c r="B119" s="1676"/>
      <c r="C119" s="1655"/>
      <c r="D119" s="1665"/>
      <c r="E119" s="1665"/>
      <c r="F119" s="1665"/>
      <c r="G119" s="1665"/>
      <c r="H119" s="1665"/>
      <c r="I119" s="1665"/>
      <c r="J119" s="1665"/>
      <c r="K119" s="1666"/>
      <c r="L119" s="1290"/>
    </row>
    <row r="120" spans="1:12" ht="16.8" hidden="1" thickBot="1">
      <c r="A120" s="2727" t="str">
        <f>$A$2</f>
        <v>M/s. Sathiapal Engineers (India) Private Limited
(Formerly known as M/S Sathiapal Engineers (India) Limited)</v>
      </c>
      <c r="B120" s="2728"/>
      <c r="C120" s="2728"/>
      <c r="D120" s="1665"/>
      <c r="E120" s="1665"/>
      <c r="F120" s="1665"/>
      <c r="G120" s="1665"/>
      <c r="H120" s="1665"/>
      <c r="I120" s="1665"/>
      <c r="J120" s="1665"/>
      <c r="K120" s="1666"/>
      <c r="L120" s="1290"/>
    </row>
    <row r="121" spans="1:12" ht="16.8" hidden="1" thickBot="1">
      <c r="A121" s="2727" t="str">
        <f>$A$3</f>
        <v>New No. 57, Old No. 3, Canal Road, Kilpauk Garden Colony, Kilpauk, Chennai 600 010.</v>
      </c>
      <c r="B121" s="2728"/>
      <c r="C121" s="2728"/>
      <c r="D121" s="1665"/>
      <c r="E121" s="1665"/>
      <c r="F121" s="1665"/>
      <c r="G121" s="1665"/>
      <c r="H121" s="1665"/>
      <c r="I121" s="1665"/>
      <c r="J121" s="1665"/>
      <c r="K121" s="1666"/>
      <c r="L121" s="1290"/>
    </row>
    <row r="122" spans="1:12" ht="16.8" hidden="1" thickBot="1">
      <c r="A122" s="2727" t="str">
        <f>$A$4</f>
        <v>Notes forming part of the financial statements</v>
      </c>
      <c r="B122" s="2728" t="s">
        <v>316</v>
      </c>
      <c r="C122" s="2728"/>
      <c r="D122" s="1665"/>
      <c r="E122" s="1665"/>
      <c r="F122" s="1665"/>
      <c r="G122" s="1665"/>
      <c r="H122" s="1665"/>
      <c r="I122" s="1665"/>
      <c r="J122" s="1665"/>
      <c r="K122" s="1666"/>
      <c r="L122" s="1290"/>
    </row>
    <row r="123" spans="1:12" ht="16.8" hidden="1" thickBot="1">
      <c r="A123" s="1675"/>
      <c r="B123" s="1677"/>
      <c r="C123" s="1655"/>
      <c r="D123" s="1665"/>
      <c r="E123" s="1665"/>
      <c r="F123" s="1665"/>
      <c r="G123" s="1665"/>
      <c r="H123" s="1665"/>
      <c r="I123" s="1665"/>
      <c r="J123" s="1665"/>
      <c r="K123" s="1666"/>
      <c r="L123" s="1290"/>
    </row>
    <row r="124" spans="1:12" ht="195" hidden="1" thickBot="1">
      <c r="A124" s="1675"/>
      <c r="B124" s="1677" t="s">
        <v>329</v>
      </c>
      <c r="C124" s="1655"/>
      <c r="D124" s="1665"/>
      <c r="E124" s="1665"/>
      <c r="F124" s="1665"/>
      <c r="G124" s="1665"/>
      <c r="H124" s="1665"/>
      <c r="I124" s="1665"/>
      <c r="J124" s="1665"/>
      <c r="K124" s="1666"/>
      <c r="L124" s="1290"/>
    </row>
    <row r="125" spans="1:12" ht="16.8" hidden="1" thickBot="1">
      <c r="A125" s="1675"/>
      <c r="B125" s="1678"/>
      <c r="C125" s="1655"/>
      <c r="D125" s="1665"/>
      <c r="E125" s="1665"/>
      <c r="F125" s="1665"/>
      <c r="G125" s="1665"/>
      <c r="H125" s="1665"/>
      <c r="I125" s="1665"/>
      <c r="J125" s="1665"/>
      <c r="K125" s="1666"/>
      <c r="L125" s="1290"/>
    </row>
    <row r="126" spans="1:12" ht="33" hidden="1" thickBot="1">
      <c r="A126" s="2729" t="s">
        <v>317</v>
      </c>
      <c r="B126" s="1679" t="s">
        <v>309</v>
      </c>
      <c r="C126" s="1680" t="s">
        <v>1</v>
      </c>
      <c r="D126" s="1665"/>
      <c r="E126" s="1665"/>
      <c r="F126" s="1665"/>
      <c r="G126" s="1665"/>
      <c r="H126" s="1665"/>
      <c r="I126" s="1665"/>
      <c r="J126" s="1665"/>
      <c r="K126" s="1666"/>
      <c r="L126" s="1290"/>
    </row>
    <row r="127" spans="1:12" ht="16.8" hidden="1" thickBot="1">
      <c r="A127" s="2730"/>
      <c r="B127" s="1681"/>
      <c r="C127" s="1682"/>
      <c r="D127" s="1665"/>
      <c r="E127" s="1665"/>
      <c r="F127" s="1665"/>
      <c r="G127" s="1665"/>
      <c r="H127" s="1665"/>
      <c r="I127" s="1665"/>
      <c r="J127" s="1665"/>
      <c r="K127" s="1666"/>
      <c r="L127" s="1290"/>
    </row>
    <row r="128" spans="1:12" ht="49.2" hidden="1" thickBot="1">
      <c r="A128" s="1660"/>
      <c r="B128" s="1698">
        <v>2.1</v>
      </c>
      <c r="C128" s="1696" t="s">
        <v>368</v>
      </c>
      <c r="D128" s="1665"/>
      <c r="E128" s="1665"/>
      <c r="F128" s="1665"/>
      <c r="G128" s="1665"/>
      <c r="H128" s="1665"/>
      <c r="I128" s="1665"/>
      <c r="J128" s="1665"/>
      <c r="K128" s="1666"/>
      <c r="L128" s="1290"/>
    </row>
    <row r="129" spans="1:13" ht="16.8" hidden="1" thickBot="1">
      <c r="A129" s="1660"/>
      <c r="B129" s="1670"/>
      <c r="C129" s="1696"/>
      <c r="D129" s="1665"/>
      <c r="E129" s="1665"/>
      <c r="F129" s="1665"/>
      <c r="G129" s="1665"/>
      <c r="H129" s="1665"/>
      <c r="I129" s="1665"/>
      <c r="J129" s="1665"/>
      <c r="K129" s="1666"/>
      <c r="L129" s="1290"/>
    </row>
    <row r="130" spans="1:13" ht="151.35" hidden="1" customHeight="1">
      <c r="A130" s="1686" t="s">
        <v>369</v>
      </c>
      <c r="B130" s="1670"/>
      <c r="C130" s="1656" t="s">
        <v>370</v>
      </c>
      <c r="D130" s="1665"/>
      <c r="E130" s="1665"/>
      <c r="F130" s="1665"/>
      <c r="G130" s="1665"/>
      <c r="H130" s="1665"/>
      <c r="I130" s="1665"/>
      <c r="J130" s="1665"/>
      <c r="K130" s="1666"/>
      <c r="L130" s="1290"/>
    </row>
    <row r="131" spans="1:13" ht="16.5" hidden="1" customHeight="1">
      <c r="A131" s="1699"/>
      <c r="B131" s="1639"/>
      <c r="C131" s="1700"/>
      <c r="D131" s="1290"/>
      <c r="E131" s="1290"/>
      <c r="F131" s="1290"/>
      <c r="G131" s="1290"/>
      <c r="H131" s="1290"/>
      <c r="I131" s="1290"/>
      <c r="J131" s="1290"/>
      <c r="K131" s="1342"/>
      <c r="L131" s="1290"/>
    </row>
    <row r="132" spans="1:13" ht="30.75" hidden="1" customHeight="1">
      <c r="A132" s="1699"/>
      <c r="B132" s="1639"/>
      <c r="C132" s="1700"/>
      <c r="D132" s="1290"/>
      <c r="E132" s="1290"/>
      <c r="F132" s="1290"/>
      <c r="G132" s="1290"/>
      <c r="H132" s="1290"/>
      <c r="I132" s="1290"/>
      <c r="J132" s="1290"/>
      <c r="K132" s="1342"/>
      <c r="L132" s="1290"/>
    </row>
    <row r="133" spans="1:13" ht="16.5" hidden="1" customHeight="1">
      <c r="A133" s="1699"/>
      <c r="B133" s="1639"/>
      <c r="C133" s="1700"/>
      <c r="D133" s="1290"/>
      <c r="E133" s="1290"/>
      <c r="F133" s="1290"/>
      <c r="G133" s="1290"/>
      <c r="H133" s="1290"/>
      <c r="I133" s="1290"/>
      <c r="J133" s="1290"/>
      <c r="K133" s="1342"/>
      <c r="L133" s="1290"/>
    </row>
    <row r="134" spans="1:13" ht="16.5" hidden="1" customHeight="1">
      <c r="A134" s="1699"/>
      <c r="B134" s="1639"/>
      <c r="C134" s="1700"/>
      <c r="D134" s="1290"/>
      <c r="E134" s="1290"/>
      <c r="F134" s="1290"/>
      <c r="G134" s="1290"/>
      <c r="H134" s="1290"/>
      <c r="I134" s="1290"/>
      <c r="J134" s="1290"/>
      <c r="K134" s="1342"/>
      <c r="L134" s="1290"/>
    </row>
    <row r="135" spans="1:13" ht="59.1" hidden="1" customHeight="1">
      <c r="A135" s="1699"/>
      <c r="B135" s="1639"/>
      <c r="C135" s="1700"/>
      <c r="D135" s="1290"/>
      <c r="E135" s="1290"/>
      <c r="F135" s="1290"/>
      <c r="G135" s="1290"/>
      <c r="H135" s="1290"/>
      <c r="I135" s="1290"/>
      <c r="J135" s="1290"/>
      <c r="K135" s="1342"/>
      <c r="L135" s="1290"/>
    </row>
    <row r="136" spans="1:13" ht="36.75" hidden="1" customHeight="1">
      <c r="A136" s="1699"/>
      <c r="B136" s="1639"/>
      <c r="C136" s="1700"/>
      <c r="D136" s="1290"/>
      <c r="E136" s="1290"/>
      <c r="F136" s="1290"/>
      <c r="G136" s="1290"/>
      <c r="H136" s="1290"/>
      <c r="I136" s="1290"/>
      <c r="J136" s="1290"/>
      <c r="K136" s="1342"/>
      <c r="L136" s="1290"/>
    </row>
    <row r="137" spans="1:13" ht="36.75" hidden="1" customHeight="1">
      <c r="A137" s="1699"/>
      <c r="B137" s="1639"/>
      <c r="C137" s="1700"/>
      <c r="D137" s="1290"/>
      <c r="E137" s="1290"/>
      <c r="F137" s="1290"/>
      <c r="G137" s="1290"/>
      <c r="H137" s="1290"/>
      <c r="I137" s="1290"/>
      <c r="J137" s="1290"/>
      <c r="K137" s="1342"/>
      <c r="L137" s="1290"/>
    </row>
    <row r="138" spans="1:13" ht="36.75" hidden="1" customHeight="1">
      <c r="A138" s="1699"/>
      <c r="B138" s="1639"/>
      <c r="C138" s="1700"/>
      <c r="D138" s="1290"/>
      <c r="E138" s="1290"/>
      <c r="F138" s="1290"/>
      <c r="G138" s="1290"/>
      <c r="H138" s="1290"/>
      <c r="I138" s="1290"/>
      <c r="J138" s="1290"/>
      <c r="K138" s="1342"/>
      <c r="L138" s="1290"/>
    </row>
    <row r="139" spans="1:13" ht="36.75" hidden="1" customHeight="1">
      <c r="A139" s="1699"/>
      <c r="B139" s="1639"/>
      <c r="C139" s="1700"/>
      <c r="D139" s="1290"/>
      <c r="E139" s="1290"/>
      <c r="F139" s="1290"/>
      <c r="G139" s="1290"/>
      <c r="H139" s="1290"/>
      <c r="I139" s="1290"/>
      <c r="J139" s="1290"/>
      <c r="K139" s="1342"/>
      <c r="L139" s="1290"/>
    </row>
    <row r="140" spans="1:13" ht="16.5" hidden="1" customHeight="1">
      <c r="A140" s="1699"/>
      <c r="B140" s="1639"/>
      <c r="C140" s="1700"/>
      <c r="D140" s="1290"/>
      <c r="E140" s="1290"/>
      <c r="F140" s="1290"/>
      <c r="G140" s="1290"/>
      <c r="H140" s="1290"/>
      <c r="I140" s="1290"/>
      <c r="J140" s="1290"/>
      <c r="K140" s="1342"/>
      <c r="L140" s="1290"/>
    </row>
    <row r="141" spans="1:13" ht="16.5" hidden="1" customHeight="1">
      <c r="A141" s="1699"/>
      <c r="B141" s="1639"/>
      <c r="C141" s="1700"/>
      <c r="D141" s="1290"/>
      <c r="E141" s="1290"/>
      <c r="F141" s="1290"/>
      <c r="G141" s="1290"/>
      <c r="H141" s="1290"/>
      <c r="I141" s="1290"/>
      <c r="J141" s="1290"/>
      <c r="K141" s="1342"/>
      <c r="L141" s="1701"/>
      <c r="M141" s="713"/>
    </row>
    <row r="142" spans="1:13" ht="16.5" hidden="1" customHeight="1">
      <c r="A142" s="1699"/>
      <c r="B142" s="1639"/>
      <c r="C142" s="1700"/>
      <c r="D142" s="1290"/>
      <c r="E142" s="1290"/>
      <c r="F142" s="1290"/>
      <c r="G142" s="1290"/>
      <c r="H142" s="1290"/>
      <c r="I142" s="1290"/>
      <c r="J142" s="1290"/>
      <c r="K142" s="1342"/>
      <c r="L142" s="1701"/>
      <c r="M142" s="713"/>
    </row>
    <row r="143" spans="1:13" ht="16.5" hidden="1" customHeight="1">
      <c r="A143" s="1699"/>
      <c r="B143" s="1639"/>
      <c r="C143" s="1700"/>
      <c r="D143" s="1290"/>
      <c r="E143" s="1290"/>
      <c r="F143" s="1290"/>
      <c r="G143" s="1290"/>
      <c r="H143" s="1290"/>
      <c r="I143" s="1290"/>
      <c r="J143" s="1290"/>
      <c r="K143" s="1342"/>
      <c r="L143" s="1290"/>
    </row>
    <row r="144" spans="1:13" ht="16.5" hidden="1" customHeight="1">
      <c r="A144" s="1699"/>
      <c r="B144" s="1639"/>
      <c r="C144" s="1700"/>
      <c r="D144" s="1290"/>
      <c r="E144" s="1290"/>
      <c r="F144" s="1290"/>
      <c r="G144" s="1290"/>
      <c r="H144" s="1290"/>
      <c r="I144" s="1290"/>
      <c r="J144" s="1290"/>
      <c r="K144" s="1342"/>
      <c r="L144" s="1290"/>
    </row>
    <row r="145" spans="1:12" ht="16.5" hidden="1" customHeight="1">
      <c r="A145" s="1699"/>
      <c r="B145" s="1639"/>
      <c r="C145" s="1700"/>
      <c r="D145" s="1290"/>
      <c r="E145" s="1290"/>
      <c r="F145" s="1290"/>
      <c r="G145" s="1290"/>
      <c r="H145" s="1290"/>
      <c r="I145" s="1290"/>
      <c r="J145" s="1290"/>
      <c r="K145" s="1342"/>
      <c r="L145" s="1290"/>
    </row>
    <row r="146" spans="1:12" ht="16.5" hidden="1" customHeight="1">
      <c r="A146" s="1699"/>
      <c r="B146" s="1639"/>
      <c r="C146" s="1700"/>
      <c r="D146" s="1290"/>
      <c r="E146" s="1290"/>
      <c r="F146" s="1290"/>
      <c r="G146" s="1290"/>
      <c r="H146" s="1290"/>
      <c r="I146" s="1290"/>
      <c r="J146" s="1290"/>
      <c r="K146" s="1342"/>
      <c r="L146" s="1290"/>
    </row>
    <row r="147" spans="1:12" ht="16.5" hidden="1" customHeight="1">
      <c r="A147" s="1699"/>
      <c r="B147" s="1639"/>
      <c r="C147" s="1700"/>
      <c r="D147" s="1290"/>
      <c r="E147" s="1290"/>
      <c r="F147" s="1290"/>
      <c r="G147" s="1290"/>
      <c r="H147" s="1290"/>
      <c r="I147" s="1290"/>
      <c r="J147" s="1290"/>
      <c r="K147" s="1342"/>
      <c r="L147" s="1290"/>
    </row>
    <row r="148" spans="1:12" ht="16.5" hidden="1" customHeight="1">
      <c r="A148" s="1699"/>
      <c r="B148" s="1639"/>
      <c r="C148" s="1700"/>
      <c r="D148" s="1290"/>
      <c r="E148" s="1290"/>
      <c r="F148" s="1290"/>
      <c r="G148" s="1290"/>
      <c r="H148" s="1290"/>
      <c r="I148" s="1290"/>
      <c r="J148" s="1290"/>
      <c r="K148" s="1342"/>
      <c r="L148" s="1290"/>
    </row>
    <row r="149" spans="1:12" ht="16.5" hidden="1" customHeight="1">
      <c r="A149" s="1699"/>
      <c r="B149" s="1639"/>
      <c r="C149" s="1700"/>
      <c r="D149" s="1290"/>
      <c r="E149" s="1290"/>
      <c r="F149" s="1290"/>
      <c r="G149" s="1290"/>
      <c r="H149" s="1290"/>
      <c r="I149" s="1290"/>
      <c r="J149" s="1290"/>
      <c r="K149" s="1342"/>
      <c r="L149" s="1290"/>
    </row>
    <row r="150" spans="1:12" ht="16.5" hidden="1" customHeight="1">
      <c r="A150" s="1699"/>
      <c r="B150" s="1639"/>
      <c r="C150" s="1700"/>
      <c r="D150" s="1290"/>
      <c r="E150" s="1290"/>
      <c r="F150" s="1290"/>
      <c r="G150" s="1290"/>
      <c r="H150" s="1290"/>
      <c r="I150" s="1290"/>
      <c r="J150" s="1290"/>
      <c r="K150" s="1342"/>
      <c r="L150" s="1290"/>
    </row>
    <row r="151" spans="1:12" ht="16.5" hidden="1" customHeight="1">
      <c r="A151" s="1699"/>
      <c r="B151" s="1639"/>
      <c r="C151" s="1700"/>
      <c r="D151" s="1290"/>
      <c r="E151" s="1290"/>
      <c r="F151" s="1290"/>
      <c r="G151" s="1290"/>
      <c r="H151" s="1290"/>
      <c r="I151" s="1290"/>
      <c r="J151" s="1290"/>
      <c r="K151" s="1342"/>
      <c r="L151" s="1290"/>
    </row>
    <row r="152" spans="1:12" ht="16.5" hidden="1" customHeight="1">
      <c r="A152" s="1699"/>
      <c r="B152" s="1639"/>
      <c r="C152" s="1700"/>
      <c r="D152" s="1290"/>
      <c r="E152" s="1290"/>
      <c r="F152" s="1290"/>
      <c r="G152" s="1290"/>
      <c r="H152" s="1290"/>
      <c r="I152" s="1290"/>
      <c r="J152" s="1290"/>
      <c r="K152" s="1342"/>
      <c r="L152" s="1290"/>
    </row>
    <row r="153" spans="1:12" ht="16.5" hidden="1" customHeight="1">
      <c r="A153" s="1699"/>
      <c r="B153" s="1639"/>
      <c r="C153" s="1700"/>
      <c r="D153" s="1290"/>
      <c r="E153" s="1290"/>
      <c r="F153" s="1290"/>
      <c r="G153" s="1290"/>
      <c r="H153" s="1290"/>
      <c r="I153" s="1290"/>
      <c r="J153" s="1290"/>
      <c r="K153" s="1342"/>
      <c r="L153" s="1290"/>
    </row>
    <row r="154" spans="1:12" ht="16.5" hidden="1" customHeight="1">
      <c r="A154" s="1699"/>
      <c r="B154" s="1639"/>
      <c r="C154" s="1700"/>
      <c r="D154" s="1290"/>
      <c r="E154" s="1290"/>
      <c r="F154" s="1290"/>
      <c r="G154" s="1290"/>
      <c r="H154" s="1290"/>
      <c r="I154" s="1290"/>
      <c r="J154" s="1290"/>
      <c r="K154" s="1342"/>
      <c r="L154" s="1290"/>
    </row>
    <row r="155" spans="1:12" ht="16.5" hidden="1" customHeight="1">
      <c r="A155" s="1699"/>
      <c r="B155" s="1639"/>
      <c r="C155" s="1700"/>
      <c r="D155" s="1290"/>
      <c r="E155" s="1290"/>
      <c r="F155" s="1290"/>
      <c r="G155" s="1290"/>
      <c r="H155" s="1290"/>
      <c r="I155" s="1290"/>
      <c r="J155" s="1290"/>
      <c r="K155" s="1342"/>
      <c r="L155" s="1290"/>
    </row>
    <row r="156" spans="1:12" ht="16.5" hidden="1" customHeight="1">
      <c r="A156" s="1699"/>
      <c r="B156" s="1639"/>
      <c r="C156" s="1700"/>
      <c r="D156" s="1290"/>
      <c r="E156" s="1290"/>
      <c r="F156" s="1290"/>
      <c r="G156" s="1290"/>
      <c r="H156" s="1290"/>
      <c r="I156" s="1290"/>
      <c r="J156" s="1290"/>
      <c r="K156" s="1342"/>
      <c r="L156" s="1290"/>
    </row>
    <row r="157" spans="1:12" ht="8.1" hidden="1" customHeight="1">
      <c r="A157" s="1699"/>
      <c r="B157" s="1639"/>
      <c r="C157" s="1700"/>
      <c r="D157" s="1290"/>
      <c r="E157" s="1290"/>
      <c r="F157" s="1290"/>
      <c r="G157" s="1290"/>
      <c r="H157" s="1290"/>
      <c r="I157" s="1290"/>
      <c r="J157" s="1290"/>
      <c r="K157" s="1342"/>
      <c r="L157" s="1290"/>
    </row>
    <row r="158" spans="1:12" ht="16.8" hidden="1" thickBot="1">
      <c r="A158" s="1699"/>
      <c r="B158" s="1639"/>
      <c r="C158" s="1700"/>
      <c r="D158" s="1290"/>
      <c r="E158" s="1290"/>
      <c r="F158" s="1290"/>
      <c r="G158" s="1290"/>
      <c r="H158" s="1290"/>
      <c r="I158" s="1290"/>
      <c r="J158" s="1290"/>
      <c r="K158" s="1342"/>
      <c r="L158" s="1290"/>
    </row>
    <row r="159" spans="1:12" ht="16.8" hidden="1" thickBot="1">
      <c r="A159" s="1699"/>
      <c r="B159" s="1639"/>
      <c r="C159" s="1700"/>
      <c r="D159" s="1290"/>
      <c r="E159" s="1290"/>
      <c r="F159" s="1290"/>
      <c r="G159" s="1290"/>
      <c r="H159" s="1290"/>
      <c r="I159" s="1290"/>
      <c r="J159" s="1290"/>
      <c r="K159" s="1342"/>
      <c r="L159" s="1290"/>
    </row>
    <row r="160" spans="1:12" ht="16.8" hidden="1" thickBot="1">
      <c r="A160" s="1699"/>
      <c r="B160" s="1639"/>
      <c r="C160" s="1700"/>
      <c r="D160" s="1290"/>
      <c r="E160" s="1290"/>
      <c r="F160" s="1290"/>
      <c r="G160" s="1290"/>
      <c r="H160" s="1290"/>
      <c r="I160" s="1290"/>
      <c r="J160" s="1290"/>
      <c r="K160" s="1342"/>
      <c r="L160" s="1290"/>
    </row>
    <row r="161" spans="1:12" ht="43.35" hidden="1" customHeight="1">
      <c r="A161" s="1699"/>
      <c r="B161" s="1639"/>
      <c r="C161" s="1700"/>
      <c r="D161" s="1290"/>
      <c r="E161" s="1290"/>
      <c r="F161" s="1290"/>
      <c r="G161" s="1290"/>
      <c r="H161" s="1290"/>
      <c r="I161" s="1290"/>
      <c r="J161" s="1290"/>
      <c r="K161" s="1342"/>
      <c r="L161" s="1290"/>
    </row>
    <row r="162" spans="1:12" ht="16.8" hidden="1" thickBot="1">
      <c r="A162" s="1699"/>
      <c r="B162" s="1639"/>
      <c r="C162" s="1700"/>
      <c r="D162" s="1290"/>
      <c r="E162" s="1290"/>
      <c r="F162" s="1290"/>
      <c r="G162" s="1290"/>
      <c r="H162" s="1290"/>
      <c r="I162" s="1290"/>
      <c r="J162" s="1290"/>
      <c r="K162" s="1342"/>
      <c r="L162" s="1290"/>
    </row>
    <row r="163" spans="1:12" ht="16.8" hidden="1" thickBot="1">
      <c r="A163" s="1699"/>
      <c r="B163" s="1639"/>
      <c r="C163" s="1700"/>
      <c r="D163" s="1290"/>
      <c r="E163" s="1290"/>
      <c r="F163" s="1290"/>
      <c r="G163" s="1290"/>
      <c r="H163" s="1290"/>
      <c r="I163" s="1290"/>
      <c r="J163" s="1290"/>
      <c r="K163" s="1342"/>
      <c r="L163" s="1290"/>
    </row>
    <row r="164" spans="1:12" ht="104.85" hidden="1" customHeight="1">
      <c r="A164" s="1699"/>
      <c r="B164" s="1639"/>
      <c r="C164" s="1700"/>
      <c r="D164" s="1290"/>
      <c r="E164" s="1290"/>
      <c r="F164" s="1290"/>
      <c r="G164" s="1290"/>
      <c r="H164" s="1290"/>
      <c r="I164" s="1290"/>
      <c r="J164" s="1290"/>
      <c r="K164" s="1342"/>
      <c r="L164" s="1290"/>
    </row>
    <row r="165" spans="1:12" ht="16.8" hidden="1" thickBot="1">
      <c r="A165" s="1699"/>
      <c r="B165" s="1639"/>
      <c r="C165" s="1700"/>
      <c r="D165" s="1290"/>
      <c r="E165" s="1290"/>
      <c r="F165" s="1290"/>
      <c r="G165" s="1290"/>
      <c r="H165" s="1290"/>
      <c r="I165" s="1290"/>
      <c r="J165" s="1290"/>
      <c r="K165" s="1342"/>
      <c r="L165" s="1290"/>
    </row>
    <row r="166" spans="1:12" ht="16.8" hidden="1" thickBot="1">
      <c r="A166" s="1699"/>
      <c r="B166" s="1639"/>
      <c r="C166" s="1700"/>
      <c r="D166" s="1290"/>
      <c r="E166" s="1290"/>
      <c r="F166" s="1290"/>
      <c r="G166" s="1290"/>
      <c r="H166" s="1290"/>
      <c r="I166" s="1290"/>
      <c r="J166" s="1290"/>
      <c r="K166" s="1342"/>
      <c r="L166" s="1290"/>
    </row>
    <row r="167" spans="1:12" ht="168" hidden="1" customHeight="1">
      <c r="A167" s="1699"/>
      <c r="B167" s="1639"/>
      <c r="C167" s="1700"/>
      <c r="D167" s="1290"/>
      <c r="E167" s="1290"/>
      <c r="F167" s="1290"/>
      <c r="G167" s="1290"/>
      <c r="H167" s="1290"/>
      <c r="I167" s="1290"/>
      <c r="J167" s="1290"/>
      <c r="K167" s="1342"/>
      <c r="L167" s="1290"/>
    </row>
    <row r="168" spans="1:12" ht="16.8" hidden="1" thickBot="1">
      <c r="A168" s="1699"/>
      <c r="B168" s="1639"/>
      <c r="C168" s="1700"/>
      <c r="D168" s="1290"/>
      <c r="E168" s="1290"/>
      <c r="F168" s="1290"/>
      <c r="G168" s="1290"/>
      <c r="H168" s="1290"/>
      <c r="I168" s="1290"/>
      <c r="J168" s="1290"/>
      <c r="K168" s="1342"/>
      <c r="L168" s="1290"/>
    </row>
    <row r="169" spans="1:12" ht="71.849999999999994" hidden="1" customHeight="1" thickBot="1">
      <c r="A169" s="1699"/>
      <c r="B169" s="1639"/>
      <c r="C169" s="1700"/>
      <c r="D169" s="1290"/>
      <c r="E169" s="1290"/>
      <c r="F169" s="1290"/>
      <c r="G169" s="1290"/>
      <c r="H169" s="1290"/>
      <c r="I169" s="1290"/>
      <c r="J169" s="1290"/>
      <c r="K169" s="1342"/>
      <c r="L169" s="1290"/>
    </row>
    <row r="170" spans="1:12" ht="16.8" hidden="1" thickBot="1">
      <c r="A170" s="1699"/>
      <c r="B170" s="1639"/>
      <c r="C170" s="1700"/>
      <c r="D170" s="1290"/>
      <c r="E170" s="1290"/>
      <c r="F170" s="1290"/>
      <c r="G170" s="1290"/>
      <c r="H170" s="1290"/>
      <c r="I170" s="1290"/>
      <c r="J170" s="1290"/>
      <c r="K170" s="1342"/>
      <c r="L170" s="1290"/>
    </row>
    <row r="171" spans="1:12" ht="16.8" hidden="1" thickBot="1">
      <c r="A171" s="1699"/>
      <c r="B171" s="1639"/>
      <c r="C171" s="1700"/>
      <c r="D171" s="1290"/>
      <c r="E171" s="1290"/>
      <c r="F171" s="1290"/>
      <c r="G171" s="1290"/>
      <c r="H171" s="1290"/>
      <c r="I171" s="1290"/>
      <c r="J171" s="1290"/>
      <c r="K171" s="1342"/>
      <c r="L171" s="1290"/>
    </row>
    <row r="172" spans="1:12" ht="16.8" hidden="1" thickBot="1">
      <c r="A172" s="1699"/>
      <c r="B172" s="1639"/>
      <c r="C172" s="1700"/>
      <c r="D172" s="1290"/>
      <c r="E172" s="1290"/>
      <c r="F172" s="1290"/>
      <c r="G172" s="1290"/>
      <c r="H172" s="1290"/>
      <c r="I172" s="1290"/>
      <c r="J172" s="1290"/>
      <c r="K172" s="1342"/>
      <c r="L172" s="1290"/>
    </row>
    <row r="173" spans="1:12" ht="16.8" hidden="1" thickBot="1">
      <c r="A173" s="1699"/>
      <c r="B173" s="1639"/>
      <c r="C173" s="1700"/>
      <c r="D173" s="1290"/>
      <c r="E173" s="1290"/>
      <c r="F173" s="1290"/>
      <c r="G173" s="1290"/>
      <c r="H173" s="1290"/>
      <c r="I173" s="1290"/>
      <c r="J173" s="1290"/>
      <c r="K173" s="1342"/>
      <c r="L173" s="1290"/>
    </row>
    <row r="174" spans="1:12" ht="16.8" hidden="1" thickBot="1">
      <c r="A174" s="1699"/>
      <c r="B174" s="1639"/>
      <c r="C174" s="1700"/>
      <c r="D174" s="1290"/>
      <c r="E174" s="1290"/>
      <c r="F174" s="1290"/>
      <c r="G174" s="1290"/>
      <c r="H174" s="1290"/>
      <c r="I174" s="1290"/>
      <c r="J174" s="1290"/>
      <c r="K174" s="1342"/>
      <c r="L174" s="1290"/>
    </row>
    <row r="175" spans="1:12" ht="16.8" hidden="1" thickBot="1">
      <c r="A175" s="1699"/>
      <c r="B175" s="1639"/>
      <c r="C175" s="1700"/>
      <c r="D175" s="1290"/>
      <c r="E175" s="1290"/>
      <c r="F175" s="1290"/>
      <c r="G175" s="1290"/>
      <c r="H175" s="1290"/>
      <c r="I175" s="1290"/>
      <c r="J175" s="1290"/>
      <c r="K175" s="1342"/>
      <c r="L175" s="1290"/>
    </row>
    <row r="176" spans="1:12" ht="16.8" hidden="1" thickBot="1">
      <c r="A176" s="1699"/>
      <c r="B176" s="1639"/>
      <c r="C176" s="1700"/>
      <c r="D176" s="1290"/>
      <c r="E176" s="1290"/>
      <c r="F176" s="1290"/>
      <c r="G176" s="1290"/>
      <c r="H176" s="1290"/>
      <c r="I176" s="1290"/>
      <c r="J176" s="1290"/>
      <c r="K176" s="1342"/>
      <c r="L176" s="1290"/>
    </row>
    <row r="177" spans="1:12" ht="16.8" hidden="1" thickBot="1">
      <c r="A177" s="1699"/>
      <c r="B177" s="1639"/>
      <c r="C177" s="1700"/>
      <c r="D177" s="1290"/>
      <c r="E177" s="1290"/>
      <c r="F177" s="1290"/>
      <c r="G177" s="1290"/>
      <c r="H177" s="1290"/>
      <c r="I177" s="1290"/>
      <c r="J177" s="1290"/>
      <c r="K177" s="1342"/>
      <c r="L177" s="1290"/>
    </row>
    <row r="178" spans="1:12" ht="16.8" hidden="1" thickBot="1">
      <c r="A178" s="1699"/>
      <c r="B178" s="1639"/>
      <c r="C178" s="1700"/>
      <c r="D178" s="1290"/>
      <c r="E178" s="1290"/>
      <c r="F178" s="1290"/>
      <c r="G178" s="1290"/>
      <c r="H178" s="1290"/>
      <c r="I178" s="1290"/>
      <c r="J178" s="1290"/>
      <c r="K178" s="1342"/>
      <c r="L178" s="1290"/>
    </row>
    <row r="179" spans="1:12" ht="16.8" hidden="1" thickBot="1">
      <c r="A179" s="1699"/>
      <c r="B179" s="1639"/>
      <c r="C179" s="1700"/>
      <c r="D179" s="1290"/>
      <c r="E179" s="1290"/>
      <c r="F179" s="1290"/>
      <c r="G179" s="1290"/>
      <c r="H179" s="1290"/>
      <c r="I179" s="1290"/>
      <c r="J179" s="1290"/>
      <c r="K179" s="1342"/>
      <c r="L179" s="1290"/>
    </row>
    <row r="180" spans="1:12" ht="16.8" hidden="1" thickBot="1">
      <c r="A180" s="1699"/>
      <c r="B180" s="1639"/>
      <c r="C180" s="1700"/>
      <c r="D180" s="1290"/>
      <c r="E180" s="1290"/>
      <c r="F180" s="1290"/>
      <c r="G180" s="1290"/>
      <c r="H180" s="1290"/>
      <c r="I180" s="1290"/>
      <c r="J180" s="1290"/>
      <c r="K180" s="1342"/>
      <c r="L180" s="1290"/>
    </row>
    <row r="181" spans="1:12" ht="16.8" hidden="1" thickBot="1">
      <c r="A181" s="1652"/>
      <c r="B181" s="1683"/>
      <c r="C181" s="2721"/>
      <c r="D181" s="2722"/>
      <c r="E181" s="2722"/>
      <c r="F181" s="2722"/>
      <c r="G181" s="2722"/>
      <c r="H181" s="2722"/>
      <c r="I181" s="2722"/>
      <c r="J181" s="2722"/>
      <c r="K181" s="2723"/>
      <c r="L181" s="1290"/>
    </row>
    <row r="182" spans="1:12" ht="16.8" hidden="1" thickBot="1">
      <c r="A182" s="1692"/>
      <c r="B182" s="1678"/>
      <c r="C182" s="1655"/>
      <c r="D182" s="1655"/>
      <c r="E182" s="1655"/>
      <c r="F182" s="1655"/>
      <c r="G182" s="1655"/>
      <c r="H182" s="1655"/>
      <c r="I182" s="1655"/>
      <c r="J182" s="1655"/>
      <c r="K182" s="1656"/>
      <c r="L182" s="1290"/>
    </row>
    <row r="183" spans="1:12" ht="16.8" hidden="1" thickBot="1">
      <c r="A183" s="1692"/>
      <c r="B183" s="1678"/>
      <c r="C183" s="2722"/>
      <c r="D183" s="2722"/>
      <c r="E183" s="2722"/>
      <c r="F183" s="2722"/>
      <c r="G183" s="2722"/>
      <c r="H183" s="2722"/>
      <c r="I183" s="2722"/>
      <c r="J183" s="2722"/>
      <c r="K183" s="2723"/>
      <c r="L183" s="1290"/>
    </row>
    <row r="184" spans="1:12" ht="130.19999999999999" hidden="1" thickBot="1">
      <c r="A184" s="1660"/>
      <c r="B184" s="1698" t="e">
        <f>'[30]Addl Info to the FS'!#REF!+0.01</f>
        <v>#REF!</v>
      </c>
      <c r="C184" s="1696" t="s">
        <v>371</v>
      </c>
      <c r="D184" s="1665"/>
      <c r="E184" s="1665"/>
      <c r="F184" s="1665"/>
      <c r="G184" s="1665"/>
      <c r="H184" s="1665"/>
      <c r="I184" s="1665"/>
      <c r="J184" s="1665"/>
      <c r="K184" s="1666"/>
      <c r="L184" s="1290"/>
    </row>
    <row r="185" spans="1:12" ht="16.8" hidden="1" thickBot="1">
      <c r="A185" s="1660"/>
      <c r="B185" s="1698"/>
      <c r="C185" s="1696"/>
      <c r="D185" s="1665"/>
      <c r="E185" s="1665"/>
      <c r="F185" s="1665"/>
      <c r="G185" s="1665"/>
      <c r="H185" s="1665"/>
      <c r="I185" s="1665"/>
      <c r="J185" s="1665"/>
      <c r="K185" s="1666"/>
      <c r="L185" s="1290"/>
    </row>
    <row r="186" spans="1:12" ht="69" hidden="1" customHeight="1">
      <c r="A186" s="1686" t="s">
        <v>372</v>
      </c>
      <c r="B186" s="1670"/>
      <c r="C186" s="1656" t="s">
        <v>373</v>
      </c>
      <c r="D186" s="1665"/>
      <c r="E186" s="1665"/>
      <c r="F186" s="1665"/>
      <c r="G186" s="1665"/>
      <c r="H186" s="1665"/>
      <c r="I186" s="1665"/>
      <c r="J186" s="1665"/>
      <c r="K186" s="1666"/>
      <c r="L186" s="1290"/>
    </row>
    <row r="187" spans="1:12" ht="32.85" hidden="1" customHeight="1">
      <c r="A187" s="1686"/>
      <c r="B187" s="1670"/>
      <c r="C187" s="1656" t="s">
        <v>374</v>
      </c>
      <c r="D187" s="1665"/>
      <c r="E187" s="1665"/>
      <c r="F187" s="1665"/>
      <c r="G187" s="1665"/>
      <c r="H187" s="1665"/>
      <c r="I187" s="1665"/>
      <c r="J187" s="1665"/>
      <c r="K187" s="1666"/>
      <c r="L187" s="1290"/>
    </row>
    <row r="188" spans="1:12" ht="111.6" hidden="1" customHeight="1">
      <c r="A188" s="1686"/>
      <c r="B188" s="1670"/>
      <c r="C188" s="1656" t="s">
        <v>375</v>
      </c>
      <c r="D188" s="1665"/>
      <c r="E188" s="1665"/>
      <c r="F188" s="1665"/>
      <c r="G188" s="1665"/>
      <c r="H188" s="1665"/>
      <c r="I188" s="1665"/>
      <c r="J188" s="1665"/>
      <c r="K188" s="1666"/>
      <c r="L188" s="1290"/>
    </row>
    <row r="189" spans="1:12" ht="16.8" hidden="1" thickBot="1">
      <c r="A189" s="1660"/>
      <c r="B189" s="1670"/>
      <c r="C189" s="1656"/>
      <c r="D189" s="1665"/>
      <c r="E189" s="1665"/>
      <c r="F189" s="1665"/>
      <c r="G189" s="1665"/>
      <c r="H189" s="1665"/>
      <c r="I189" s="1665"/>
      <c r="J189" s="1665"/>
      <c r="K189" s="1666"/>
      <c r="L189" s="1290"/>
    </row>
    <row r="190" spans="1:12" ht="33" hidden="1" thickBot="1">
      <c r="A190" s="1660"/>
      <c r="B190" s="1698" t="e">
        <f>B184+0.01</f>
        <v>#REF!</v>
      </c>
      <c r="C190" s="1696" t="s">
        <v>2</v>
      </c>
      <c r="D190" s="1665"/>
      <c r="E190" s="1665"/>
      <c r="F190" s="1665"/>
      <c r="G190" s="1665"/>
      <c r="H190" s="1665"/>
      <c r="I190" s="1665"/>
      <c r="J190" s="1665"/>
      <c r="K190" s="1666"/>
      <c r="L190" s="1290"/>
    </row>
    <row r="191" spans="1:12" ht="16.8" hidden="1" thickBot="1">
      <c r="A191" s="1660"/>
      <c r="B191" s="1670"/>
      <c r="C191" s="1696"/>
      <c r="D191" s="1665"/>
      <c r="E191" s="1665"/>
      <c r="F191" s="1665"/>
      <c r="G191" s="1665"/>
      <c r="H191" s="1665"/>
      <c r="I191" s="1665"/>
      <c r="J191" s="1665"/>
      <c r="K191" s="1666"/>
      <c r="L191" s="1290"/>
    </row>
    <row r="192" spans="1:12" ht="108" hidden="1" customHeight="1">
      <c r="A192" s="1686" t="s">
        <v>376</v>
      </c>
      <c r="B192" s="1670"/>
      <c r="C192" s="1656" t="s">
        <v>377</v>
      </c>
      <c r="D192" s="1665"/>
      <c r="E192" s="1665"/>
      <c r="F192" s="1665"/>
      <c r="G192" s="1665"/>
      <c r="H192" s="1665"/>
      <c r="I192" s="1665"/>
      <c r="J192" s="1665"/>
      <c r="K192" s="1666"/>
      <c r="L192" s="1290"/>
    </row>
    <row r="193" spans="1:12" ht="16.8" hidden="1" thickBot="1">
      <c r="A193" s="1660"/>
      <c r="B193" s="1670"/>
      <c r="C193" s="1656"/>
      <c r="D193" s="1665"/>
      <c r="E193" s="1665"/>
      <c r="F193" s="1665"/>
      <c r="G193" s="1665"/>
      <c r="H193" s="1665"/>
      <c r="I193" s="1665"/>
      <c r="J193" s="1665"/>
      <c r="K193" s="1666"/>
      <c r="L193" s="1290"/>
    </row>
    <row r="194" spans="1:12" ht="23.1" customHeight="1">
      <c r="A194" s="1702"/>
      <c r="B194" s="1703">
        <f>2.1</f>
        <v>2.1</v>
      </c>
      <c r="C194" s="2749" t="s">
        <v>378</v>
      </c>
      <c r="D194" s="2750"/>
      <c r="E194" s="2750"/>
      <c r="F194" s="2750"/>
      <c r="G194" s="2750"/>
      <c r="H194" s="2750"/>
      <c r="I194" s="2750"/>
      <c r="J194" s="2750"/>
      <c r="K194" s="2751"/>
      <c r="L194" s="1290"/>
    </row>
    <row r="195" spans="1:12">
      <c r="A195" s="1660"/>
      <c r="B195" s="1670"/>
      <c r="C195" s="2721"/>
      <c r="D195" s="2722"/>
      <c r="E195" s="2722"/>
      <c r="F195" s="2722"/>
      <c r="G195" s="2722"/>
      <c r="H195" s="2722"/>
      <c r="I195" s="2722"/>
      <c r="J195" s="2722"/>
      <c r="K195" s="2723"/>
      <c r="L195" s="1290"/>
    </row>
    <row r="196" spans="1:12" ht="78" customHeight="1">
      <c r="A196" s="1660"/>
      <c r="B196" s="1670"/>
      <c r="C196" s="2721" t="s">
        <v>379</v>
      </c>
      <c r="D196" s="2722"/>
      <c r="E196" s="2722"/>
      <c r="F196" s="2722"/>
      <c r="G196" s="2722"/>
      <c r="H196" s="2722"/>
      <c r="I196" s="2722"/>
      <c r="J196" s="2722"/>
      <c r="K196" s="2723"/>
      <c r="L196" s="1290"/>
    </row>
    <row r="197" spans="1:12" ht="39.75" customHeight="1">
      <c r="A197" s="1660"/>
      <c r="B197" s="1670"/>
      <c r="C197" s="2721" t="s">
        <v>380</v>
      </c>
      <c r="D197" s="2722"/>
      <c r="E197" s="2722"/>
      <c r="F197" s="2722"/>
      <c r="G197" s="2722"/>
      <c r="H197" s="2722"/>
      <c r="I197" s="2722"/>
      <c r="J197" s="2722"/>
      <c r="K197" s="2723"/>
      <c r="L197" s="1290"/>
    </row>
    <row r="198" spans="1:12">
      <c r="A198" s="1660"/>
      <c r="B198" s="1670"/>
      <c r="C198" s="2721"/>
      <c r="D198" s="2722"/>
      <c r="E198" s="2722"/>
      <c r="F198" s="2722"/>
      <c r="G198" s="2722"/>
      <c r="H198" s="2722"/>
      <c r="I198" s="2722"/>
      <c r="J198" s="2722"/>
      <c r="K198" s="2723"/>
      <c r="L198" s="1290"/>
    </row>
    <row r="199" spans="1:12" ht="27.75" customHeight="1">
      <c r="A199" s="2738" t="s">
        <v>381</v>
      </c>
      <c r="B199" s="1670"/>
      <c r="C199" s="2752" t="s">
        <v>382</v>
      </c>
      <c r="D199" s="2753"/>
      <c r="E199" s="2753"/>
      <c r="F199" s="2753"/>
      <c r="G199" s="2753"/>
      <c r="H199" s="2753"/>
      <c r="I199" s="2753"/>
      <c r="J199" s="2753"/>
      <c r="K199" s="2754"/>
      <c r="L199" s="1290"/>
    </row>
    <row r="200" spans="1:12" ht="37.5" customHeight="1">
      <c r="A200" s="2738"/>
      <c r="B200" s="1670"/>
      <c r="C200" s="2721" t="s">
        <v>383</v>
      </c>
      <c r="D200" s="2722"/>
      <c r="E200" s="2722"/>
      <c r="F200" s="2722"/>
      <c r="G200" s="2722"/>
      <c r="H200" s="2722"/>
      <c r="I200" s="2722"/>
      <c r="J200" s="2722"/>
      <c r="K200" s="2723"/>
      <c r="L200" s="1290"/>
    </row>
    <row r="201" spans="1:12" ht="34.5" customHeight="1">
      <c r="A201" s="1686"/>
      <c r="B201" s="1670"/>
      <c r="C201" s="2746" t="s">
        <v>384</v>
      </c>
      <c r="D201" s="2747"/>
      <c r="E201" s="2747"/>
      <c r="F201" s="2747"/>
      <c r="G201" s="2747"/>
      <c r="H201" s="2747"/>
      <c r="I201" s="2747"/>
      <c r="J201" s="2747"/>
      <c r="K201" s="2748"/>
      <c r="L201" s="1290"/>
    </row>
    <row r="202" spans="1:12" ht="27.75" hidden="1" customHeight="1">
      <c r="A202" s="1660"/>
      <c r="B202" s="1670"/>
      <c r="C202" s="1704"/>
      <c r="D202" s="1655"/>
      <c r="E202" s="1655"/>
      <c r="F202" s="1655"/>
      <c r="G202" s="1655"/>
      <c r="H202" s="1655"/>
      <c r="I202" s="1655"/>
      <c r="J202" s="1655"/>
      <c r="K202" s="1656"/>
      <c r="L202" s="1290"/>
    </row>
    <row r="203" spans="1:12" ht="15.75" hidden="1" customHeight="1" thickBot="1">
      <c r="A203" s="1705" t="str">
        <f>$A$2</f>
        <v>M/s. Sathiapal Engineers (India) Private Limited
(Formerly known as M/S Sathiapal Engineers (India) Limited)</v>
      </c>
      <c r="B203" s="1673"/>
      <c r="C203" s="1674"/>
      <c r="D203" s="1665"/>
      <c r="E203" s="1665"/>
      <c r="F203" s="1665"/>
      <c r="G203" s="1665"/>
      <c r="H203" s="1665"/>
      <c r="I203" s="1665"/>
      <c r="J203" s="1665"/>
      <c r="K203" s="1666"/>
      <c r="L203" s="1290"/>
    </row>
    <row r="204" spans="1:12" hidden="1">
      <c r="A204" s="2727" t="str">
        <f>$A$3</f>
        <v>New No. 57, Old No. 3, Canal Road, Kilpauk Garden Colony, Kilpauk, Chennai 600 010.</v>
      </c>
      <c r="B204" s="2728"/>
      <c r="C204" s="2728"/>
      <c r="D204" s="1665"/>
      <c r="E204" s="1665"/>
      <c r="F204" s="1665"/>
      <c r="G204" s="1665"/>
      <c r="H204" s="1665"/>
      <c r="I204" s="1665"/>
      <c r="J204" s="1665"/>
      <c r="K204" s="1666"/>
      <c r="L204" s="1290"/>
    </row>
    <row r="205" spans="1:12" hidden="1">
      <c r="A205" s="2727" t="str">
        <f>$A$4</f>
        <v>Notes forming part of the financial statements</v>
      </c>
      <c r="B205" s="2728" t="s">
        <v>316</v>
      </c>
      <c r="C205" s="2728"/>
      <c r="D205" s="1665"/>
      <c r="E205" s="1665"/>
      <c r="F205" s="1665"/>
      <c r="G205" s="1665"/>
      <c r="H205" s="1665"/>
      <c r="I205" s="1665"/>
      <c r="J205" s="1665"/>
      <c r="K205" s="1666"/>
      <c r="L205" s="1290"/>
    </row>
    <row r="206" spans="1:12" hidden="1">
      <c r="A206" s="1675"/>
      <c r="B206" s="1677"/>
      <c r="C206" s="1655"/>
      <c r="D206" s="1665"/>
      <c r="E206" s="1665"/>
      <c r="F206" s="1665"/>
      <c r="G206" s="1665"/>
      <c r="H206" s="1665"/>
      <c r="I206" s="1665"/>
      <c r="J206" s="1665"/>
      <c r="K206" s="1666"/>
      <c r="L206" s="1290"/>
    </row>
    <row r="207" spans="1:12" ht="194.4" hidden="1">
      <c r="A207" s="1675"/>
      <c r="B207" s="1677" t="s">
        <v>329</v>
      </c>
      <c r="C207" s="1655"/>
      <c r="D207" s="1665"/>
      <c r="E207" s="1665"/>
      <c r="F207" s="1665"/>
      <c r="G207" s="1665"/>
      <c r="H207" s="1665"/>
      <c r="I207" s="1665"/>
      <c r="J207" s="1665"/>
      <c r="K207" s="1666"/>
      <c r="L207" s="1290"/>
    </row>
    <row r="208" spans="1:12" hidden="1">
      <c r="A208" s="1675"/>
      <c r="B208" s="1678"/>
      <c r="C208" s="1655"/>
      <c r="D208" s="1665"/>
      <c r="E208" s="1665"/>
      <c r="F208" s="1665"/>
      <c r="G208" s="1665"/>
      <c r="H208" s="1665"/>
      <c r="I208" s="1665"/>
      <c r="J208" s="1665"/>
      <c r="K208" s="1666"/>
      <c r="L208" s="1290"/>
    </row>
    <row r="209" spans="1:12" ht="32.4" hidden="1">
      <c r="A209" s="2729" t="s">
        <v>317</v>
      </c>
      <c r="B209" s="1679" t="s">
        <v>309</v>
      </c>
      <c r="C209" s="1680" t="s">
        <v>1</v>
      </c>
      <c r="D209" s="1665"/>
      <c r="E209" s="1665"/>
      <c r="F209" s="1665"/>
      <c r="G209" s="1665"/>
      <c r="H209" s="1665"/>
      <c r="I209" s="1665"/>
      <c r="J209" s="1665"/>
      <c r="K209" s="1666"/>
      <c r="L209" s="1290"/>
    </row>
    <row r="210" spans="1:12" hidden="1">
      <c r="A210" s="2730"/>
      <c r="B210" s="1681"/>
      <c r="C210" s="1682"/>
      <c r="D210" s="1665"/>
      <c r="E210" s="1665"/>
      <c r="F210" s="1665"/>
      <c r="G210" s="1665"/>
      <c r="H210" s="1665"/>
      <c r="I210" s="1665"/>
      <c r="J210" s="1665"/>
      <c r="K210" s="1666"/>
      <c r="L210" s="1290"/>
    </row>
    <row r="211" spans="1:12" ht="81" hidden="1">
      <c r="A211" s="2738" t="s">
        <v>385</v>
      </c>
      <c r="B211" s="1670"/>
      <c r="C211" s="1697" t="s">
        <v>386</v>
      </c>
      <c r="D211" s="1665"/>
      <c r="E211" s="1665"/>
      <c r="F211" s="1665"/>
      <c r="G211" s="1665"/>
      <c r="H211" s="1665"/>
      <c r="I211" s="1665"/>
      <c r="J211" s="1665"/>
      <c r="K211" s="1666"/>
      <c r="L211" s="1290"/>
    </row>
    <row r="212" spans="1:12" ht="112.5" hidden="1" customHeight="1">
      <c r="A212" s="2738"/>
      <c r="B212" s="1670"/>
      <c r="C212" s="1656" t="s">
        <v>387</v>
      </c>
      <c r="D212" s="1665"/>
      <c r="E212" s="1665"/>
      <c r="F212" s="1665"/>
      <c r="G212" s="1665"/>
      <c r="H212" s="1665"/>
      <c r="I212" s="1665"/>
      <c r="J212" s="1665"/>
      <c r="K212" s="1666"/>
      <c r="L212" s="1290"/>
    </row>
    <row r="213" spans="1:12" ht="81" hidden="1">
      <c r="A213" s="2739" t="s">
        <v>388</v>
      </c>
      <c r="B213" s="1670"/>
      <c r="C213" s="1697" t="s">
        <v>389</v>
      </c>
      <c r="D213" s="1665"/>
      <c r="E213" s="1665"/>
      <c r="F213" s="1665"/>
      <c r="G213" s="1665"/>
      <c r="H213" s="1665"/>
      <c r="I213" s="1665"/>
      <c r="J213" s="1665"/>
      <c r="K213" s="1666"/>
      <c r="L213" s="1290"/>
    </row>
    <row r="214" spans="1:12" ht="69" hidden="1" customHeight="1">
      <c r="A214" s="2739"/>
      <c r="B214" s="1670"/>
      <c r="C214" s="1656" t="s">
        <v>390</v>
      </c>
      <c r="D214" s="1665"/>
      <c r="E214" s="1665"/>
      <c r="F214" s="1665"/>
      <c r="G214" s="1665"/>
      <c r="H214" s="1665"/>
      <c r="I214" s="1665"/>
      <c r="J214" s="1665"/>
      <c r="K214" s="1666"/>
      <c r="L214" s="1290"/>
    </row>
    <row r="215" spans="1:12" hidden="1">
      <c r="A215" s="1660"/>
      <c r="B215" s="1670"/>
      <c r="C215" s="1656"/>
      <c r="D215" s="1665"/>
      <c r="E215" s="1665"/>
      <c r="F215" s="1665"/>
      <c r="G215" s="1665"/>
      <c r="H215" s="1665"/>
      <c r="I215" s="1665"/>
      <c r="J215" s="1665"/>
      <c r="K215" s="1666"/>
      <c r="L215" s="1290"/>
    </row>
    <row r="216" spans="1:12" ht="97.2" hidden="1">
      <c r="A216" s="1660"/>
      <c r="B216" s="1698">
        <f>B194+0.01</f>
        <v>2.11</v>
      </c>
      <c r="C216" s="1696" t="s">
        <v>391</v>
      </c>
      <c r="D216" s="1665"/>
      <c r="E216" s="1665"/>
      <c r="F216" s="1665"/>
      <c r="G216" s="1665"/>
      <c r="H216" s="1665"/>
      <c r="I216" s="1665"/>
      <c r="J216" s="1665"/>
      <c r="K216" s="1666"/>
      <c r="L216" s="1290"/>
    </row>
    <row r="217" spans="1:12" hidden="1">
      <c r="A217" s="1660"/>
      <c r="B217" s="1670"/>
      <c r="C217" s="1696"/>
      <c r="D217" s="1665"/>
      <c r="E217" s="1665"/>
      <c r="F217" s="1665"/>
      <c r="G217" s="1665"/>
      <c r="H217" s="1665"/>
      <c r="I217" s="1665"/>
      <c r="J217" s="1665"/>
      <c r="K217" s="1666"/>
      <c r="L217" s="1290"/>
    </row>
    <row r="218" spans="1:12" ht="95.1" hidden="1" customHeight="1">
      <c r="A218" s="1660"/>
      <c r="B218" s="1670"/>
      <c r="C218" s="1656" t="s">
        <v>392</v>
      </c>
      <c r="D218" s="1665"/>
      <c r="E218" s="1665"/>
      <c r="F218" s="1665"/>
      <c r="G218" s="1665"/>
      <c r="H218" s="1665"/>
      <c r="I218" s="1665"/>
      <c r="J218" s="1665"/>
      <c r="K218" s="1666"/>
      <c r="L218" s="1290"/>
    </row>
    <row r="219" spans="1:12" ht="69" hidden="1" customHeight="1">
      <c r="A219" s="1660"/>
      <c r="B219" s="1670"/>
      <c r="C219" s="1656" t="s">
        <v>393</v>
      </c>
      <c r="D219" s="1665"/>
      <c r="E219" s="1665"/>
      <c r="F219" s="1665"/>
      <c r="G219" s="1665"/>
      <c r="H219" s="1665"/>
      <c r="I219" s="1665"/>
      <c r="J219" s="1665"/>
      <c r="K219" s="1666"/>
      <c r="L219" s="1290"/>
    </row>
    <row r="220" spans="1:12" hidden="1">
      <c r="A220" s="1660"/>
      <c r="B220" s="1670"/>
      <c r="C220" s="2721"/>
      <c r="D220" s="2722"/>
      <c r="E220" s="2722"/>
      <c r="F220" s="2722"/>
      <c r="G220" s="2722"/>
      <c r="H220" s="2722"/>
      <c r="I220" s="2722"/>
      <c r="J220" s="2722"/>
      <c r="K220" s="2723"/>
      <c r="L220" s="1290"/>
    </row>
    <row r="221" spans="1:12" ht="20.25" hidden="1" customHeight="1">
      <c r="A221" s="1660"/>
      <c r="B221" s="1706">
        <f>B194+0.01</f>
        <v>2.11</v>
      </c>
      <c r="C221" s="2740" t="s">
        <v>394</v>
      </c>
      <c r="D221" s="2741"/>
      <c r="E221" s="2741"/>
      <c r="F221" s="2741"/>
      <c r="G221" s="2741"/>
      <c r="H221" s="2741"/>
      <c r="I221" s="2741"/>
      <c r="J221" s="2741"/>
      <c r="K221" s="2742"/>
      <c r="L221" s="1290"/>
    </row>
    <row r="222" spans="1:12" ht="6.75" hidden="1" customHeight="1">
      <c r="A222" s="1660"/>
      <c r="B222" s="1707"/>
      <c r="C222" s="1708"/>
      <c r="D222" s="1655"/>
      <c r="E222" s="1655"/>
      <c r="F222" s="1655"/>
      <c r="G222" s="1655"/>
      <c r="H222" s="1655"/>
      <c r="I222" s="1655"/>
      <c r="J222" s="1655"/>
      <c r="K222" s="1656"/>
      <c r="L222" s="1290"/>
    </row>
    <row r="223" spans="1:12" ht="44.85" hidden="1" customHeight="1">
      <c r="A223" s="1660"/>
      <c r="B223" s="1707"/>
      <c r="C223" s="2743" t="s">
        <v>395</v>
      </c>
      <c r="D223" s="2744"/>
      <c r="E223" s="2744"/>
      <c r="F223" s="2744"/>
      <c r="G223" s="2744"/>
      <c r="H223" s="2744"/>
      <c r="I223" s="2744"/>
      <c r="J223" s="2744"/>
      <c r="K223" s="2745"/>
      <c r="L223" s="1290"/>
    </row>
    <row r="224" spans="1:12" hidden="1">
      <c r="A224" s="1660"/>
      <c r="B224" s="1670"/>
      <c r="C224" s="1704"/>
      <c r="D224" s="1655"/>
      <c r="E224" s="1655"/>
      <c r="F224" s="1655"/>
      <c r="G224" s="1655"/>
      <c r="H224" s="1655"/>
      <c r="I224" s="1655"/>
      <c r="J224" s="1655"/>
      <c r="K224" s="1656"/>
      <c r="L224" s="1290"/>
    </row>
    <row r="225" spans="1:12" hidden="1">
      <c r="A225" s="1660"/>
      <c r="B225" s="1670"/>
      <c r="C225" s="1704"/>
      <c r="D225" s="1655"/>
      <c r="E225" s="1655"/>
      <c r="F225" s="1655"/>
      <c r="G225" s="1655"/>
      <c r="H225" s="1655"/>
      <c r="I225" s="1655"/>
      <c r="J225" s="1655"/>
      <c r="K225" s="1656"/>
      <c r="L225" s="1290"/>
    </row>
    <row r="226" spans="1:12" hidden="1">
      <c r="A226" s="1660"/>
      <c r="B226" s="1670"/>
      <c r="C226" s="1704"/>
      <c r="D226" s="1655"/>
      <c r="E226" s="1655"/>
      <c r="F226" s="1655"/>
      <c r="G226" s="1655"/>
      <c r="H226" s="1655"/>
      <c r="I226" s="1655"/>
      <c r="J226" s="1655"/>
      <c r="K226" s="1656"/>
      <c r="L226" s="1290"/>
    </row>
    <row r="227" spans="1:12" hidden="1">
      <c r="A227" s="1660"/>
      <c r="B227" s="1698">
        <f>B221+0.01</f>
        <v>2.1199999999999997</v>
      </c>
      <c r="C227" s="2731" t="s">
        <v>396</v>
      </c>
      <c r="D227" s="2732"/>
      <c r="E227" s="2732"/>
      <c r="F227" s="2732"/>
      <c r="G227" s="2732"/>
      <c r="H227" s="2732"/>
      <c r="I227" s="2732"/>
      <c r="J227" s="2732"/>
      <c r="K227" s="2733"/>
      <c r="L227" s="1290"/>
    </row>
    <row r="228" spans="1:12" hidden="1">
      <c r="A228" s="1660"/>
      <c r="B228" s="1670"/>
      <c r="C228" s="2721"/>
      <c r="D228" s="2722"/>
      <c r="E228" s="2722"/>
      <c r="F228" s="2722"/>
      <c r="G228" s="2722"/>
      <c r="H228" s="2722"/>
      <c r="I228" s="2722"/>
      <c r="J228" s="2722"/>
      <c r="K228" s="2723"/>
      <c r="L228" s="1290"/>
    </row>
    <row r="229" spans="1:12" ht="99.75" hidden="1" customHeight="1">
      <c r="A229" s="1686" t="s">
        <v>397</v>
      </c>
      <c r="B229" s="1670"/>
      <c r="C229" s="2721" t="s">
        <v>398</v>
      </c>
      <c r="D229" s="2722"/>
      <c r="E229" s="2722"/>
      <c r="F229" s="2722"/>
      <c r="G229" s="2722"/>
      <c r="H229" s="2722"/>
      <c r="I229" s="2722"/>
      <c r="J229" s="2722"/>
      <c r="K229" s="2723"/>
      <c r="L229" s="1290"/>
    </row>
    <row r="230" spans="1:12" hidden="1">
      <c r="A230" s="1686"/>
      <c r="B230" s="1670"/>
      <c r="C230" s="2721"/>
      <c r="D230" s="2722"/>
      <c r="E230" s="2722"/>
      <c r="F230" s="2722"/>
      <c r="G230" s="2722"/>
      <c r="H230" s="2722"/>
      <c r="I230" s="2722"/>
      <c r="J230" s="2722"/>
      <c r="K230" s="2723"/>
      <c r="L230" s="1290"/>
    </row>
    <row r="231" spans="1:12" hidden="1">
      <c r="A231" s="1686"/>
      <c r="B231" s="1698">
        <f>B227+0.01</f>
        <v>2.1299999999999994</v>
      </c>
      <c r="C231" s="2731" t="s">
        <v>399</v>
      </c>
      <c r="D231" s="2732"/>
      <c r="E231" s="2732"/>
      <c r="F231" s="2732"/>
      <c r="G231" s="2732"/>
      <c r="H231" s="2732"/>
      <c r="I231" s="2732"/>
      <c r="J231" s="2732"/>
      <c r="K231" s="2733"/>
      <c r="L231" s="1290"/>
    </row>
    <row r="232" spans="1:12" hidden="1">
      <c r="A232" s="1686"/>
      <c r="B232" s="1698"/>
      <c r="C232" s="2721"/>
      <c r="D232" s="2722"/>
      <c r="E232" s="2722"/>
      <c r="F232" s="2722"/>
      <c r="G232" s="2722"/>
      <c r="H232" s="2722"/>
      <c r="I232" s="2722"/>
      <c r="J232" s="2722"/>
      <c r="K232" s="2723"/>
      <c r="L232" s="1290"/>
    </row>
    <row r="233" spans="1:12" ht="30.75" hidden="1" customHeight="1">
      <c r="A233" s="1686"/>
      <c r="B233" s="1698"/>
      <c r="C233" s="2721" t="s">
        <v>400</v>
      </c>
      <c r="D233" s="2722"/>
      <c r="E233" s="2722"/>
      <c r="F233" s="2722"/>
      <c r="G233" s="2722"/>
      <c r="H233" s="2722"/>
      <c r="I233" s="2722"/>
      <c r="J233" s="2722"/>
      <c r="K233" s="2723"/>
      <c r="L233" s="1290"/>
    </row>
    <row r="234" spans="1:12" ht="409.6" hidden="1" thickBot="1">
      <c r="A234" s="1705" t="s">
        <v>401</v>
      </c>
      <c r="B234" s="1673"/>
      <c r="C234" s="1674" t="s">
        <v>402</v>
      </c>
      <c r="D234" s="1665"/>
      <c r="E234" s="1665"/>
      <c r="F234" s="1665"/>
      <c r="G234" s="1665"/>
      <c r="H234" s="1665"/>
      <c r="I234" s="1665"/>
      <c r="J234" s="1665"/>
      <c r="K234" s="1666"/>
      <c r="L234" s="1290"/>
    </row>
    <row r="235" spans="1:12" hidden="1">
      <c r="A235" s="1690"/>
      <c r="B235" s="1676"/>
      <c r="C235" s="1655"/>
      <c r="D235" s="1665"/>
      <c r="E235" s="1665"/>
      <c r="F235" s="1665"/>
      <c r="G235" s="1665"/>
      <c r="H235" s="1665"/>
      <c r="I235" s="1665"/>
      <c r="J235" s="1665"/>
      <c r="K235" s="1666"/>
      <c r="L235" s="1290"/>
    </row>
    <row r="236" spans="1:12" hidden="1">
      <c r="A236" s="2727" t="str">
        <f>$A$2</f>
        <v>M/s. Sathiapal Engineers (India) Private Limited
(Formerly known as M/S Sathiapal Engineers (India) Limited)</v>
      </c>
      <c r="B236" s="2728"/>
      <c r="C236" s="2728"/>
      <c r="D236" s="1665"/>
      <c r="E236" s="1665"/>
      <c r="F236" s="1665"/>
      <c r="G236" s="1665"/>
      <c r="H236" s="1665"/>
      <c r="I236" s="1665"/>
      <c r="J236" s="1665"/>
      <c r="K236" s="1666"/>
      <c r="L236" s="1290"/>
    </row>
    <row r="237" spans="1:12" hidden="1">
      <c r="A237" s="2727" t="str">
        <f>$A$3</f>
        <v>New No. 57, Old No. 3, Canal Road, Kilpauk Garden Colony, Kilpauk, Chennai 600 010.</v>
      </c>
      <c r="B237" s="2728"/>
      <c r="C237" s="2728"/>
      <c r="D237" s="1665"/>
      <c r="E237" s="1665"/>
      <c r="F237" s="1665"/>
      <c r="G237" s="1665"/>
      <c r="H237" s="1665"/>
      <c r="I237" s="1665"/>
      <c r="J237" s="1665"/>
      <c r="K237" s="1666"/>
      <c r="L237" s="1290"/>
    </row>
    <row r="238" spans="1:12" hidden="1">
      <c r="A238" s="2727" t="str">
        <f>$A$4</f>
        <v>Notes forming part of the financial statements</v>
      </c>
      <c r="B238" s="2728" t="s">
        <v>316</v>
      </c>
      <c r="C238" s="2728"/>
      <c r="D238" s="1665"/>
      <c r="E238" s="1665"/>
      <c r="F238" s="1665"/>
      <c r="G238" s="1665"/>
      <c r="H238" s="1665"/>
      <c r="I238" s="1665"/>
      <c r="J238" s="1665"/>
      <c r="K238" s="1666"/>
      <c r="L238" s="1290"/>
    </row>
    <row r="239" spans="1:12" hidden="1">
      <c r="A239" s="1675"/>
      <c r="B239" s="1677"/>
      <c r="C239" s="1655"/>
      <c r="D239" s="1665"/>
      <c r="E239" s="1665"/>
      <c r="F239" s="1665"/>
      <c r="G239" s="1665"/>
      <c r="H239" s="1665"/>
      <c r="I239" s="1665"/>
      <c r="J239" s="1665"/>
      <c r="K239" s="1666"/>
      <c r="L239" s="1290"/>
    </row>
    <row r="240" spans="1:12" ht="194.4" hidden="1">
      <c r="A240" s="1675"/>
      <c r="B240" s="1677" t="s">
        <v>329</v>
      </c>
      <c r="C240" s="1655"/>
      <c r="D240" s="1665"/>
      <c r="E240" s="1665"/>
      <c r="F240" s="1665"/>
      <c r="G240" s="1665"/>
      <c r="H240" s="1665"/>
      <c r="I240" s="1665"/>
      <c r="J240" s="1665"/>
      <c r="K240" s="1666"/>
      <c r="L240" s="1290"/>
    </row>
    <row r="241" spans="1:12" hidden="1">
      <c r="A241" s="1675"/>
      <c r="B241" s="1678"/>
      <c r="C241" s="1655"/>
      <c r="D241" s="1665"/>
      <c r="E241" s="1665"/>
      <c r="F241" s="1665"/>
      <c r="G241" s="1665"/>
      <c r="H241" s="1665"/>
      <c r="I241" s="1665"/>
      <c r="J241" s="1665"/>
      <c r="K241" s="1666"/>
      <c r="L241" s="1290"/>
    </row>
    <row r="242" spans="1:12" ht="32.4" hidden="1">
      <c r="A242" s="2729" t="s">
        <v>317</v>
      </c>
      <c r="B242" s="1679" t="s">
        <v>309</v>
      </c>
      <c r="C242" s="1680" t="s">
        <v>1</v>
      </c>
      <c r="D242" s="1665"/>
      <c r="E242" s="1665"/>
      <c r="F242" s="1665"/>
      <c r="G242" s="1665"/>
      <c r="H242" s="1665"/>
      <c r="I242" s="1665"/>
      <c r="J242" s="1665"/>
      <c r="K242" s="1666"/>
      <c r="L242" s="1290"/>
    </row>
    <row r="243" spans="1:12" hidden="1">
      <c r="A243" s="2730"/>
      <c r="B243" s="1681"/>
      <c r="C243" s="1682"/>
      <c r="D243" s="1665"/>
      <c r="E243" s="1665"/>
      <c r="F243" s="1665"/>
      <c r="G243" s="1665"/>
      <c r="H243" s="1665"/>
      <c r="I243" s="1665"/>
      <c r="J243" s="1665"/>
      <c r="K243" s="1666"/>
      <c r="L243" s="1290"/>
    </row>
    <row r="244" spans="1:12" ht="138.6" hidden="1" customHeight="1">
      <c r="A244" s="1686" t="s">
        <v>401</v>
      </c>
      <c r="B244" s="1670"/>
      <c r="C244" s="1656" t="s">
        <v>403</v>
      </c>
      <c r="D244" s="1665"/>
      <c r="E244" s="1665"/>
      <c r="F244" s="1665"/>
      <c r="G244" s="1665"/>
      <c r="H244" s="1665"/>
      <c r="I244" s="1665"/>
      <c r="J244" s="1665"/>
      <c r="K244" s="1666"/>
      <c r="L244" s="1290"/>
    </row>
    <row r="245" spans="1:12" hidden="1">
      <c r="A245" s="1686"/>
      <c r="B245" s="1670"/>
      <c r="C245" s="1656"/>
      <c r="D245" s="1665"/>
      <c r="E245" s="1665"/>
      <c r="F245" s="1665"/>
      <c r="G245" s="1665"/>
      <c r="H245" s="1665"/>
      <c r="I245" s="1665"/>
      <c r="J245" s="1665"/>
      <c r="K245" s="1666"/>
      <c r="L245" s="1290"/>
    </row>
    <row r="246" spans="1:12" hidden="1">
      <c r="A246" s="1660"/>
      <c r="B246" s="1698">
        <v>2.1800000000000002</v>
      </c>
      <c r="C246" s="1696" t="s">
        <v>404</v>
      </c>
      <c r="D246" s="1665"/>
      <c r="E246" s="1665"/>
      <c r="F246" s="1665"/>
      <c r="G246" s="1665"/>
      <c r="H246" s="1665"/>
      <c r="I246" s="1665"/>
      <c r="J246" s="1665"/>
      <c r="K246" s="1666"/>
      <c r="L246" s="1290"/>
    </row>
    <row r="247" spans="1:12" hidden="1">
      <c r="A247" s="1660"/>
      <c r="B247" s="1670"/>
      <c r="C247" s="1696"/>
      <c r="D247" s="1665"/>
      <c r="E247" s="1665"/>
      <c r="F247" s="1665"/>
      <c r="G247" s="1665"/>
      <c r="H247" s="1665"/>
      <c r="I247" s="1665"/>
      <c r="J247" s="1665"/>
      <c r="K247" s="1666"/>
      <c r="L247" s="1290"/>
    </row>
    <row r="248" spans="1:12" ht="187.35" hidden="1" customHeight="1">
      <c r="A248" s="1686" t="s">
        <v>405</v>
      </c>
      <c r="B248" s="1670"/>
      <c r="C248" s="1656" t="s">
        <v>406</v>
      </c>
      <c r="D248" s="1665"/>
      <c r="E248" s="1665"/>
      <c r="F248" s="1665"/>
      <c r="G248" s="1665"/>
      <c r="H248" s="1665"/>
      <c r="I248" s="1665"/>
      <c r="J248" s="1665"/>
      <c r="K248" s="1666"/>
      <c r="L248" s="1290"/>
    </row>
    <row r="249" spans="1:12" ht="14.25" customHeight="1">
      <c r="A249" s="1686"/>
      <c r="B249" s="1670"/>
      <c r="C249" s="1655"/>
      <c r="D249" s="1665"/>
      <c r="E249" s="1665"/>
      <c r="F249" s="1665"/>
      <c r="G249" s="1665"/>
      <c r="H249" s="1665"/>
      <c r="I249" s="1665"/>
      <c r="J249" s="1665"/>
      <c r="K249" s="1666"/>
      <c r="L249" s="1290"/>
    </row>
    <row r="250" spans="1:12" s="710" customFormat="1">
      <c r="A250" s="1652"/>
      <c r="B250" s="1698">
        <f>B194+0.01</f>
        <v>2.11</v>
      </c>
      <c r="C250" s="2731" t="s">
        <v>3</v>
      </c>
      <c r="D250" s="2732"/>
      <c r="E250" s="2732"/>
      <c r="F250" s="2732"/>
      <c r="G250" s="2732"/>
      <c r="H250" s="2732"/>
      <c r="I250" s="2732"/>
      <c r="J250" s="2732"/>
      <c r="K250" s="2733"/>
      <c r="L250" s="1695"/>
    </row>
    <row r="251" spans="1:12" s="710" customFormat="1">
      <c r="A251" s="1652"/>
      <c r="B251" s="1670"/>
      <c r="C251" s="2721"/>
      <c r="D251" s="2722"/>
      <c r="E251" s="2722"/>
      <c r="F251" s="2722"/>
      <c r="G251" s="2722"/>
      <c r="H251" s="2722"/>
      <c r="I251" s="2722"/>
      <c r="J251" s="2722"/>
      <c r="K251" s="2723"/>
      <c r="L251" s="1695"/>
    </row>
    <row r="252" spans="1:12" ht="215.85" customHeight="1" thickBot="1">
      <c r="A252" s="1686" t="s">
        <v>407</v>
      </c>
      <c r="B252" s="1673"/>
      <c r="C252" s="2724" t="s">
        <v>408</v>
      </c>
      <c r="D252" s="2725"/>
      <c r="E252" s="2725"/>
      <c r="F252" s="2725"/>
      <c r="G252" s="2725"/>
      <c r="H252" s="2725"/>
      <c r="I252" s="2725"/>
      <c r="J252" s="2725"/>
      <c r="K252" s="2726"/>
      <c r="L252" s="1290"/>
    </row>
    <row r="253" spans="1:12" hidden="1">
      <c r="A253" s="2734" t="str">
        <f>$A$2</f>
        <v>M/s. Sathiapal Engineers (India) Private Limited
(Formerly known as M/S Sathiapal Engineers (India) Limited)</v>
      </c>
      <c r="B253" s="2732"/>
      <c r="C253" s="2732"/>
      <c r="D253" s="2732"/>
      <c r="E253" s="2732"/>
      <c r="F253" s="2732"/>
      <c r="G253" s="2732"/>
      <c r="H253" s="2732"/>
      <c r="I253" s="2732"/>
      <c r="J253" s="2731"/>
      <c r="K253" s="2733"/>
      <c r="L253" s="1290"/>
    </row>
    <row r="254" spans="1:12" hidden="1">
      <c r="A254" s="2734" t="str">
        <f>$A$3</f>
        <v>New No. 57, Old No. 3, Canal Road, Kilpauk Garden Colony, Kilpauk, Chennai 600 010.</v>
      </c>
      <c r="B254" s="2732"/>
      <c r="C254" s="2732"/>
      <c r="D254" s="2732"/>
      <c r="E254" s="2732"/>
      <c r="F254" s="2732"/>
      <c r="G254" s="2732"/>
      <c r="H254" s="2732"/>
      <c r="I254" s="2732"/>
      <c r="J254" s="2731"/>
      <c r="K254" s="2733"/>
      <c r="L254" s="1290"/>
    </row>
    <row r="255" spans="1:12" hidden="1">
      <c r="A255" s="2734" t="str">
        <f>$A$4</f>
        <v>Notes forming part of the financial statements</v>
      </c>
      <c r="B255" s="2732" t="s">
        <v>316</v>
      </c>
      <c r="C255" s="2732"/>
      <c r="D255" s="2732"/>
      <c r="E255" s="2732"/>
      <c r="F255" s="2732"/>
      <c r="G255" s="2732"/>
      <c r="H255" s="2732"/>
      <c r="I255" s="2732"/>
      <c r="J255" s="2731"/>
      <c r="K255" s="2733"/>
      <c r="L255" s="1290"/>
    </row>
    <row r="256" spans="1:12" hidden="1">
      <c r="A256" s="2734"/>
      <c r="B256" s="2732" t="s">
        <v>329</v>
      </c>
      <c r="C256" s="2732"/>
      <c r="D256" s="2732"/>
      <c r="E256" s="2732"/>
      <c r="F256" s="2732"/>
      <c r="G256" s="2732"/>
      <c r="H256" s="2732"/>
      <c r="I256" s="2732"/>
      <c r="J256" s="2731"/>
      <c r="K256" s="2733"/>
      <c r="L256" s="1290"/>
    </row>
    <row r="257" spans="1:12" hidden="1">
      <c r="A257" s="2734"/>
      <c r="B257" s="2732"/>
      <c r="C257" s="2732"/>
      <c r="D257" s="2732"/>
      <c r="E257" s="2732"/>
      <c r="F257" s="2732"/>
      <c r="G257" s="2732"/>
      <c r="H257" s="2732"/>
      <c r="I257" s="2732"/>
      <c r="J257" s="2731"/>
      <c r="K257" s="2733"/>
      <c r="L257" s="1290"/>
    </row>
    <row r="258" spans="1:12" ht="32.4" hidden="1">
      <c r="A258" s="2729" t="s">
        <v>317</v>
      </c>
      <c r="B258" s="1679" t="s">
        <v>309</v>
      </c>
      <c r="C258" s="1680" t="s">
        <v>1</v>
      </c>
      <c r="D258" s="1665"/>
      <c r="E258" s="1665"/>
      <c r="F258" s="1665"/>
      <c r="G258" s="1665"/>
      <c r="H258" s="1665"/>
      <c r="I258" s="1665"/>
      <c r="J258" s="1665"/>
      <c r="K258" s="1666"/>
      <c r="L258" s="1290"/>
    </row>
    <row r="259" spans="1:12" hidden="1">
      <c r="A259" s="2730"/>
      <c r="B259" s="1681"/>
      <c r="C259" s="1682"/>
      <c r="D259" s="1665"/>
      <c r="E259" s="1665"/>
      <c r="F259" s="1665"/>
      <c r="G259" s="1665"/>
      <c r="H259" s="1665"/>
      <c r="I259" s="1665"/>
      <c r="J259" s="1665"/>
      <c r="K259" s="1666"/>
      <c r="L259" s="1290"/>
    </row>
    <row r="260" spans="1:12" s="714" customFormat="1" ht="15" thickBot="1">
      <c r="A260" s="515"/>
      <c r="B260" s="515"/>
      <c r="C260" s="515"/>
      <c r="D260" s="515"/>
      <c r="E260" s="515"/>
      <c r="F260" s="515"/>
      <c r="G260" s="515"/>
      <c r="H260" s="515"/>
      <c r="I260" s="515"/>
      <c r="J260" s="515"/>
      <c r="K260" s="515"/>
      <c r="L260" s="515"/>
    </row>
    <row r="261" spans="1:12" ht="12.75" customHeight="1" thickBot="1">
      <c r="A261" s="1709"/>
      <c r="B261" s="1710"/>
      <c r="C261" s="1711"/>
      <c r="D261" s="1712"/>
      <c r="E261" s="1712"/>
      <c r="F261" s="1712"/>
      <c r="G261" s="1712"/>
      <c r="H261" s="1712"/>
      <c r="I261" s="1712"/>
      <c r="J261" s="1712"/>
      <c r="K261" s="1713"/>
      <c r="L261" s="1290"/>
    </row>
    <row r="262" spans="1:12">
      <c r="A262" s="1714"/>
      <c r="B262" s="1715">
        <f>B250+0.01</f>
        <v>2.1199999999999997</v>
      </c>
      <c r="C262" s="2731" t="s">
        <v>409</v>
      </c>
      <c r="D262" s="2732"/>
      <c r="E262" s="2732"/>
      <c r="F262" s="2732"/>
      <c r="G262" s="2732"/>
      <c r="H262" s="2732"/>
      <c r="I262" s="2732"/>
      <c r="J262" s="2732"/>
      <c r="K262" s="2733"/>
      <c r="L262" s="1290"/>
    </row>
    <row r="263" spans="1:12" s="710" customFormat="1">
      <c r="A263" s="1652"/>
      <c r="B263" s="1715"/>
      <c r="C263" s="2721"/>
      <c r="D263" s="2722"/>
      <c r="E263" s="2722"/>
      <c r="F263" s="1716"/>
      <c r="G263" s="1716"/>
      <c r="H263" s="1716"/>
      <c r="I263" s="1716"/>
      <c r="J263" s="1716"/>
      <c r="K263" s="1717"/>
      <c r="L263" s="1695"/>
    </row>
    <row r="264" spans="1:12" ht="132" customHeight="1">
      <c r="A264" s="1686" t="s">
        <v>410</v>
      </c>
      <c r="B264" s="1670"/>
      <c r="C264" s="2721" t="s">
        <v>411</v>
      </c>
      <c r="D264" s="2722"/>
      <c r="E264" s="2722"/>
      <c r="F264" s="2722"/>
      <c r="G264" s="2722"/>
      <c r="H264" s="2722"/>
      <c r="I264" s="2722"/>
      <c r="J264" s="2722"/>
      <c r="K264" s="2723"/>
      <c r="L264" s="1290"/>
    </row>
    <row r="265" spans="1:12" ht="170.85" customHeight="1">
      <c r="A265" s="1686"/>
      <c r="B265" s="1670"/>
      <c r="C265" s="2721" t="s">
        <v>412</v>
      </c>
      <c r="D265" s="2722"/>
      <c r="E265" s="2722"/>
      <c r="F265" s="2722"/>
      <c r="G265" s="2722"/>
      <c r="H265" s="2722"/>
      <c r="I265" s="2722"/>
      <c r="J265" s="2722"/>
      <c r="K265" s="2723"/>
      <c r="L265" s="1290"/>
    </row>
    <row r="266" spans="1:12" ht="153" hidden="1" customHeight="1">
      <c r="A266" s="1686"/>
      <c r="B266" s="1670"/>
      <c r="C266" s="2721" t="s">
        <v>412</v>
      </c>
      <c r="D266" s="2722"/>
      <c r="E266" s="2722"/>
      <c r="F266" s="2722"/>
      <c r="G266" s="2722"/>
      <c r="H266" s="2722"/>
      <c r="I266" s="2722"/>
      <c r="J266" s="2722"/>
      <c r="K266" s="2723"/>
      <c r="L266" s="1290"/>
    </row>
    <row r="267" spans="1:12" ht="34.5" customHeight="1">
      <c r="A267" s="1660"/>
      <c r="B267" s="1670"/>
      <c r="C267" s="2735" t="s">
        <v>413</v>
      </c>
      <c r="D267" s="2736"/>
      <c r="E267" s="2736"/>
      <c r="F267" s="2736"/>
      <c r="G267" s="2736"/>
      <c r="H267" s="2736"/>
      <c r="I267" s="2736"/>
      <c r="J267" s="2736"/>
      <c r="K267" s="2737"/>
      <c r="L267" s="1290"/>
    </row>
    <row r="268" spans="1:12">
      <c r="A268" s="1660"/>
      <c r="B268" s="1670"/>
      <c r="C268" s="2721"/>
      <c r="D268" s="2722"/>
      <c r="E268" s="2722"/>
      <c r="F268" s="2722"/>
      <c r="G268" s="2722"/>
      <c r="H268" s="2722"/>
      <c r="I268" s="2722"/>
      <c r="J268" s="2722"/>
      <c r="K268" s="2723"/>
      <c r="L268" s="1290"/>
    </row>
    <row r="269" spans="1:12" s="710" customFormat="1" ht="97.2" hidden="1">
      <c r="A269" s="1652"/>
      <c r="B269" s="1698">
        <v>2.21</v>
      </c>
      <c r="C269" s="1696" t="s">
        <v>414</v>
      </c>
      <c r="D269" s="1716"/>
      <c r="E269" s="1716"/>
      <c r="F269" s="1716"/>
      <c r="G269" s="1716"/>
      <c r="H269" s="1716"/>
      <c r="I269" s="1716"/>
      <c r="J269" s="1716"/>
      <c r="K269" s="1717"/>
      <c r="L269" s="1695"/>
    </row>
    <row r="270" spans="1:12" s="710" customFormat="1" hidden="1">
      <c r="A270" s="1652"/>
      <c r="B270" s="1670"/>
      <c r="C270" s="1696"/>
      <c r="D270" s="1716"/>
      <c r="E270" s="1716"/>
      <c r="F270" s="1716"/>
      <c r="G270" s="1716"/>
      <c r="H270" s="1716"/>
      <c r="I270" s="1716"/>
      <c r="J270" s="1716"/>
      <c r="K270" s="1717"/>
      <c r="L270" s="1695"/>
    </row>
    <row r="271" spans="1:12" ht="95.1" hidden="1" customHeight="1">
      <c r="A271" s="1686" t="s">
        <v>415</v>
      </c>
      <c r="B271" s="1670"/>
      <c r="C271" s="1656" t="s">
        <v>416</v>
      </c>
      <c r="D271" s="1665"/>
      <c r="E271" s="1665"/>
      <c r="F271" s="1665"/>
      <c r="G271" s="1665"/>
      <c r="H271" s="1665"/>
      <c r="I271" s="1665"/>
      <c r="J271" s="1665"/>
      <c r="K271" s="1666"/>
      <c r="L271" s="1290"/>
    </row>
    <row r="272" spans="1:12" hidden="1">
      <c r="A272" s="1686"/>
      <c r="B272" s="1670"/>
      <c r="C272" s="1656"/>
      <c r="D272" s="1665"/>
      <c r="E272" s="1665"/>
      <c r="F272" s="1665"/>
      <c r="G272" s="1665"/>
      <c r="H272" s="1665"/>
      <c r="I272" s="1665"/>
      <c r="J272" s="1665"/>
      <c r="K272" s="1666"/>
      <c r="L272" s="1290"/>
    </row>
    <row r="273" spans="1:12" s="710" customFormat="1" ht="64.8" hidden="1">
      <c r="A273" s="1652"/>
      <c r="B273" s="1698">
        <v>2.2200000000000002</v>
      </c>
      <c r="C273" s="1696" t="s">
        <v>417</v>
      </c>
      <c r="D273" s="1716"/>
      <c r="E273" s="1716"/>
      <c r="F273" s="1716"/>
      <c r="G273" s="1716"/>
      <c r="H273" s="1716"/>
      <c r="I273" s="1716"/>
      <c r="J273" s="1716"/>
      <c r="K273" s="1717"/>
      <c r="L273" s="1695"/>
    </row>
    <row r="274" spans="1:12" s="710" customFormat="1" hidden="1">
      <c r="A274" s="1652"/>
      <c r="B274" s="1670"/>
      <c r="C274" s="1696"/>
      <c r="D274" s="1716"/>
      <c r="E274" s="1716"/>
      <c r="F274" s="1716"/>
      <c r="G274" s="1716"/>
      <c r="H274" s="1716"/>
      <c r="I274" s="1716"/>
      <c r="J274" s="1716"/>
      <c r="K274" s="1717"/>
      <c r="L274" s="1695"/>
    </row>
    <row r="275" spans="1:12" ht="59.85" hidden="1" customHeight="1">
      <c r="A275" s="1660" t="s">
        <v>418</v>
      </c>
      <c r="B275" s="1670"/>
      <c r="C275" s="1656" t="s">
        <v>419</v>
      </c>
      <c r="D275" s="1665"/>
      <c r="E275" s="1665"/>
      <c r="F275" s="1665"/>
      <c r="G275" s="1665"/>
      <c r="H275" s="1665"/>
      <c r="I275" s="1665"/>
      <c r="J275" s="1665"/>
      <c r="K275" s="1666"/>
      <c r="L275" s="1290"/>
    </row>
    <row r="276" spans="1:12" ht="16.8" hidden="1" thickBot="1">
      <c r="A276" s="1672"/>
      <c r="B276" s="1673"/>
      <c r="C276" s="1674"/>
      <c r="D276" s="1665"/>
      <c r="E276" s="1665"/>
      <c r="F276" s="1665"/>
      <c r="G276" s="1665"/>
      <c r="H276" s="1665"/>
      <c r="I276" s="1665"/>
      <c r="J276" s="1665"/>
      <c r="K276" s="1666"/>
      <c r="L276" s="1290"/>
    </row>
    <row r="277" spans="1:12" hidden="1">
      <c r="A277" s="1675"/>
      <c r="B277" s="1676"/>
      <c r="C277" s="1655"/>
      <c r="D277" s="1665"/>
      <c r="E277" s="1665"/>
      <c r="F277" s="1665"/>
      <c r="G277" s="1665"/>
      <c r="H277" s="1665"/>
      <c r="I277" s="1665"/>
      <c r="J277" s="1665"/>
      <c r="K277" s="1666"/>
      <c r="L277" s="1290"/>
    </row>
    <row r="278" spans="1:12" hidden="1">
      <c r="A278" s="2727" t="str">
        <f>$A$2</f>
        <v>M/s. Sathiapal Engineers (India) Private Limited
(Formerly known as M/S Sathiapal Engineers (India) Limited)</v>
      </c>
      <c r="B278" s="2728"/>
      <c r="C278" s="2728"/>
      <c r="D278" s="1665"/>
      <c r="E278" s="1665"/>
      <c r="F278" s="1665"/>
      <c r="G278" s="1665"/>
      <c r="H278" s="1665"/>
      <c r="I278" s="1665"/>
      <c r="J278" s="1665"/>
      <c r="K278" s="1666"/>
      <c r="L278" s="1290"/>
    </row>
    <row r="279" spans="1:12" hidden="1">
      <c r="A279" s="2727" t="str">
        <f>$A$3</f>
        <v>New No. 57, Old No. 3, Canal Road, Kilpauk Garden Colony, Kilpauk, Chennai 600 010.</v>
      </c>
      <c r="B279" s="2728"/>
      <c r="C279" s="2728"/>
      <c r="D279" s="1665"/>
      <c r="E279" s="1665"/>
      <c r="F279" s="1665"/>
      <c r="G279" s="1665"/>
      <c r="H279" s="1665"/>
      <c r="I279" s="1665"/>
      <c r="J279" s="1665"/>
      <c r="K279" s="1666"/>
      <c r="L279" s="1290"/>
    </row>
    <row r="280" spans="1:12" hidden="1">
      <c r="A280" s="2727" t="str">
        <f>$A$4</f>
        <v>Notes forming part of the financial statements</v>
      </c>
      <c r="B280" s="2728" t="s">
        <v>316</v>
      </c>
      <c r="C280" s="2728"/>
      <c r="D280" s="1665"/>
      <c r="E280" s="1665"/>
      <c r="F280" s="1665"/>
      <c r="G280" s="1665"/>
      <c r="H280" s="1665"/>
      <c r="I280" s="1665"/>
      <c r="J280" s="1665"/>
      <c r="K280" s="1666"/>
      <c r="L280" s="1290"/>
    </row>
    <row r="281" spans="1:12" hidden="1">
      <c r="A281" s="1675"/>
      <c r="B281" s="1677"/>
      <c r="C281" s="1655"/>
      <c r="D281" s="1665"/>
      <c r="E281" s="1665"/>
      <c r="F281" s="1665"/>
      <c r="G281" s="1665"/>
      <c r="H281" s="1665"/>
      <c r="I281" s="1665"/>
      <c r="J281" s="1665"/>
      <c r="K281" s="1666"/>
      <c r="L281" s="1290"/>
    </row>
    <row r="282" spans="1:12" ht="194.4" hidden="1">
      <c r="A282" s="1675"/>
      <c r="B282" s="1677" t="s">
        <v>329</v>
      </c>
      <c r="C282" s="1655"/>
      <c r="D282" s="1665"/>
      <c r="E282" s="1665"/>
      <c r="F282" s="1665"/>
      <c r="G282" s="1665"/>
      <c r="H282" s="1665"/>
      <c r="I282" s="1665"/>
      <c r="J282" s="1665"/>
      <c r="K282" s="1666"/>
      <c r="L282" s="1290"/>
    </row>
    <row r="283" spans="1:12" hidden="1">
      <c r="A283" s="1675"/>
      <c r="B283" s="1678"/>
      <c r="C283" s="1655"/>
      <c r="D283" s="1665"/>
      <c r="E283" s="1665"/>
      <c r="F283" s="1665"/>
      <c r="G283" s="1665"/>
      <c r="H283" s="1665"/>
      <c r="I283" s="1665"/>
      <c r="J283" s="1665"/>
      <c r="K283" s="1666"/>
      <c r="L283" s="1290"/>
    </row>
    <row r="284" spans="1:12" ht="32.4" hidden="1">
      <c r="A284" s="2729" t="s">
        <v>317</v>
      </c>
      <c r="B284" s="1679" t="s">
        <v>309</v>
      </c>
      <c r="C284" s="1680" t="s">
        <v>1</v>
      </c>
      <c r="D284" s="1665"/>
      <c r="E284" s="1665"/>
      <c r="F284" s="1665"/>
      <c r="G284" s="1665"/>
      <c r="H284" s="1665"/>
      <c r="I284" s="1665"/>
      <c r="J284" s="1665"/>
      <c r="K284" s="1666"/>
      <c r="L284" s="1290"/>
    </row>
    <row r="285" spans="1:12" hidden="1">
      <c r="A285" s="2730"/>
      <c r="B285" s="1681"/>
      <c r="C285" s="1682"/>
      <c r="D285" s="1665"/>
      <c r="E285" s="1665"/>
      <c r="F285" s="1665"/>
      <c r="G285" s="1665"/>
      <c r="H285" s="1665"/>
      <c r="I285" s="1665"/>
      <c r="J285" s="1665"/>
      <c r="K285" s="1666"/>
      <c r="L285" s="1290"/>
    </row>
    <row r="286" spans="1:12" s="710" customFormat="1" ht="48.6" hidden="1">
      <c r="A286" s="1652"/>
      <c r="B286" s="1698">
        <v>2.23</v>
      </c>
      <c r="C286" s="1696" t="s">
        <v>420</v>
      </c>
      <c r="D286" s="1716"/>
      <c r="E286" s="1716"/>
      <c r="F286" s="1716"/>
      <c r="G286" s="1716"/>
      <c r="H286" s="1716"/>
      <c r="I286" s="1716"/>
      <c r="J286" s="1716"/>
      <c r="K286" s="1717"/>
      <c r="L286" s="1695"/>
    </row>
    <row r="287" spans="1:12" s="710" customFormat="1" hidden="1">
      <c r="A287" s="1652"/>
      <c r="B287" s="1670"/>
      <c r="C287" s="1696"/>
      <c r="D287" s="1716"/>
      <c r="E287" s="1716"/>
      <c r="F287" s="1716"/>
      <c r="G287" s="1716"/>
      <c r="H287" s="1716"/>
      <c r="I287" s="1716"/>
      <c r="J287" s="1716"/>
      <c r="K287" s="1717"/>
      <c r="L287" s="1695"/>
    </row>
    <row r="288" spans="1:12" ht="108" hidden="1" customHeight="1">
      <c r="A288" s="1686" t="s">
        <v>421</v>
      </c>
      <c r="B288" s="1670"/>
      <c r="C288" s="1656" t="s">
        <v>422</v>
      </c>
      <c r="D288" s="1665"/>
      <c r="E288" s="1665"/>
      <c r="F288" s="1665"/>
      <c r="G288" s="1665"/>
      <c r="H288" s="1665"/>
      <c r="I288" s="1665"/>
      <c r="J288" s="1665"/>
      <c r="K288" s="1666"/>
      <c r="L288" s="1290"/>
    </row>
    <row r="289" spans="1:12" hidden="1">
      <c r="A289" s="1686"/>
      <c r="B289" s="1670"/>
      <c r="C289" s="1656"/>
      <c r="D289" s="1665"/>
      <c r="E289" s="1665"/>
      <c r="F289" s="1665"/>
      <c r="G289" s="1665"/>
      <c r="H289" s="1665"/>
      <c r="I289" s="1665"/>
      <c r="J289" s="1665"/>
      <c r="K289" s="1666"/>
      <c r="L289" s="1290"/>
    </row>
    <row r="290" spans="1:12" s="710" customFormat="1">
      <c r="A290" s="1652"/>
      <c r="B290" s="1698">
        <f>B262+0.01</f>
        <v>2.1299999999999994</v>
      </c>
      <c r="C290" s="2731" t="s">
        <v>423</v>
      </c>
      <c r="D290" s="2732"/>
      <c r="E290" s="2732"/>
      <c r="F290" s="2732"/>
      <c r="G290" s="2732"/>
      <c r="H290" s="2732"/>
      <c r="I290" s="2732"/>
      <c r="J290" s="2732"/>
      <c r="K290" s="2733"/>
      <c r="L290" s="1695"/>
    </row>
    <row r="291" spans="1:12" s="710" customFormat="1">
      <c r="A291" s="1652"/>
      <c r="B291" s="1670"/>
      <c r="C291" s="2721"/>
      <c r="D291" s="2722"/>
      <c r="E291" s="2722"/>
      <c r="F291" s="2722"/>
      <c r="G291" s="2722"/>
      <c r="H291" s="2722"/>
      <c r="I291" s="2722"/>
      <c r="J291" s="2722"/>
      <c r="K291" s="2723"/>
      <c r="L291" s="1695"/>
    </row>
    <row r="292" spans="1:12" ht="64.5" customHeight="1">
      <c r="A292" s="1686" t="s">
        <v>424</v>
      </c>
      <c r="B292" s="1670"/>
      <c r="C292" s="2721" t="s">
        <v>425</v>
      </c>
      <c r="D292" s="2722"/>
      <c r="E292" s="2722"/>
      <c r="F292" s="2722"/>
      <c r="G292" s="2722"/>
      <c r="H292" s="2722"/>
      <c r="I292" s="2722"/>
      <c r="J292" s="2722"/>
      <c r="K292" s="2723"/>
      <c r="L292" s="1290"/>
    </row>
    <row r="293" spans="1:12" ht="16.8" thickBot="1">
      <c r="A293" s="1705"/>
      <c r="B293" s="1673"/>
      <c r="C293" s="2724"/>
      <c r="D293" s="2725"/>
      <c r="E293" s="2725"/>
      <c r="F293" s="2725"/>
      <c r="G293" s="2725"/>
      <c r="H293" s="2725"/>
      <c r="I293" s="2725"/>
      <c r="J293" s="2725"/>
      <c r="K293" s="2726"/>
      <c r="L293" s="1290"/>
    </row>
    <row r="294" spans="1:12" s="710" customFormat="1" ht="64.8" hidden="1">
      <c r="A294" s="1652"/>
      <c r="B294" s="1698">
        <v>2.25</v>
      </c>
      <c r="C294" s="1696" t="s">
        <v>313</v>
      </c>
      <c r="D294" s="1716"/>
      <c r="E294" s="1716"/>
      <c r="F294" s="1716"/>
      <c r="G294" s="1716"/>
      <c r="H294" s="1716"/>
      <c r="I294" s="1716"/>
      <c r="J294" s="1716"/>
      <c r="K294" s="1717"/>
      <c r="L294" s="1695"/>
    </row>
    <row r="295" spans="1:12" s="710" customFormat="1" hidden="1">
      <c r="A295" s="1652"/>
      <c r="B295" s="1670"/>
      <c r="C295" s="1696"/>
      <c r="D295" s="1716"/>
      <c r="E295" s="1716"/>
      <c r="F295" s="1716"/>
      <c r="G295" s="1716"/>
      <c r="H295" s="1716"/>
      <c r="I295" s="1716"/>
      <c r="J295" s="1716"/>
      <c r="K295" s="1717"/>
      <c r="L295" s="1695"/>
    </row>
    <row r="296" spans="1:12" ht="70.349999999999994" hidden="1" customHeight="1">
      <c r="A296" s="1686" t="s">
        <v>426</v>
      </c>
      <c r="B296" s="1670"/>
      <c r="C296" s="1656" t="s">
        <v>427</v>
      </c>
      <c r="D296" s="1665"/>
      <c r="E296" s="1665"/>
      <c r="F296" s="1665"/>
      <c r="G296" s="1665"/>
      <c r="H296" s="1665"/>
      <c r="I296" s="1665"/>
      <c r="J296" s="1665"/>
      <c r="K296" s="1666"/>
      <c r="L296" s="1290"/>
    </row>
    <row r="297" spans="1:12" ht="409.6" hidden="1">
      <c r="A297" s="1660"/>
      <c r="B297" s="1670"/>
      <c r="C297" s="1656" t="s">
        <v>428</v>
      </c>
      <c r="D297" s="1665"/>
      <c r="E297" s="1665"/>
      <c r="F297" s="1665"/>
      <c r="G297" s="1665"/>
      <c r="H297" s="1665"/>
      <c r="I297" s="1665"/>
      <c r="J297" s="1665"/>
      <c r="K297" s="1666"/>
      <c r="L297" s="1290"/>
    </row>
    <row r="298" spans="1:12" hidden="1">
      <c r="A298" s="1660"/>
      <c r="B298" s="1670"/>
      <c r="C298" s="1656"/>
      <c r="D298" s="1665"/>
      <c r="E298" s="1665"/>
      <c r="F298" s="1665"/>
      <c r="G298" s="1665"/>
      <c r="H298" s="1665"/>
      <c r="I298" s="1665"/>
      <c r="J298" s="1665"/>
      <c r="K298" s="1666"/>
      <c r="L298" s="1290"/>
    </row>
    <row r="299" spans="1:12" ht="48.6" hidden="1">
      <c r="A299" s="1660"/>
      <c r="B299" s="1670">
        <v>2.2599999999999998</v>
      </c>
      <c r="C299" s="1696" t="s">
        <v>429</v>
      </c>
      <c r="D299" s="1665"/>
      <c r="E299" s="1665"/>
      <c r="F299" s="1665"/>
      <c r="G299" s="1665"/>
      <c r="H299" s="1665"/>
      <c r="I299" s="1665"/>
      <c r="J299" s="1665"/>
      <c r="K299" s="1666"/>
      <c r="L299" s="1290"/>
    </row>
    <row r="300" spans="1:12" hidden="1">
      <c r="A300" s="1660"/>
      <c r="B300" s="1670"/>
      <c r="C300" s="1656"/>
      <c r="D300" s="1665"/>
      <c r="E300" s="1665"/>
      <c r="F300" s="1665"/>
      <c r="G300" s="1665"/>
      <c r="H300" s="1665"/>
      <c r="I300" s="1665"/>
      <c r="J300" s="1665"/>
      <c r="K300" s="1666"/>
      <c r="L300" s="1290"/>
    </row>
    <row r="301" spans="1:12" ht="201.6" hidden="1" customHeight="1">
      <c r="A301" s="1660"/>
      <c r="B301" s="1670"/>
      <c r="C301" s="1656" t="s">
        <v>430</v>
      </c>
      <c r="D301" s="1665"/>
      <c r="E301" s="1665"/>
      <c r="F301" s="1665"/>
      <c r="G301" s="1665"/>
      <c r="H301" s="1665"/>
      <c r="I301" s="1665"/>
      <c r="J301" s="1665"/>
      <c r="K301" s="1666"/>
      <c r="L301" s="1290"/>
    </row>
    <row r="302" spans="1:12" ht="16.8" hidden="1" thickBot="1">
      <c r="A302" s="1705"/>
      <c r="B302" s="1673"/>
      <c r="C302" s="1674"/>
      <c r="D302" s="1665"/>
      <c r="E302" s="1665"/>
      <c r="F302" s="1665"/>
      <c r="G302" s="1665"/>
      <c r="H302" s="1665"/>
      <c r="I302" s="1665"/>
      <c r="J302" s="1665"/>
      <c r="K302" s="1666"/>
      <c r="L302" s="1290"/>
    </row>
    <row r="303" spans="1:12" hidden="1">
      <c r="A303" s="1690"/>
      <c r="B303" s="1676"/>
      <c r="C303" s="1655"/>
      <c r="D303" s="1665"/>
      <c r="E303" s="1665"/>
      <c r="F303" s="1665"/>
      <c r="G303" s="1665"/>
      <c r="H303" s="1665"/>
      <c r="I303" s="1665"/>
      <c r="J303" s="1665"/>
      <c r="K303" s="1666"/>
      <c r="L303" s="1290"/>
    </row>
    <row r="304" spans="1:12" hidden="1">
      <c r="A304" s="2727" t="str">
        <f>$A$2</f>
        <v>M/s. Sathiapal Engineers (India) Private Limited
(Formerly known as M/S Sathiapal Engineers (India) Limited)</v>
      </c>
      <c r="B304" s="2728"/>
      <c r="C304" s="2728"/>
      <c r="D304" s="1665"/>
      <c r="E304" s="1665"/>
      <c r="F304" s="1665"/>
      <c r="G304" s="1665"/>
      <c r="H304" s="1665"/>
      <c r="I304" s="1665"/>
      <c r="J304" s="1665"/>
      <c r="K304" s="1666"/>
      <c r="L304" s="1290"/>
    </row>
    <row r="305" spans="1:12" hidden="1">
      <c r="A305" s="2727" t="str">
        <f>$A$3</f>
        <v>New No. 57, Old No. 3, Canal Road, Kilpauk Garden Colony, Kilpauk, Chennai 600 010.</v>
      </c>
      <c r="B305" s="2728"/>
      <c r="C305" s="2728"/>
      <c r="D305" s="1665"/>
      <c r="E305" s="1665"/>
      <c r="F305" s="1665"/>
      <c r="G305" s="1665"/>
      <c r="H305" s="1665"/>
      <c r="I305" s="1665"/>
      <c r="J305" s="1665"/>
      <c r="K305" s="1666"/>
      <c r="L305" s="1290"/>
    </row>
    <row r="306" spans="1:12" hidden="1">
      <c r="A306" s="2727" t="str">
        <f>$A$4</f>
        <v>Notes forming part of the financial statements</v>
      </c>
      <c r="B306" s="2728" t="s">
        <v>316</v>
      </c>
      <c r="C306" s="2728"/>
      <c r="D306" s="1665"/>
      <c r="E306" s="1665"/>
      <c r="F306" s="1665"/>
      <c r="G306" s="1665"/>
      <c r="H306" s="1665"/>
      <c r="I306" s="1665"/>
      <c r="J306" s="1665"/>
      <c r="K306" s="1666"/>
      <c r="L306" s="1290"/>
    </row>
    <row r="307" spans="1:12" hidden="1">
      <c r="A307" s="1675"/>
      <c r="B307" s="1677"/>
      <c r="C307" s="1655"/>
      <c r="D307" s="1665"/>
      <c r="E307" s="1665"/>
      <c r="F307" s="1665"/>
      <c r="G307" s="1665"/>
      <c r="H307" s="1665"/>
      <c r="I307" s="1665"/>
      <c r="J307" s="1665"/>
      <c r="K307" s="1666"/>
      <c r="L307" s="1290"/>
    </row>
    <row r="308" spans="1:12" ht="194.4" hidden="1">
      <c r="A308" s="1675"/>
      <c r="B308" s="1677" t="s">
        <v>329</v>
      </c>
      <c r="C308" s="1655"/>
      <c r="D308" s="1665"/>
      <c r="E308" s="1665"/>
      <c r="F308" s="1665"/>
      <c r="G308" s="1665"/>
      <c r="H308" s="1665"/>
      <c r="I308" s="1665"/>
      <c r="J308" s="1665"/>
      <c r="K308" s="1666"/>
      <c r="L308" s="1290"/>
    </row>
    <row r="309" spans="1:12" hidden="1">
      <c r="A309" s="1675"/>
      <c r="B309" s="1678"/>
      <c r="C309" s="1655"/>
      <c r="D309" s="1665"/>
      <c r="E309" s="1665"/>
      <c r="F309" s="1665"/>
      <c r="G309" s="1665"/>
      <c r="H309" s="1665"/>
      <c r="I309" s="1665"/>
      <c r="J309" s="1665"/>
      <c r="K309" s="1666"/>
      <c r="L309" s="1290"/>
    </row>
    <row r="310" spans="1:12" ht="32.4" hidden="1">
      <c r="A310" s="2729" t="s">
        <v>317</v>
      </c>
      <c r="B310" s="1679" t="s">
        <v>309</v>
      </c>
      <c r="C310" s="1680" t="s">
        <v>1</v>
      </c>
      <c r="D310" s="1665"/>
      <c r="E310" s="1665"/>
      <c r="F310" s="1665"/>
      <c r="G310" s="1665"/>
      <c r="H310" s="1665"/>
      <c r="I310" s="1665"/>
      <c r="J310" s="1665"/>
      <c r="K310" s="1666"/>
      <c r="L310" s="1290"/>
    </row>
    <row r="311" spans="1:12" hidden="1">
      <c r="A311" s="2730"/>
      <c r="B311" s="1681"/>
      <c r="C311" s="1682"/>
      <c r="D311" s="1665"/>
      <c r="E311" s="1665"/>
      <c r="F311" s="1665"/>
      <c r="G311" s="1665"/>
      <c r="H311" s="1665"/>
      <c r="I311" s="1665"/>
      <c r="J311" s="1665"/>
      <c r="K311" s="1666"/>
      <c r="L311" s="1290"/>
    </row>
    <row r="312" spans="1:12" ht="64.8" hidden="1">
      <c r="A312" s="1660"/>
      <c r="B312" s="1698">
        <v>2.27</v>
      </c>
      <c r="C312" s="1696" t="s">
        <v>431</v>
      </c>
      <c r="D312" s="1665"/>
      <c r="E312" s="1665"/>
      <c r="F312" s="1665"/>
      <c r="G312" s="1665"/>
      <c r="H312" s="1665"/>
      <c r="I312" s="1665"/>
      <c r="J312" s="1665"/>
      <c r="K312" s="1666"/>
      <c r="L312" s="1290"/>
    </row>
    <row r="313" spans="1:12" hidden="1">
      <c r="A313" s="1660"/>
      <c r="B313" s="1670"/>
      <c r="C313" s="1696"/>
      <c r="D313" s="1665"/>
      <c r="E313" s="1665"/>
      <c r="F313" s="1665"/>
      <c r="G313" s="1665"/>
      <c r="H313" s="1665"/>
      <c r="I313" s="1665"/>
      <c r="J313" s="1665"/>
      <c r="K313" s="1666"/>
      <c r="L313" s="1290"/>
    </row>
    <row r="314" spans="1:12" ht="140.1" hidden="1" customHeight="1">
      <c r="A314" s="1660"/>
      <c r="B314" s="1670"/>
      <c r="C314" s="1656" t="s">
        <v>432</v>
      </c>
      <c r="D314" s="1665"/>
      <c r="E314" s="1665"/>
      <c r="F314" s="1665"/>
      <c r="G314" s="1665"/>
      <c r="H314" s="1665"/>
      <c r="I314" s="1665"/>
      <c r="J314" s="1665"/>
      <c r="K314" s="1666"/>
      <c r="L314" s="1290"/>
    </row>
    <row r="315" spans="1:12" ht="18" hidden="1" customHeight="1">
      <c r="A315" s="1660"/>
      <c r="B315" s="1698">
        <f>B290+0.01</f>
        <v>2.1399999999999992</v>
      </c>
      <c r="C315" s="2731" t="s">
        <v>433</v>
      </c>
      <c r="D315" s="2732"/>
      <c r="E315" s="2732"/>
      <c r="F315" s="2732"/>
      <c r="G315" s="2732"/>
      <c r="H315" s="2732"/>
      <c r="I315" s="2732"/>
      <c r="J315" s="2732"/>
      <c r="K315" s="2733"/>
      <c r="L315" s="1290"/>
    </row>
    <row r="316" spans="1:12" ht="6" hidden="1" customHeight="1">
      <c r="A316" s="1660"/>
      <c r="B316" s="1670"/>
      <c r="C316" s="2721"/>
      <c r="D316" s="2722"/>
      <c r="E316" s="2722"/>
      <c r="F316" s="2722"/>
      <c r="G316" s="2722"/>
      <c r="H316" s="2722"/>
      <c r="I316" s="2722"/>
      <c r="J316" s="2722"/>
      <c r="K316" s="2723"/>
      <c r="L316" s="1290"/>
    </row>
    <row r="317" spans="1:12" ht="14.1" hidden="1" customHeight="1">
      <c r="A317" s="1660"/>
      <c r="B317" s="1670"/>
      <c r="C317" s="2721" t="s">
        <v>434</v>
      </c>
      <c r="D317" s="2722"/>
      <c r="E317" s="2722"/>
      <c r="F317" s="2722"/>
      <c r="G317" s="2722"/>
      <c r="H317" s="2722"/>
      <c r="I317" s="2722"/>
      <c r="J317" s="2722"/>
      <c r="K317" s="2723"/>
      <c r="L317" s="1290"/>
    </row>
    <row r="318" spans="1:12" hidden="1">
      <c r="A318" s="1660"/>
      <c r="B318" s="1698">
        <v>2.2799999999999998</v>
      </c>
      <c r="C318" s="2721" t="s">
        <v>435</v>
      </c>
      <c r="D318" s="2722"/>
      <c r="E318" s="2722"/>
      <c r="F318" s="2722"/>
      <c r="G318" s="2722"/>
      <c r="H318" s="2722"/>
      <c r="I318" s="2722"/>
      <c r="J318" s="2722"/>
      <c r="K318" s="2723"/>
      <c r="L318" s="1290"/>
    </row>
    <row r="319" spans="1:12" hidden="1">
      <c r="A319" s="1660"/>
      <c r="B319" s="1670"/>
      <c r="C319" s="2721"/>
      <c r="D319" s="2722"/>
      <c r="E319" s="2722"/>
      <c r="F319" s="2722"/>
      <c r="G319" s="2722"/>
      <c r="H319" s="2722"/>
      <c r="I319" s="2722"/>
      <c r="J319" s="2722"/>
      <c r="K319" s="2723"/>
      <c r="L319" s="1290"/>
    </row>
    <row r="320" spans="1:12" ht="60.6" hidden="1" customHeight="1">
      <c r="A320" s="1660"/>
      <c r="B320" s="1670"/>
      <c r="C320" s="2721" t="s">
        <v>436</v>
      </c>
      <c r="D320" s="2722"/>
      <c r="E320" s="2722"/>
      <c r="F320" s="2722"/>
      <c r="G320" s="2722"/>
      <c r="H320" s="2722"/>
      <c r="I320" s="2722"/>
      <c r="J320" s="2722"/>
      <c r="K320" s="2723"/>
      <c r="L320" s="1290"/>
    </row>
    <row r="321" spans="1:12" ht="16.8" hidden="1" thickBot="1">
      <c r="A321" s="1672"/>
      <c r="B321" s="1673"/>
      <c r="C321" s="2724"/>
      <c r="D321" s="2725"/>
      <c r="E321" s="2725"/>
      <c r="F321" s="2725"/>
      <c r="G321" s="2725"/>
      <c r="H321" s="2725"/>
      <c r="I321" s="2725"/>
      <c r="J321" s="2725"/>
      <c r="K321" s="2726"/>
      <c r="L321" s="1290"/>
    </row>
    <row r="322" spans="1:12" ht="48.6" hidden="1">
      <c r="A322" s="1718"/>
      <c r="B322" s="1706">
        <v>2.29</v>
      </c>
      <c r="C322" s="1719" t="s">
        <v>437</v>
      </c>
      <c r="D322" s="1290"/>
      <c r="E322" s="1290"/>
      <c r="F322" s="1290"/>
      <c r="G322" s="1290"/>
      <c r="H322" s="1290"/>
      <c r="I322" s="1290"/>
      <c r="J322" s="1290"/>
      <c r="K322" s="1290"/>
      <c r="L322" s="1290"/>
    </row>
    <row r="323" spans="1:12" hidden="1">
      <c r="A323" s="1718"/>
      <c r="B323" s="1707"/>
      <c r="C323" s="1720"/>
      <c r="D323" s="1290"/>
      <c r="E323" s="1290"/>
      <c r="F323" s="1290"/>
      <c r="G323" s="1290"/>
      <c r="H323" s="1290"/>
      <c r="I323" s="1290"/>
      <c r="J323" s="1290"/>
      <c r="K323" s="1290"/>
      <c r="L323" s="1290"/>
    </row>
    <row r="324" spans="1:12" ht="30.6" hidden="1" customHeight="1">
      <c r="A324" s="1718"/>
      <c r="B324" s="1707"/>
      <c r="C324" s="1721" t="s">
        <v>438</v>
      </c>
      <c r="D324" s="1290"/>
      <c r="E324" s="1290"/>
      <c r="F324" s="1290"/>
      <c r="G324" s="1290"/>
      <c r="H324" s="1290"/>
      <c r="I324" s="1290"/>
      <c r="J324" s="1290"/>
      <c r="K324" s="1290"/>
      <c r="L324" s="1290"/>
    </row>
    <row r="325" spans="1:12" hidden="1">
      <c r="A325" s="1718"/>
      <c r="B325" s="1707"/>
      <c r="C325" s="1720"/>
      <c r="D325" s="1290"/>
      <c r="E325" s="1290"/>
      <c r="F325" s="1290"/>
      <c r="G325" s="1290"/>
      <c r="H325" s="1290"/>
      <c r="I325" s="1290"/>
      <c r="J325" s="1290"/>
      <c r="K325" s="1290"/>
      <c r="L325" s="1290"/>
    </row>
    <row r="326" spans="1:12" ht="64.8" hidden="1">
      <c r="A326" s="1718"/>
      <c r="B326" s="1722" t="s">
        <v>439</v>
      </c>
      <c r="C326" s="1719" t="s">
        <v>440</v>
      </c>
      <c r="D326" s="1290"/>
      <c r="E326" s="1290"/>
      <c r="F326" s="1290"/>
      <c r="G326" s="1290"/>
      <c r="H326" s="1290"/>
      <c r="I326" s="1290"/>
      <c r="J326" s="1290"/>
      <c r="K326" s="1290"/>
      <c r="L326" s="1290"/>
    </row>
    <row r="327" spans="1:12" hidden="1">
      <c r="A327" s="1718"/>
      <c r="B327" s="1707"/>
      <c r="C327" s="1720"/>
      <c r="D327" s="1290"/>
      <c r="E327" s="1290"/>
      <c r="F327" s="1290"/>
      <c r="G327" s="1290"/>
      <c r="H327" s="1290"/>
      <c r="I327" s="1290"/>
      <c r="J327" s="1290"/>
      <c r="K327" s="1290"/>
      <c r="L327" s="1290"/>
    </row>
    <row r="328" spans="1:12" ht="409.6" hidden="1" thickBot="1">
      <c r="A328" s="1723"/>
      <c r="B328" s="1724"/>
      <c r="C328" s="1725" t="s">
        <v>441</v>
      </c>
      <c r="D328" s="1290"/>
      <c r="E328" s="1290"/>
      <c r="F328" s="1290"/>
      <c r="G328" s="1290"/>
      <c r="H328" s="1290"/>
      <c r="I328" s="1290"/>
      <c r="J328" s="1290"/>
      <c r="K328" s="1290"/>
      <c r="L328" s="1290"/>
    </row>
    <row r="329" spans="1:12">
      <c r="A329" s="1700"/>
      <c r="B329" s="1726"/>
      <c r="C329" s="1727"/>
      <c r="D329" s="1290"/>
      <c r="E329" s="1290"/>
      <c r="F329" s="1290"/>
      <c r="G329" s="1290"/>
      <c r="H329" s="1290"/>
      <c r="I329" s="1290"/>
      <c r="J329" s="1290"/>
      <c r="K329" s="1290"/>
      <c r="L329" s="1290"/>
    </row>
    <row r="338" spans="1:3">
      <c r="A338" s="708"/>
      <c r="C338" s="709"/>
    </row>
    <row r="339" spans="1:3">
      <c r="A339" s="708"/>
      <c r="C339" s="709"/>
    </row>
    <row r="340" spans="1:3">
      <c r="A340" s="708"/>
      <c r="C340" s="709"/>
    </row>
    <row r="341" spans="1:3">
      <c r="A341" s="708"/>
      <c r="C341" s="709"/>
    </row>
    <row r="342" spans="1:3">
      <c r="A342" s="708"/>
      <c r="C342" s="709"/>
    </row>
    <row r="343" spans="1:3">
      <c r="A343" s="708"/>
      <c r="C343" s="709"/>
    </row>
  </sheetData>
  <mergeCells count="153">
    <mergeCell ref="A2:K2"/>
    <mergeCell ref="A3:K3"/>
    <mergeCell ref="A4:K4"/>
    <mergeCell ref="A6:A7"/>
    <mergeCell ref="C6:K7"/>
    <mergeCell ref="C10:K10"/>
    <mergeCell ref="C8:K8"/>
    <mergeCell ref="A35:C35"/>
    <mergeCell ref="C17:K17"/>
    <mergeCell ref="C18:K18"/>
    <mergeCell ref="C12:K12"/>
    <mergeCell ref="C24:K24"/>
    <mergeCell ref="C13:K13"/>
    <mergeCell ref="C14:K14"/>
    <mergeCell ref="C15:K15"/>
    <mergeCell ref="C9:K9"/>
    <mergeCell ref="C21:K21"/>
    <mergeCell ref="C22:K22"/>
    <mergeCell ref="C16:K16"/>
    <mergeCell ref="C23:K23"/>
    <mergeCell ref="C25:K25"/>
    <mergeCell ref="C26:K26"/>
    <mergeCell ref="C27:K27"/>
    <mergeCell ref="C28:K28"/>
    <mergeCell ref="C29:K29"/>
    <mergeCell ref="C30:K30"/>
    <mergeCell ref="A34:C34"/>
    <mergeCell ref="C31:K31"/>
    <mergeCell ref="A40:A41"/>
    <mergeCell ref="C55:K55"/>
    <mergeCell ref="C44:K44"/>
    <mergeCell ref="C45:K45"/>
    <mergeCell ref="C46:K46"/>
    <mergeCell ref="C47:K47"/>
    <mergeCell ref="C48:K48"/>
    <mergeCell ref="C49:K49"/>
    <mergeCell ref="C56:K56"/>
    <mergeCell ref="A36:C36"/>
    <mergeCell ref="C50:K50"/>
    <mergeCell ref="C51:K51"/>
    <mergeCell ref="C52:K52"/>
    <mergeCell ref="C53:K53"/>
    <mergeCell ref="C54:K54"/>
    <mergeCell ref="C43:K43"/>
    <mergeCell ref="A57:A67"/>
    <mergeCell ref="C57:K57"/>
    <mergeCell ref="C58:K58"/>
    <mergeCell ref="C59:K59"/>
    <mergeCell ref="C69:K69"/>
    <mergeCell ref="C70:K70"/>
    <mergeCell ref="C71:K71"/>
    <mergeCell ref="C72:K72"/>
    <mergeCell ref="C103:K103"/>
    <mergeCell ref="C73:K73"/>
    <mergeCell ref="C74:K74"/>
    <mergeCell ref="C75:K75"/>
    <mergeCell ref="C104:K104"/>
    <mergeCell ref="C105:K105"/>
    <mergeCell ref="C76:K76"/>
    <mergeCell ref="C77:K77"/>
    <mergeCell ref="C78:K78"/>
    <mergeCell ref="C79:K79"/>
    <mergeCell ref="C80:K80"/>
    <mergeCell ref="C81:K81"/>
    <mergeCell ref="C82:K82"/>
    <mergeCell ref="C83:K83"/>
    <mergeCell ref="C84:K84"/>
    <mergeCell ref="C87:K87"/>
    <mergeCell ref="C89:K89"/>
    <mergeCell ref="C90:K90"/>
    <mergeCell ref="A92:C92"/>
    <mergeCell ref="A93:C93"/>
    <mergeCell ref="A94:C94"/>
    <mergeCell ref="A98:A99"/>
    <mergeCell ref="C101:K101"/>
    <mergeCell ref="C102:K102"/>
    <mergeCell ref="A85:A86"/>
    <mergeCell ref="C85:K85"/>
    <mergeCell ref="C86:K86"/>
    <mergeCell ref="A204:C204"/>
    <mergeCell ref="A205:C205"/>
    <mergeCell ref="C201:K201"/>
    <mergeCell ref="C227:K227"/>
    <mergeCell ref="C228:K228"/>
    <mergeCell ref="C229:K229"/>
    <mergeCell ref="A120:C120"/>
    <mergeCell ref="A121:C121"/>
    <mergeCell ref="A122:C122"/>
    <mergeCell ref="A126:A127"/>
    <mergeCell ref="C181:K181"/>
    <mergeCell ref="C183:K183"/>
    <mergeCell ref="C194:K194"/>
    <mergeCell ref="C195:K195"/>
    <mergeCell ref="C196:K196"/>
    <mergeCell ref="C197:K197"/>
    <mergeCell ref="C198:K198"/>
    <mergeCell ref="A199:A200"/>
    <mergeCell ref="C199:K199"/>
    <mergeCell ref="C200:K200"/>
    <mergeCell ref="A254:I254"/>
    <mergeCell ref="J254:K254"/>
    <mergeCell ref="C230:K230"/>
    <mergeCell ref="C231:K231"/>
    <mergeCell ref="C232:K232"/>
    <mergeCell ref="A209:A210"/>
    <mergeCell ref="A211:A212"/>
    <mergeCell ref="A213:A214"/>
    <mergeCell ref="C220:K220"/>
    <mergeCell ref="C221:K221"/>
    <mergeCell ref="C223:K223"/>
    <mergeCell ref="C233:K233"/>
    <mergeCell ref="A236:C236"/>
    <mergeCell ref="A237:C237"/>
    <mergeCell ref="A238:C238"/>
    <mergeCell ref="A242:A243"/>
    <mergeCell ref="C250:K250"/>
    <mergeCell ref="C251:K251"/>
    <mergeCell ref="C252:K252"/>
    <mergeCell ref="A253:I253"/>
    <mergeCell ref="J253:K253"/>
    <mergeCell ref="C293:K293"/>
    <mergeCell ref="A304:C304"/>
    <mergeCell ref="A305:C305"/>
    <mergeCell ref="A255:I255"/>
    <mergeCell ref="J255:K255"/>
    <mergeCell ref="A256:I256"/>
    <mergeCell ref="J256:K256"/>
    <mergeCell ref="A257:I257"/>
    <mergeCell ref="J257:K257"/>
    <mergeCell ref="A258:A259"/>
    <mergeCell ref="C262:K262"/>
    <mergeCell ref="C263:E263"/>
    <mergeCell ref="C264:K264"/>
    <mergeCell ref="C265:K265"/>
    <mergeCell ref="C266:K266"/>
    <mergeCell ref="C267:K267"/>
    <mergeCell ref="C268:K268"/>
    <mergeCell ref="A278:C278"/>
    <mergeCell ref="A279:C279"/>
    <mergeCell ref="A280:C280"/>
    <mergeCell ref="A284:A285"/>
    <mergeCell ref="C290:K290"/>
    <mergeCell ref="C291:K291"/>
    <mergeCell ref="C292:K292"/>
    <mergeCell ref="C319:K319"/>
    <mergeCell ref="C320:K320"/>
    <mergeCell ref="C321:K321"/>
    <mergeCell ref="A306:C306"/>
    <mergeCell ref="A310:A311"/>
    <mergeCell ref="C315:K315"/>
    <mergeCell ref="C316:K316"/>
    <mergeCell ref="C317:K317"/>
    <mergeCell ref="C318:K318"/>
  </mergeCells>
  <pageMargins left="0.43307086614173229" right="0.51181102362204722" top="0.51181102362204722" bottom="0.51181102362204722" header="0.51181102362204722" footer="0.51181102362204722"/>
  <pageSetup paperSize="9" scale="63" fitToHeight="0" orientation="portrait" r:id="rId1"/>
  <headerFooter alignWithMargins="0"/>
  <rowBreaks count="2" manualBreakCount="2">
    <brk id="72" max="10" man="1"/>
    <brk id="252" max="1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63"/>
  <sheetViews>
    <sheetView tabSelected="1" view="pageBreakPreview" zoomScale="127" zoomScaleSheetLayoutView="136" workbookViewId="0"/>
  </sheetViews>
  <sheetFormatPr defaultColWidth="8.5546875" defaultRowHeight="16.2"/>
  <cols>
    <col min="1" max="1" width="7.44140625" style="1290" customWidth="1"/>
    <col min="2" max="2" width="6.5546875" style="1290" customWidth="1"/>
    <col min="3" max="3" width="64.5546875" style="1290" customWidth="1"/>
    <col min="4" max="7" width="18.77734375" style="1290" customWidth="1"/>
    <col min="8" max="8" width="21.44140625" style="1290" bestFit="1" customWidth="1"/>
    <col min="9" max="9" width="19" style="1290" bestFit="1" customWidth="1"/>
    <col min="10" max="10" width="18.44140625" style="1290" bestFit="1" customWidth="1"/>
    <col min="11" max="11" width="21.5546875" style="1290" customWidth="1"/>
    <col min="12" max="12" width="14.44140625" style="1290" customWidth="1"/>
    <col min="13" max="16384" width="8.5546875" style="1290"/>
  </cols>
  <sheetData>
    <row r="1" spans="2:11">
      <c r="B1" s="2827"/>
      <c r="C1" s="2828"/>
      <c r="D1" s="2828"/>
      <c r="E1" s="2828"/>
      <c r="F1" s="2828"/>
      <c r="G1" s="2829"/>
    </row>
    <row r="2" spans="2:11" ht="40.35" customHeight="1">
      <c r="B2" s="2841" t="str">
        <f>+PL!A2</f>
        <v>M/s. Sathiapal Engineers (India) Private Limited
(Formerly known as M/S Sathiapal Engineers (India) Limited)</v>
      </c>
      <c r="C2" s="2842"/>
      <c r="D2" s="2842"/>
      <c r="E2" s="2842"/>
      <c r="F2" s="2842"/>
      <c r="G2" s="2843"/>
    </row>
    <row r="3" spans="2:11" ht="20.100000000000001" customHeight="1">
      <c r="B3" s="1499"/>
      <c r="C3" s="2844" t="str">
        <f>BS!A3</f>
        <v>CIN: U74210TN2002PLC048568</v>
      </c>
      <c r="D3" s="2842"/>
      <c r="E3" s="2842"/>
      <c r="F3" s="2842"/>
      <c r="G3" s="1500"/>
    </row>
    <row r="4" spans="2:11" ht="15" customHeight="1">
      <c r="B4" s="2830" t="str">
        <f>+PL!A4</f>
        <v>New No. 57, Old No. 3, Canal Road, Kilpauk Garden Colony, Kilpauk, Chennai 600 010.</v>
      </c>
      <c r="C4" s="2831"/>
      <c r="D4" s="2831"/>
      <c r="E4" s="2831"/>
      <c r="F4" s="2831"/>
      <c r="G4" s="2832"/>
    </row>
    <row r="5" spans="2:11" ht="15" customHeight="1">
      <c r="B5" s="2833"/>
      <c r="C5" s="2834"/>
      <c r="D5" s="2834"/>
      <c r="E5" s="2834"/>
      <c r="F5" s="2834"/>
      <c r="G5" s="2835"/>
    </row>
    <row r="6" spans="2:11">
      <c r="B6" s="2836" t="s">
        <v>4205</v>
      </c>
      <c r="C6" s="2837"/>
      <c r="D6" s="2837"/>
      <c r="E6" s="2837"/>
      <c r="F6" s="2837"/>
      <c r="G6" s="2838"/>
    </row>
    <row r="7" spans="2:11">
      <c r="B7" s="1501"/>
      <c r="C7" s="2621"/>
      <c r="D7" s="2839" t="s">
        <v>4337</v>
      </c>
      <c r="E7" s="2839"/>
      <c r="F7" s="2839"/>
      <c r="G7" s="2840"/>
    </row>
    <row r="8" spans="2:11" ht="39.6" customHeight="1">
      <c r="B8" s="2815" t="s">
        <v>1</v>
      </c>
      <c r="C8" s="2816"/>
      <c r="D8" s="2817" t="s">
        <v>4320</v>
      </c>
      <c r="E8" s="2818"/>
      <c r="F8" s="2817" t="s">
        <v>4321</v>
      </c>
      <c r="G8" s="2819"/>
    </row>
    <row r="9" spans="2:11" ht="20.25" customHeight="1">
      <c r="B9" s="1291"/>
      <c r="C9" s="1292"/>
      <c r="D9" s="1492" t="s">
        <v>1191</v>
      </c>
      <c r="E9" s="1492" t="s">
        <v>1191</v>
      </c>
      <c r="F9" s="1492" t="s">
        <v>1191</v>
      </c>
      <c r="G9" s="1493" t="s">
        <v>1191</v>
      </c>
      <c r="I9" s="1297">
        <f>D13/1000</f>
        <v>8219.8265053903178</v>
      </c>
    </row>
    <row r="10" spans="2:11" ht="30.6" customHeight="1">
      <c r="B10" s="1143" t="s">
        <v>444</v>
      </c>
      <c r="C10" s="1140"/>
      <c r="D10" s="1293"/>
      <c r="E10" s="1293"/>
      <c r="F10" s="1293"/>
      <c r="G10" s="1294"/>
      <c r="K10" s="1295"/>
    </row>
    <row r="11" spans="2:11">
      <c r="B11" s="1138" t="s">
        <v>445</v>
      </c>
      <c r="C11" s="1140"/>
      <c r="D11" s="1134"/>
      <c r="E11" s="1134">
        <f>+PL!C30</f>
        <v>43618707.033423185</v>
      </c>
      <c r="F11" s="1134"/>
      <c r="G11" s="1296">
        <f>30083.6078004535*1000</f>
        <v>30083607.800453503</v>
      </c>
      <c r="H11" s="1295">
        <v>1000</v>
      </c>
      <c r="I11" s="1295"/>
      <c r="K11" s="1297"/>
    </row>
    <row r="12" spans="2:11">
      <c r="B12" s="1139" t="s">
        <v>446</v>
      </c>
      <c r="C12" s="1140"/>
      <c r="D12" s="1134"/>
      <c r="E12" s="1134"/>
      <c r="F12" s="1134"/>
      <c r="G12" s="1296"/>
      <c r="H12" s="1640">
        <f>D116</f>
        <v>-5360596</v>
      </c>
    </row>
    <row r="13" spans="2:11">
      <c r="B13" s="1142" t="s">
        <v>447</v>
      </c>
      <c r="C13" s="1140"/>
      <c r="D13" s="1134">
        <f>Dep_Co!K26</f>
        <v>8219826.5053903172</v>
      </c>
      <c r="E13" s="1134"/>
      <c r="F13" s="1134">
        <f>9718.98258954644*1000</f>
        <v>9718982.5895464402</v>
      </c>
      <c r="G13" s="1296"/>
      <c r="K13" s="1297"/>
    </row>
    <row r="14" spans="2:11">
      <c r="B14" s="1142" t="s">
        <v>1172</v>
      </c>
      <c r="C14" s="1140"/>
      <c r="D14" s="1134">
        <f>-Notes!J235</f>
        <v>-3323836</v>
      </c>
      <c r="E14" s="1134"/>
      <c r="F14" s="1134">
        <f>-4642.716*1000</f>
        <v>-4642716</v>
      </c>
      <c r="G14" s="1296"/>
      <c r="I14" s="1297"/>
      <c r="K14" s="1297"/>
    </row>
    <row r="15" spans="2:11" hidden="1">
      <c r="B15" s="1142" t="s">
        <v>239</v>
      </c>
      <c r="C15" s="1140"/>
      <c r="D15" s="1134"/>
      <c r="E15" s="1134"/>
      <c r="F15" s="1134"/>
      <c r="G15" s="1296"/>
    </row>
    <row r="16" spans="2:11" hidden="1">
      <c r="B16" s="1142" t="s">
        <v>927</v>
      </c>
      <c r="C16" s="1140"/>
      <c r="D16" s="1298"/>
      <c r="E16" s="1134"/>
      <c r="F16" s="1134"/>
      <c r="G16" s="1296"/>
    </row>
    <row r="17" spans="2:10" ht="23.85" hidden="1" customHeight="1">
      <c r="B17" s="1142" t="s">
        <v>448</v>
      </c>
      <c r="C17" s="1140"/>
      <c r="D17" s="1134"/>
      <c r="E17" s="1134"/>
      <c r="F17" s="1134"/>
      <c r="G17" s="1296"/>
      <c r="I17" s="1297"/>
    </row>
    <row r="18" spans="2:10">
      <c r="B18" s="1142" t="s">
        <v>4249</v>
      </c>
      <c r="C18" s="1140"/>
      <c r="D18" s="1134">
        <f>(-'Audit entries FY 22-23'!D71)</f>
        <v>-216704</v>
      </c>
      <c r="E18" s="1134"/>
      <c r="F18" s="1134"/>
      <c r="G18" s="1296"/>
      <c r="H18" s="1290">
        <v>1000</v>
      </c>
    </row>
    <row r="19" spans="2:10" ht="15" customHeight="1">
      <c r="B19" s="1142" t="s">
        <v>4250</v>
      </c>
      <c r="C19" s="1140"/>
      <c r="D19" s="1134">
        <f>Dep_Co!H13</f>
        <v>868251</v>
      </c>
      <c r="E19" s="1134"/>
      <c r="F19" s="1134"/>
      <c r="G19" s="1296"/>
    </row>
    <row r="20" spans="2:10" ht="15" hidden="1" customHeight="1">
      <c r="B20" s="1142" t="s">
        <v>48</v>
      </c>
      <c r="C20" s="1140"/>
      <c r="D20" s="1134"/>
      <c r="E20" s="1134"/>
      <c r="F20" s="1134"/>
      <c r="G20" s="1296"/>
    </row>
    <row r="21" spans="2:10" ht="15" hidden="1" customHeight="1">
      <c r="B21" s="1142" t="s">
        <v>451</v>
      </c>
      <c r="C21" s="1140"/>
      <c r="D21" s="1134"/>
      <c r="E21" s="1134"/>
      <c r="F21" s="1134"/>
      <c r="G21" s="1296"/>
    </row>
    <row r="22" spans="2:10" ht="15" customHeight="1">
      <c r="B22" s="2825" t="s">
        <v>3192</v>
      </c>
      <c r="C22" s="2826"/>
      <c r="D22" s="1134">
        <f>PL!C31</f>
        <v>2621516</v>
      </c>
      <c r="E22" s="1134"/>
      <c r="F22" s="1134"/>
      <c r="G22" s="1296"/>
      <c r="I22" s="1640" t="e">
        <f>#REF!-#REF!</f>
        <v>#REF!</v>
      </c>
    </row>
    <row r="23" spans="2:10">
      <c r="B23" s="1138"/>
      <c r="C23" s="1140"/>
      <c r="D23" s="1134"/>
      <c r="E23" s="1135">
        <f>SUM(D13:D22)</f>
        <v>8169053.5053903172</v>
      </c>
      <c r="F23" s="1134"/>
      <c r="G23" s="1299">
        <f>5076.26658954644*1000</f>
        <v>5076266.5895464402</v>
      </c>
      <c r="I23" s="1295"/>
    </row>
    <row r="24" spans="2:10">
      <c r="B24" s="1138" t="s">
        <v>468</v>
      </c>
      <c r="C24" s="1140"/>
      <c r="D24" s="1134"/>
      <c r="E24" s="1134">
        <f>SUM(E11:E23)</f>
        <v>51787760.538813502</v>
      </c>
      <c r="F24" s="1134"/>
      <c r="G24" s="1296">
        <f>SUM(G11:G23)</f>
        <v>35159874.389999941</v>
      </c>
    </row>
    <row r="25" spans="2:10">
      <c r="B25" s="1139" t="s">
        <v>469</v>
      </c>
      <c r="C25" s="1140"/>
      <c r="D25" s="1134"/>
      <c r="E25" s="1134"/>
      <c r="F25" s="1134"/>
      <c r="G25" s="1296"/>
    </row>
    <row r="26" spans="2:10">
      <c r="B26" s="1141" t="s">
        <v>470</v>
      </c>
      <c r="C26" s="1140"/>
      <c r="D26" s="1134"/>
      <c r="E26" s="1134"/>
      <c r="F26" s="1134"/>
      <c r="G26" s="1296"/>
    </row>
    <row r="27" spans="2:10">
      <c r="B27" s="1142" t="s">
        <v>328</v>
      </c>
      <c r="C27" s="1140"/>
      <c r="D27" s="1134">
        <f>+BS!E46-BS!C46</f>
        <v>-51490000</v>
      </c>
      <c r="E27" s="1136"/>
      <c r="F27" s="1290">
        <v>4160000</v>
      </c>
      <c r="G27" s="1296"/>
    </row>
    <row r="28" spans="2:10">
      <c r="B28" s="1142" t="s">
        <v>1173</v>
      </c>
      <c r="C28" s="1140"/>
      <c r="D28" s="1134">
        <f>+BS!E47-BS!C47</f>
        <v>47643264.799999997</v>
      </c>
      <c r="E28" s="1136"/>
      <c r="F28" s="1290">
        <v>1872245.2399999946</v>
      </c>
      <c r="G28" s="1296"/>
    </row>
    <row r="29" spans="2:10">
      <c r="B29" s="1142" t="s">
        <v>471</v>
      </c>
      <c r="C29" s="1140"/>
      <c r="D29" s="1134">
        <f>BS!E49-BS!C49</f>
        <v>-35103265.423559323</v>
      </c>
      <c r="E29" s="1136"/>
      <c r="F29" s="1290">
        <v>-6339202.1799999997</v>
      </c>
      <c r="G29" s="1296"/>
    </row>
    <row r="30" spans="2:10">
      <c r="B30" s="1142" t="s">
        <v>472</v>
      </c>
      <c r="C30" s="1140"/>
      <c r="D30" s="1134">
        <f>BS!E41-BS!C41</f>
        <v>1660362.8000000119</v>
      </c>
      <c r="E30" s="1136"/>
      <c r="F30" s="1290">
        <v>0</v>
      </c>
      <c r="G30" s="1296"/>
    </row>
    <row r="31" spans="2:10">
      <c r="B31" s="1142" t="s">
        <v>236</v>
      </c>
      <c r="C31" s="1140"/>
      <c r="D31" s="1134">
        <f>BS!E50-BS!C50-BS!C40</f>
        <v>3935754</v>
      </c>
      <c r="E31" s="1136"/>
      <c r="F31" s="1290">
        <v>-719070</v>
      </c>
      <c r="G31" s="1296"/>
    </row>
    <row r="32" spans="2:10">
      <c r="B32" s="1138"/>
      <c r="C32" s="1140"/>
      <c r="D32" s="1134"/>
      <c r="E32" s="1134"/>
      <c r="F32" s="1290">
        <v>0</v>
      </c>
      <c r="G32" s="1296"/>
      <c r="J32" s="1290" t="s">
        <v>3170</v>
      </c>
    </row>
    <row r="33" spans="2:10">
      <c r="B33" s="1141" t="s">
        <v>474</v>
      </c>
      <c r="C33" s="1140"/>
      <c r="D33" s="1134"/>
      <c r="E33" s="1134"/>
      <c r="F33" s="1290">
        <v>0</v>
      </c>
      <c r="G33" s="1296"/>
    </row>
    <row r="34" spans="2:10">
      <c r="B34" s="1142" t="s">
        <v>475</v>
      </c>
      <c r="C34" s="1140"/>
      <c r="D34" s="1134">
        <f>BS!C25-BS!E25</f>
        <v>11210089.80864406</v>
      </c>
      <c r="E34" s="1134"/>
      <c r="F34" s="1290">
        <v>-7769310.3900000006</v>
      </c>
      <c r="G34" s="1296"/>
    </row>
    <row r="35" spans="2:10">
      <c r="B35" s="1142" t="s">
        <v>476</v>
      </c>
      <c r="C35" s="1140"/>
      <c r="D35" s="1134">
        <f>BS!C26-BS!E26</f>
        <v>-18558220.125084743</v>
      </c>
      <c r="E35" s="1134"/>
      <c r="F35" s="1290">
        <v>14132293.510847453</v>
      </c>
      <c r="G35" s="1296"/>
    </row>
    <row r="36" spans="2:10" hidden="1">
      <c r="B36" s="1142" t="s">
        <v>227</v>
      </c>
      <c r="C36" s="1140"/>
      <c r="D36" s="1134"/>
      <c r="E36" s="1134"/>
      <c r="F36" s="1290">
        <v>0</v>
      </c>
      <c r="G36" s="1296"/>
    </row>
    <row r="37" spans="2:10">
      <c r="B37" s="1142" t="s">
        <v>477</v>
      </c>
      <c r="C37" s="1140"/>
      <c r="D37" s="1134">
        <v>0</v>
      </c>
      <c r="E37" s="1134"/>
      <c r="F37" s="1290">
        <v>0</v>
      </c>
      <c r="G37" s="1296"/>
    </row>
    <row r="38" spans="2:10">
      <c r="B38" s="1142" t="s">
        <v>964</v>
      </c>
      <c r="C38" s="1140"/>
      <c r="D38" s="1135">
        <f>BS!C24-BS!E24+5</f>
        <v>8351507</v>
      </c>
      <c r="E38" s="1134"/>
      <c r="F38" s="1290">
        <v>-1431555</v>
      </c>
      <c r="G38" s="1296"/>
    </row>
    <row r="39" spans="2:10">
      <c r="B39" s="1138"/>
      <c r="C39" s="1140"/>
      <c r="D39" s="1134"/>
      <c r="E39" s="1135">
        <f>SUM(D27:D38)</f>
        <v>-32350507.140000001</v>
      </c>
      <c r="F39" s="1134"/>
      <c r="G39" s="1299">
        <f>3905.40118084745*1000</f>
        <v>3905401.1808474502</v>
      </c>
      <c r="J39" s="1295"/>
    </row>
    <row r="40" spans="2:10">
      <c r="B40" s="1138"/>
      <c r="C40" s="1140"/>
      <c r="D40" s="1134"/>
      <c r="E40" s="1134">
        <f>SUM(E24:E39)</f>
        <v>19437253.398813501</v>
      </c>
      <c r="F40" s="1134"/>
      <c r="G40" s="1296">
        <f>39065.2755708474*1000</f>
        <v>39065275.5708474</v>
      </c>
    </row>
    <row r="41" spans="2:10">
      <c r="B41" s="1138" t="s">
        <v>478</v>
      </c>
      <c r="C41" s="1140"/>
      <c r="D41" s="1134"/>
      <c r="E41" s="1135">
        <v>0</v>
      </c>
      <c r="F41" s="1134"/>
      <c r="G41" s="1299">
        <v>0</v>
      </c>
    </row>
    <row r="42" spans="2:10">
      <c r="B42" s="1138" t="s">
        <v>479</v>
      </c>
      <c r="C42" s="1140"/>
      <c r="D42" s="1134"/>
      <c r="E42" s="1134">
        <f>E40-E41</f>
        <v>19437253.398813501</v>
      </c>
      <c r="F42" s="1134"/>
      <c r="G42" s="1296">
        <f>G40-G41</f>
        <v>39065275.5708474</v>
      </c>
    </row>
    <row r="43" spans="2:10" ht="18" customHeight="1">
      <c r="B43" s="2821" t="s">
        <v>480</v>
      </c>
      <c r="C43" s="2822"/>
      <c r="D43" s="1134"/>
      <c r="E43" s="1135">
        <f>-8443.336*1000</f>
        <v>-8443336</v>
      </c>
      <c r="F43" s="1134"/>
      <c r="G43" s="1296">
        <f>-4300.7544*1000</f>
        <v>-4300754.3999999994</v>
      </c>
    </row>
    <row r="44" spans="2:10">
      <c r="B44" s="1138"/>
      <c r="C44" s="1140"/>
      <c r="D44" s="1134"/>
      <c r="E44" s="1134"/>
      <c r="F44" s="1134"/>
      <c r="G44" s="1300"/>
    </row>
    <row r="45" spans="2:10">
      <c r="B45" s="1144" t="s">
        <v>481</v>
      </c>
      <c r="C45" s="1140"/>
      <c r="D45" s="1301"/>
      <c r="E45" s="1312">
        <f>SUM(E42:E43)</f>
        <v>10993917.398813501</v>
      </c>
      <c r="F45" s="1301"/>
      <c r="G45" s="1302">
        <f>SUM(G42:G43)</f>
        <v>34764521.170847401</v>
      </c>
      <c r="I45" s="1303"/>
    </row>
    <row r="46" spans="2:10" ht="18" customHeight="1">
      <c r="B46" s="1138"/>
      <c r="C46" s="1140"/>
      <c r="D46" s="1134"/>
      <c r="E46" s="1134"/>
      <c r="F46" s="1134"/>
      <c r="G46" s="1296"/>
      <c r="I46" s="1303"/>
    </row>
    <row r="47" spans="2:10" ht="15.75" hidden="1" customHeight="1" thickBot="1">
      <c r="B47" s="2823"/>
      <c r="C47" s="2824"/>
      <c r="D47" s="1304"/>
      <c r="E47" s="1304"/>
      <c r="F47" s="1304"/>
      <c r="G47" s="1305"/>
    </row>
    <row r="48" spans="2:10" ht="18.75" hidden="1" customHeight="1" thickBot="1">
      <c r="B48" s="1496"/>
      <c r="C48" s="1497"/>
      <c r="D48" s="1306"/>
      <c r="E48" s="1307"/>
      <c r="F48" s="1306"/>
      <c r="G48" s="1308"/>
    </row>
    <row r="49" spans="2:11" ht="18" hidden="1" customHeight="1">
      <c r="B49" s="2811" t="s">
        <v>1</v>
      </c>
      <c r="C49" s="2812"/>
      <c r="D49" s="2813"/>
      <c r="E49" s="2814"/>
      <c r="F49" s="2813"/>
      <c r="G49" s="2820"/>
    </row>
    <row r="50" spans="2:11" ht="18" hidden="1" customHeight="1">
      <c r="B50" s="1291"/>
      <c r="C50" s="1292"/>
      <c r="D50" s="1309"/>
      <c r="E50" s="1309"/>
      <c r="F50" s="1309"/>
      <c r="G50" s="1310"/>
    </row>
    <row r="51" spans="2:11" ht="18">
      <c r="B51" s="1143" t="s">
        <v>482</v>
      </c>
      <c r="C51" s="1140"/>
      <c r="D51" s="1134"/>
      <c r="E51" s="1134"/>
      <c r="F51" s="1134"/>
      <c r="G51" s="1296"/>
      <c r="I51" s="1640">
        <f>1117960619-G127</f>
        <v>1084487808.1779711</v>
      </c>
    </row>
    <row r="52" spans="2:11">
      <c r="B52" s="2821" t="s">
        <v>483</v>
      </c>
      <c r="C52" s="2822"/>
      <c r="D52" s="1134">
        <f>-Dep_Co!G26</f>
        <v>-33034287.828813549</v>
      </c>
      <c r="E52" s="1134"/>
      <c r="F52" s="1290">
        <v>-14816174.576271188</v>
      </c>
      <c r="G52" s="1308"/>
      <c r="H52" s="1295"/>
    </row>
    <row r="53" spans="2:11">
      <c r="B53" s="640" t="s">
        <v>484</v>
      </c>
      <c r="C53" s="1145"/>
      <c r="D53" s="1134">
        <f>('Audit entries FY 22-23'!C68)</f>
        <v>260000</v>
      </c>
      <c r="E53" s="1134"/>
      <c r="F53" s="1290">
        <v>0</v>
      </c>
      <c r="G53" s="1308"/>
      <c r="H53" s="1290">
        <v>1000</v>
      </c>
    </row>
    <row r="54" spans="2:11" ht="18" hidden="1" customHeight="1">
      <c r="B54" s="640" t="s">
        <v>485</v>
      </c>
      <c r="C54" s="1145"/>
      <c r="D54" s="1134"/>
      <c r="E54" s="1134"/>
      <c r="F54" s="1290">
        <v>0</v>
      </c>
      <c r="G54" s="1308"/>
    </row>
    <row r="55" spans="2:11" hidden="1">
      <c r="B55" s="2821" t="s">
        <v>1174</v>
      </c>
      <c r="C55" s="2822"/>
      <c r="D55" s="1134">
        <v>0</v>
      </c>
      <c r="E55" s="1134"/>
      <c r="F55" s="1290">
        <v>0</v>
      </c>
      <c r="G55" s="1308"/>
    </row>
    <row r="56" spans="2:11">
      <c r="B56" s="640" t="s">
        <v>1172</v>
      </c>
      <c r="C56" s="1495"/>
      <c r="D56" s="1134">
        <f>-D14</f>
        <v>3323836</v>
      </c>
      <c r="E56" s="1134"/>
      <c r="F56" s="1290">
        <v>4642716</v>
      </c>
      <c r="G56" s="1308"/>
    </row>
    <row r="57" spans="2:11" hidden="1">
      <c r="B57" s="1146" t="s">
        <v>246</v>
      </c>
      <c r="C57" s="1495"/>
      <c r="D57" s="1298" t="s">
        <v>2098</v>
      </c>
      <c r="E57" s="1134"/>
      <c r="F57" s="1290" t="s">
        <v>2098</v>
      </c>
      <c r="G57" s="1308"/>
    </row>
    <row r="58" spans="2:11" hidden="1">
      <c r="B58" s="1141" t="s">
        <v>239</v>
      </c>
      <c r="C58" s="1311"/>
      <c r="D58" s="1135">
        <v>0</v>
      </c>
      <c r="E58" s="1134"/>
      <c r="F58" s="1290">
        <v>0</v>
      </c>
      <c r="G58" s="1308"/>
    </row>
    <row r="59" spans="2:11" ht="20.25" hidden="1" customHeight="1">
      <c r="B59" s="640" t="s">
        <v>486</v>
      </c>
      <c r="C59" s="1145"/>
      <c r="D59" s="1134"/>
      <c r="E59" s="1134"/>
      <c r="F59" s="1290">
        <v>0</v>
      </c>
      <c r="G59" s="1296"/>
    </row>
    <row r="60" spans="2:11" ht="15" hidden="1" customHeight="1">
      <c r="B60" s="1141" t="s">
        <v>487</v>
      </c>
      <c r="C60" s="1145"/>
      <c r="D60" s="1134"/>
      <c r="E60" s="1134"/>
      <c r="F60" s="1290">
        <v>0</v>
      </c>
      <c r="G60" s="1296"/>
    </row>
    <row r="61" spans="2:11" ht="15" hidden="1" customHeight="1">
      <c r="B61" s="1141" t="s">
        <v>488</v>
      </c>
      <c r="C61" s="1145"/>
      <c r="D61" s="1134"/>
      <c r="E61" s="1134"/>
      <c r="F61" s="1290">
        <v>0</v>
      </c>
      <c r="G61" s="1296"/>
    </row>
    <row r="62" spans="2:11" ht="16.350000000000001" hidden="1" customHeight="1">
      <c r="B62" s="640" t="s">
        <v>489</v>
      </c>
      <c r="C62" s="1145"/>
      <c r="D62" s="1134"/>
      <c r="E62" s="1134"/>
      <c r="F62" s="1290">
        <v>0</v>
      </c>
      <c r="G62" s="1296"/>
      <c r="J62" s="1290" t="s">
        <v>527</v>
      </c>
      <c r="K62" s="1290">
        <f>+Notes!K110+PL!D40-BS!E27</f>
        <v>8443336.4000000004</v>
      </c>
    </row>
    <row r="63" spans="2:11" ht="30.6" hidden="1" customHeight="1">
      <c r="B63" s="1141" t="s">
        <v>490</v>
      </c>
      <c r="C63" s="1145"/>
      <c r="D63" s="1134"/>
      <c r="E63" s="1134"/>
      <c r="F63" s="1290">
        <v>0</v>
      </c>
      <c r="G63" s="1296"/>
    </row>
    <row r="64" spans="2:11" ht="15" hidden="1" customHeight="1">
      <c r="B64" s="1141" t="s">
        <v>491</v>
      </c>
      <c r="C64" s="1145"/>
      <c r="D64" s="1134"/>
      <c r="E64" s="1134"/>
      <c r="F64" s="1290">
        <v>0</v>
      </c>
      <c r="G64" s="1296"/>
    </row>
    <row r="65" spans="2:7" ht="15" hidden="1" customHeight="1">
      <c r="B65" s="1141" t="s">
        <v>492</v>
      </c>
      <c r="C65" s="1145"/>
      <c r="D65" s="1134"/>
      <c r="E65" s="1134"/>
      <c r="F65" s="1290">
        <v>0</v>
      </c>
      <c r="G65" s="1296"/>
    </row>
    <row r="66" spans="2:7" ht="15" hidden="1" customHeight="1">
      <c r="B66" s="1141" t="s">
        <v>493</v>
      </c>
      <c r="C66" s="1145"/>
      <c r="D66" s="1134"/>
      <c r="E66" s="1134"/>
      <c r="F66" s="1290">
        <v>0</v>
      </c>
      <c r="G66" s="1296"/>
    </row>
    <row r="67" spans="2:7" ht="16.350000000000001" hidden="1" customHeight="1">
      <c r="B67" s="1141" t="s">
        <v>494</v>
      </c>
      <c r="C67" s="1145"/>
      <c r="D67" s="1135"/>
      <c r="E67" s="1134"/>
      <c r="F67" s="1290">
        <v>0</v>
      </c>
      <c r="G67" s="1296"/>
    </row>
    <row r="68" spans="2:7" ht="12.75" hidden="1" customHeight="1">
      <c r="B68" s="640" t="s">
        <v>495</v>
      </c>
      <c r="C68" s="1145"/>
      <c r="D68" s="1134"/>
      <c r="E68" s="1134"/>
      <c r="F68" s="1290">
        <v>0</v>
      </c>
      <c r="G68" s="1296"/>
    </row>
    <row r="69" spans="2:7" ht="12.75" hidden="1" customHeight="1">
      <c r="B69" s="1141" t="s">
        <v>490</v>
      </c>
      <c r="C69" s="1145"/>
      <c r="D69" s="1134"/>
      <c r="E69" s="1134"/>
      <c r="F69" s="1290">
        <v>0</v>
      </c>
      <c r="G69" s="1296"/>
    </row>
    <row r="70" spans="2:7" ht="12.75" hidden="1" customHeight="1">
      <c r="B70" s="1141" t="s">
        <v>491</v>
      </c>
      <c r="C70" s="1145"/>
      <c r="D70" s="1134"/>
      <c r="E70" s="1134"/>
      <c r="F70" s="1290">
        <v>0</v>
      </c>
      <c r="G70" s="1296"/>
    </row>
    <row r="71" spans="2:7" ht="12.75" hidden="1" customHeight="1">
      <c r="B71" s="1141" t="s">
        <v>492</v>
      </c>
      <c r="C71" s="1145"/>
      <c r="D71" s="1134"/>
      <c r="E71" s="1134"/>
      <c r="F71" s="1290">
        <v>0</v>
      </c>
      <c r="G71" s="1296"/>
    </row>
    <row r="72" spans="2:7" ht="12.75" hidden="1" customHeight="1">
      <c r="B72" s="1141" t="s">
        <v>493</v>
      </c>
      <c r="C72" s="1145"/>
      <c r="D72" s="1134"/>
      <c r="E72" s="1134"/>
      <c r="F72" s="1290">
        <v>0</v>
      </c>
      <c r="G72" s="1296"/>
    </row>
    <row r="73" spans="2:7" ht="12.75" hidden="1" customHeight="1">
      <c r="B73" s="1141" t="s">
        <v>494</v>
      </c>
      <c r="C73" s="1145"/>
      <c r="D73" s="1134"/>
      <c r="E73" s="1134"/>
      <c r="F73" s="1290">
        <v>0</v>
      </c>
      <c r="G73" s="1296"/>
    </row>
    <row r="74" spans="2:7" ht="12.75" hidden="1" customHeight="1">
      <c r="B74" s="640" t="s">
        <v>496</v>
      </c>
      <c r="C74" s="1145"/>
      <c r="D74" s="1134"/>
      <c r="E74" s="1134"/>
      <c r="F74" s="1290">
        <v>0</v>
      </c>
      <c r="G74" s="1296"/>
    </row>
    <row r="75" spans="2:7" ht="12.75" hidden="1" customHeight="1">
      <c r="B75" s="1141" t="s">
        <v>490</v>
      </c>
      <c r="C75" s="1145"/>
      <c r="D75" s="1134"/>
      <c r="E75" s="1134"/>
      <c r="F75" s="1290">
        <v>0</v>
      </c>
      <c r="G75" s="1296"/>
    </row>
    <row r="76" spans="2:7" ht="12.75" hidden="1" customHeight="1">
      <c r="B76" s="1141" t="s">
        <v>491</v>
      </c>
      <c r="C76" s="1145"/>
      <c r="D76" s="1134"/>
      <c r="E76" s="1134"/>
      <c r="F76" s="1290">
        <v>0</v>
      </c>
      <c r="G76" s="1296"/>
    </row>
    <row r="77" spans="2:7" ht="12.75" hidden="1" customHeight="1">
      <c r="B77" s="1141" t="s">
        <v>492</v>
      </c>
      <c r="C77" s="1145"/>
      <c r="D77" s="1134"/>
      <c r="E77" s="1134"/>
      <c r="F77" s="1290">
        <v>0</v>
      </c>
      <c r="G77" s="1296"/>
    </row>
    <row r="78" spans="2:7" ht="12.75" hidden="1" customHeight="1">
      <c r="B78" s="1141" t="s">
        <v>494</v>
      </c>
      <c r="C78" s="1145"/>
      <c r="D78" s="1134"/>
      <c r="E78" s="1134"/>
      <c r="F78" s="1290">
        <v>0</v>
      </c>
      <c r="G78" s="1296"/>
    </row>
    <row r="79" spans="2:7" ht="12.75" hidden="1" customHeight="1">
      <c r="B79" s="640" t="s">
        <v>497</v>
      </c>
      <c r="C79" s="1145"/>
      <c r="D79" s="1134"/>
      <c r="E79" s="1134"/>
      <c r="F79" s="1290">
        <v>0</v>
      </c>
      <c r="G79" s="1296"/>
    </row>
    <row r="80" spans="2:7" ht="12.75" hidden="1" customHeight="1">
      <c r="B80" s="1141" t="s">
        <v>490</v>
      </c>
      <c r="C80" s="1145"/>
      <c r="D80" s="1134"/>
      <c r="E80" s="1134"/>
      <c r="F80" s="1290">
        <v>0</v>
      </c>
      <c r="G80" s="1296"/>
    </row>
    <row r="81" spans="2:7" ht="12.75" hidden="1" customHeight="1">
      <c r="B81" s="1141" t="s">
        <v>491</v>
      </c>
      <c r="C81" s="1145"/>
      <c r="D81" s="1134"/>
      <c r="E81" s="1134"/>
      <c r="F81" s="1290">
        <v>0</v>
      </c>
      <c r="G81" s="1296"/>
    </row>
    <row r="82" spans="2:7" ht="12.75" hidden="1" customHeight="1">
      <c r="B82" s="1141" t="s">
        <v>492</v>
      </c>
      <c r="C82" s="1145"/>
      <c r="D82" s="1134"/>
      <c r="E82" s="1134"/>
      <c r="F82" s="1290">
        <v>0</v>
      </c>
      <c r="G82" s="1296"/>
    </row>
    <row r="83" spans="2:7" ht="12.75" hidden="1" customHeight="1">
      <c r="B83" s="1141" t="s">
        <v>494</v>
      </c>
      <c r="C83" s="1145"/>
      <c r="D83" s="1134"/>
      <c r="E83" s="1134"/>
      <c r="F83" s="1290">
        <v>0</v>
      </c>
      <c r="G83" s="1296"/>
    </row>
    <row r="84" spans="2:7" ht="12.75" hidden="1" customHeight="1">
      <c r="B84" s="640" t="s">
        <v>498</v>
      </c>
      <c r="C84" s="1145"/>
      <c r="D84" s="1134"/>
      <c r="E84" s="1134"/>
      <c r="F84" s="1290">
        <v>0</v>
      </c>
      <c r="G84" s="1296"/>
    </row>
    <row r="85" spans="2:7" ht="12.75" hidden="1" customHeight="1">
      <c r="B85" s="1141" t="s">
        <v>490</v>
      </c>
      <c r="C85" s="1145"/>
      <c r="D85" s="1134"/>
      <c r="E85" s="1134"/>
      <c r="F85" s="1290">
        <v>0</v>
      </c>
      <c r="G85" s="1296"/>
    </row>
    <row r="86" spans="2:7" ht="12.75" hidden="1" customHeight="1">
      <c r="B86" s="1141" t="s">
        <v>491</v>
      </c>
      <c r="C86" s="1145"/>
      <c r="D86" s="1134"/>
      <c r="E86" s="1134"/>
      <c r="F86" s="1290">
        <v>0</v>
      </c>
      <c r="G86" s="1296"/>
    </row>
    <row r="87" spans="2:7" ht="12.75" hidden="1" customHeight="1">
      <c r="B87" s="1141" t="s">
        <v>492</v>
      </c>
      <c r="C87" s="1145"/>
      <c r="D87" s="1134"/>
      <c r="E87" s="1134"/>
      <c r="F87" s="1290">
        <v>0</v>
      </c>
      <c r="G87" s="1296"/>
    </row>
    <row r="88" spans="2:7" ht="12.75" hidden="1" customHeight="1">
      <c r="B88" s="1141" t="s">
        <v>494</v>
      </c>
      <c r="C88" s="1145"/>
      <c r="D88" s="1134"/>
      <c r="E88" s="1134"/>
      <c r="F88" s="1290">
        <v>0</v>
      </c>
      <c r="G88" s="1296"/>
    </row>
    <row r="89" spans="2:7" ht="12.75" hidden="1" customHeight="1">
      <c r="B89" s="640" t="s">
        <v>499</v>
      </c>
      <c r="C89" s="1145"/>
      <c r="D89" s="1134"/>
      <c r="E89" s="1134"/>
      <c r="F89" s="1290">
        <v>0</v>
      </c>
      <c r="G89" s="1296"/>
    </row>
    <row r="90" spans="2:7" ht="12.75" hidden="1" customHeight="1">
      <c r="B90" s="1141" t="s">
        <v>490</v>
      </c>
      <c r="C90" s="1145"/>
      <c r="D90" s="1134"/>
      <c r="E90" s="1134"/>
      <c r="F90" s="1290">
        <v>0</v>
      </c>
      <c r="G90" s="1296"/>
    </row>
    <row r="91" spans="2:7" ht="12.75" hidden="1" customHeight="1">
      <c r="B91" s="1141" t="s">
        <v>491</v>
      </c>
      <c r="C91" s="1145"/>
      <c r="D91" s="1134"/>
      <c r="E91" s="1134"/>
      <c r="F91" s="1290">
        <v>0</v>
      </c>
      <c r="G91" s="1296"/>
    </row>
    <row r="92" spans="2:7" ht="12.75" hidden="1" customHeight="1">
      <c r="B92" s="1141" t="s">
        <v>492</v>
      </c>
      <c r="C92" s="1145"/>
      <c r="D92" s="1134"/>
      <c r="E92" s="1134"/>
      <c r="F92" s="1290">
        <v>0</v>
      </c>
      <c r="G92" s="1296"/>
    </row>
    <row r="93" spans="2:7" ht="12.75" hidden="1" customHeight="1">
      <c r="B93" s="1141" t="s">
        <v>494</v>
      </c>
      <c r="C93" s="1145"/>
      <c r="D93" s="1134"/>
      <c r="E93" s="1134"/>
      <c r="F93" s="1290">
        <v>0</v>
      </c>
      <c r="G93" s="1296"/>
    </row>
    <row r="94" spans="2:7" ht="12.75" hidden="1" customHeight="1">
      <c r="B94" s="640" t="s">
        <v>454</v>
      </c>
      <c r="C94" s="1145"/>
      <c r="D94" s="1134"/>
      <c r="E94" s="1134"/>
      <c r="F94" s="1290">
        <v>0</v>
      </c>
      <c r="G94" s="1296"/>
    </row>
    <row r="95" spans="2:7" ht="12.75" hidden="1" customHeight="1">
      <c r="B95" s="640" t="s">
        <v>455</v>
      </c>
      <c r="C95" s="1145"/>
      <c r="D95" s="1134"/>
      <c r="E95" s="1134"/>
      <c r="F95" s="1290">
        <v>0</v>
      </c>
      <c r="G95" s="1296"/>
    </row>
    <row r="96" spans="2:7" ht="12.75" hidden="1" customHeight="1">
      <c r="B96" s="640" t="s">
        <v>500</v>
      </c>
      <c r="C96" s="1145"/>
      <c r="D96" s="1134"/>
      <c r="E96" s="1134"/>
      <c r="F96" s="1290">
        <v>0</v>
      </c>
      <c r="G96" s="1296"/>
    </row>
    <row r="97" spans="2:9" ht="12.75" hidden="1" customHeight="1">
      <c r="B97" s="640" t="s">
        <v>501</v>
      </c>
      <c r="C97" s="1145"/>
      <c r="D97" s="1134"/>
      <c r="E97" s="1134"/>
      <c r="F97" s="1290">
        <v>0</v>
      </c>
      <c r="G97" s="1296"/>
    </row>
    <row r="98" spans="2:9" ht="12.75" hidden="1" customHeight="1">
      <c r="B98" s="640" t="s">
        <v>502</v>
      </c>
      <c r="C98" s="1145"/>
      <c r="D98" s="1135"/>
      <c r="E98" s="1134"/>
      <c r="F98" s="1290">
        <v>0</v>
      </c>
      <c r="G98" s="1296"/>
    </row>
    <row r="99" spans="2:9">
      <c r="B99" s="640" t="s">
        <v>3599</v>
      </c>
      <c r="C99" s="1145"/>
      <c r="D99" s="1134">
        <f>Notes!K191-Notes!J191</f>
        <v>11575162</v>
      </c>
      <c r="E99" s="1134"/>
      <c r="F99" s="1290">
        <v>13923085.09745273</v>
      </c>
      <c r="G99" s="1296"/>
    </row>
    <row r="100" spans="2:9" ht="17.100000000000001" customHeight="1">
      <c r="B100" s="640" t="s">
        <v>3169</v>
      </c>
      <c r="C100" s="1145"/>
      <c r="D100" s="1134"/>
      <c r="E100" s="1134"/>
      <c r="F100" s="1290">
        <v>-13056750.539999999</v>
      </c>
      <c r="G100" s="1296"/>
    </row>
    <row r="101" spans="2:9" ht="25.5" customHeight="1">
      <c r="B101" s="1138"/>
      <c r="C101" s="1140"/>
      <c r="D101" s="1134"/>
      <c r="E101" s="1134">
        <f>SUM(D52:D100)</f>
        <v>-17875289.828813549</v>
      </c>
      <c r="F101" s="1134"/>
      <c r="G101" s="1296">
        <f>-9307.12401881846*1000</f>
        <v>-9307124.0188184604</v>
      </c>
    </row>
    <row r="102" spans="2:9" ht="18" customHeight="1">
      <c r="B102" s="1138" t="s">
        <v>478</v>
      </c>
      <c r="C102" s="1140"/>
      <c r="D102" s="1134"/>
      <c r="E102" s="1134">
        <v>0</v>
      </c>
      <c r="F102" s="1134"/>
      <c r="G102" s="1296">
        <v>0</v>
      </c>
    </row>
    <row r="103" spans="2:9" ht="15.75" hidden="1" customHeight="1">
      <c r="B103" s="1138"/>
      <c r="C103" s="1140"/>
      <c r="D103" s="1134"/>
      <c r="E103" s="1135"/>
      <c r="F103" s="1134"/>
      <c r="G103" s="1299">
        <v>0</v>
      </c>
    </row>
    <row r="104" spans="2:9">
      <c r="B104" s="1138"/>
      <c r="C104" s="1140"/>
      <c r="D104" s="1134"/>
      <c r="E104" s="1134">
        <f>SUM(E101:E103)</f>
        <v>-17875289.828813549</v>
      </c>
      <c r="F104" s="1134"/>
      <c r="G104" s="1296">
        <f>-9307.12401881846*1000</f>
        <v>-9307124.0188184604</v>
      </c>
    </row>
    <row r="105" spans="2:9" ht="9.6" hidden="1" customHeight="1">
      <c r="B105" s="2821" t="s">
        <v>480</v>
      </c>
      <c r="C105" s="2822"/>
      <c r="D105" s="1134"/>
      <c r="E105" s="1135">
        <v>0</v>
      </c>
      <c r="F105" s="1134"/>
      <c r="G105" s="1299">
        <v>0</v>
      </c>
      <c r="I105" s="1640"/>
    </row>
    <row r="106" spans="2:9" ht="17.850000000000001" customHeight="1">
      <c r="B106" s="1138"/>
      <c r="C106" s="1140"/>
      <c r="D106" s="1134"/>
      <c r="E106" s="1134"/>
      <c r="F106" s="1134"/>
      <c r="G106" s="1296"/>
      <c r="I106" s="1640"/>
    </row>
    <row r="107" spans="2:9">
      <c r="B107" s="1144" t="s">
        <v>503</v>
      </c>
      <c r="C107" s="1140"/>
      <c r="D107" s="1301"/>
      <c r="E107" s="1312">
        <f>SUM(E104:E105)</f>
        <v>-17875289.828813549</v>
      </c>
      <c r="F107" s="1301"/>
      <c r="G107" s="1302">
        <f>-9307.12401881846*1000</f>
        <v>-9307124.0188184604</v>
      </c>
    </row>
    <row r="108" spans="2:9" ht="15" hidden="1" customHeight="1">
      <c r="B108" s="1144"/>
      <c r="C108" s="1140"/>
      <c r="D108" s="1301"/>
      <c r="E108" s="1313"/>
      <c r="F108" s="1301"/>
      <c r="G108" s="1314"/>
    </row>
    <row r="109" spans="2:9" ht="15.75" hidden="1" customHeight="1" thickBot="1">
      <c r="B109" s="2823"/>
      <c r="C109" s="2824"/>
      <c r="D109" s="1304"/>
      <c r="E109" s="1304"/>
      <c r="F109" s="1304"/>
      <c r="G109" s="1305"/>
    </row>
    <row r="110" spans="2:9" ht="15" hidden="1" customHeight="1">
      <c r="B110" s="1315"/>
      <c r="D110" s="1136"/>
      <c r="E110" s="1136"/>
      <c r="F110" s="1136"/>
      <c r="G110" s="1308"/>
    </row>
    <row r="111" spans="2:9" ht="38.25" hidden="1" customHeight="1">
      <c r="B111" s="2811" t="s">
        <v>1</v>
      </c>
      <c r="C111" s="2812"/>
      <c r="D111" s="2813"/>
      <c r="E111" s="2814"/>
      <c r="F111" s="2813"/>
      <c r="G111" s="2820"/>
    </row>
    <row r="112" spans="2:9" ht="30.6" hidden="1" customHeight="1">
      <c r="B112" s="1291"/>
      <c r="C112" s="1292"/>
      <c r="D112" s="1309"/>
      <c r="E112" s="1309"/>
      <c r="F112" s="1309"/>
      <c r="G112" s="1310"/>
    </row>
    <row r="113" spans="2:12" ht="16.8" thickBot="1">
      <c r="B113" s="1316"/>
      <c r="C113" s="1317"/>
      <c r="D113" s="1318"/>
      <c r="E113" s="1318"/>
      <c r="F113" s="1318"/>
      <c r="G113" s="1319"/>
    </row>
    <row r="114" spans="2:12">
      <c r="B114" s="1320" t="s">
        <v>504</v>
      </c>
      <c r="C114" s="1321"/>
      <c r="D114" s="1322"/>
      <c r="E114" s="1322"/>
      <c r="F114" s="1322"/>
      <c r="G114" s="1323"/>
    </row>
    <row r="115" spans="2:12" ht="15" hidden="1" customHeight="1">
      <c r="B115" s="1138" t="s">
        <v>1188</v>
      </c>
      <c r="C115" s="1140"/>
      <c r="D115" s="1134">
        <v>0</v>
      </c>
      <c r="E115" s="1134"/>
      <c r="F115" s="1134">
        <v>0</v>
      </c>
      <c r="G115" s="1296"/>
    </row>
    <row r="116" spans="2:12">
      <c r="B116" s="1138" t="s">
        <v>505</v>
      </c>
      <c r="C116" s="1140"/>
      <c r="D116" s="1134">
        <f>Notes!J53</f>
        <v>-5360596</v>
      </c>
      <c r="E116" s="1134"/>
      <c r="F116" s="1134">
        <f>-7147.46*1000</f>
        <v>-7147460</v>
      </c>
      <c r="G116" s="1296">
        <v>0</v>
      </c>
    </row>
    <row r="117" spans="2:12" hidden="1">
      <c r="B117" s="1138" t="s">
        <v>506</v>
      </c>
      <c r="C117" s="1140"/>
      <c r="D117" s="1135">
        <v>0</v>
      </c>
      <c r="E117" s="1134"/>
      <c r="F117" s="1135">
        <v>0</v>
      </c>
      <c r="G117" s="1296">
        <v>0</v>
      </c>
    </row>
    <row r="118" spans="2:12">
      <c r="B118" s="1138"/>
      <c r="C118" s="1140"/>
      <c r="D118" s="1134"/>
      <c r="E118" s="1134">
        <f>SUM(D115:D117)</f>
        <v>-5360596</v>
      </c>
      <c r="F118" s="1134"/>
      <c r="G118" s="1296">
        <f>-7147.46*1000</f>
        <v>-7147460</v>
      </c>
      <c r="I118" s="1295"/>
    </row>
    <row r="119" spans="2:12" hidden="1">
      <c r="B119" s="1138" t="s">
        <v>478</v>
      </c>
      <c r="C119" s="1140"/>
      <c r="D119" s="1134"/>
      <c r="E119" s="1135">
        <v>0</v>
      </c>
      <c r="F119" s="1134"/>
      <c r="G119" s="1299">
        <v>0</v>
      </c>
      <c r="H119" s="1290" t="s">
        <v>1158</v>
      </c>
    </row>
    <row r="120" spans="2:12" hidden="1">
      <c r="B120" s="1138"/>
      <c r="C120" s="1140"/>
      <c r="D120" s="1134"/>
      <c r="E120" s="1134"/>
      <c r="F120" s="1134"/>
      <c r="G120" s="1296">
        <v>0</v>
      </c>
    </row>
    <row r="121" spans="2:12">
      <c r="B121" s="1144" t="s">
        <v>507</v>
      </c>
      <c r="C121" s="1140"/>
      <c r="D121" s="1301"/>
      <c r="E121" s="1312">
        <f>SUM(E118:E119)</f>
        <v>-5360596</v>
      </c>
      <c r="F121" s="1301"/>
      <c r="G121" s="1302">
        <f>G118</f>
        <v>-7147460</v>
      </c>
      <c r="I121" s="1640"/>
    </row>
    <row r="122" spans="2:12">
      <c r="B122" s="1138"/>
      <c r="C122" s="1140"/>
      <c r="D122" s="1134"/>
      <c r="E122" s="1134"/>
      <c r="F122" s="1134"/>
      <c r="G122" s="1296"/>
    </row>
    <row r="123" spans="2:12" ht="15.75" customHeight="1">
      <c r="B123" s="1144" t="s">
        <v>508</v>
      </c>
      <c r="C123" s="1140"/>
      <c r="D123" s="1301"/>
      <c r="E123" s="1313">
        <f>E45+E107+E121+0.5</f>
        <v>-12241967.930000048</v>
      </c>
      <c r="F123" s="1324"/>
      <c r="G123" s="1314">
        <f>G45+G107+G121+6</f>
        <v>18309943.152028941</v>
      </c>
      <c r="H123" s="1295"/>
      <c r="I123" s="1295"/>
    </row>
    <row r="124" spans="2:12">
      <c r="B124" s="1138" t="s">
        <v>509</v>
      </c>
      <c r="C124" s="1140"/>
      <c r="D124" s="1134"/>
      <c r="E124" s="1134">
        <f>(G145)</f>
        <v>33472810.700000003</v>
      </c>
      <c r="F124" s="1307"/>
      <c r="G124" s="1296">
        <f>15162.86767*1000</f>
        <v>15162867.67</v>
      </c>
    </row>
    <row r="125" spans="2:12">
      <c r="B125" s="1138" t="s">
        <v>3171</v>
      </c>
      <c r="C125" s="1140"/>
      <c r="D125" s="1134"/>
      <c r="E125" s="1134">
        <v>0</v>
      </c>
      <c r="F125" s="1307"/>
      <c r="G125" s="1296">
        <v>0</v>
      </c>
      <c r="I125" s="1640">
        <f>G127</f>
        <v>33472810.822028942</v>
      </c>
    </row>
    <row r="126" spans="2:12">
      <c r="B126" s="1138" t="s">
        <v>3623</v>
      </c>
      <c r="C126" s="1140"/>
      <c r="D126" s="1134"/>
      <c r="E126" s="1134"/>
      <c r="F126" s="1307"/>
      <c r="G126" s="1296"/>
      <c r="I126" s="1640"/>
    </row>
    <row r="127" spans="2:12" ht="16.8" thickBot="1">
      <c r="B127" s="1144" t="s">
        <v>510</v>
      </c>
      <c r="C127" s="1140"/>
      <c r="D127" s="1134"/>
      <c r="E127" s="1325">
        <f>E123+E124+E125+E126</f>
        <v>21230842.769999955</v>
      </c>
      <c r="F127" s="1326"/>
      <c r="G127" s="1327">
        <f>G123+G124+G125+G126</f>
        <v>33472810.822028942</v>
      </c>
      <c r="H127" s="1295"/>
      <c r="I127" s="1640">
        <f>Notes!K193</f>
        <v>102259361.69999996</v>
      </c>
      <c r="J127" s="1295"/>
      <c r="K127" s="1295"/>
      <c r="L127" s="1295"/>
    </row>
    <row r="128" spans="2:12">
      <c r="B128" s="2845" t="s">
        <v>511</v>
      </c>
      <c r="C128" s="2846"/>
      <c r="D128" s="1134"/>
      <c r="E128" s="1134"/>
      <c r="F128" s="1134"/>
      <c r="G128" s="1296"/>
      <c r="H128" s="1297"/>
      <c r="I128" s="1297">
        <f>I125-I127</f>
        <v>-68786550.877971023</v>
      </c>
      <c r="J128" s="1640"/>
    </row>
    <row r="129" spans="2:10">
      <c r="B129" s="1138" t="s">
        <v>4322</v>
      </c>
      <c r="C129" s="1140"/>
      <c r="D129" s="1134"/>
      <c r="E129" s="1134">
        <f>+Notes!J193</f>
        <v>78442231.989999995</v>
      </c>
      <c r="F129" s="1134"/>
      <c r="G129" s="1296">
        <f>102259.3617*1000</f>
        <v>102259361.69999999</v>
      </c>
      <c r="H129" s="1295"/>
      <c r="I129" s="1640">
        <f>E127-E131</f>
        <v>21230842.769999955</v>
      </c>
      <c r="J129" s="1297"/>
    </row>
    <row r="130" spans="2:10">
      <c r="B130" s="2821" t="s">
        <v>947</v>
      </c>
      <c r="C130" s="2822"/>
      <c r="D130" s="1134"/>
      <c r="E130" s="1134">
        <f>-Notes!J191</f>
        <v>-57211389</v>
      </c>
      <c r="F130" s="1134"/>
      <c r="G130" s="1296">
        <f>-68786.551*1000</f>
        <v>-68786551</v>
      </c>
      <c r="H130" s="1295"/>
      <c r="I130" s="1297"/>
    </row>
    <row r="131" spans="2:10" ht="22.2">
      <c r="B131" s="2821" t="s">
        <v>955</v>
      </c>
      <c r="C131" s="2822"/>
      <c r="D131" s="1134"/>
      <c r="E131" s="1328"/>
      <c r="F131" s="1134"/>
      <c r="G131" s="1329"/>
      <c r="H131" s="1640"/>
      <c r="I131" s="1747">
        <f>E127-E131</f>
        <v>21230842.769999955</v>
      </c>
      <c r="J131" s="1640"/>
    </row>
    <row r="132" spans="2:10">
      <c r="B132" s="2821" t="s">
        <v>948</v>
      </c>
      <c r="C132" s="2822"/>
      <c r="D132" s="1134"/>
      <c r="E132" s="1134"/>
      <c r="F132" s="1134"/>
      <c r="G132" s="1296"/>
      <c r="H132" s="1640">
        <f>E133-E127</f>
        <v>0.22000003978610039</v>
      </c>
    </row>
    <row r="133" spans="2:10" ht="16.8" thickBot="1">
      <c r="B133" s="1144" t="s">
        <v>512</v>
      </c>
      <c r="C133" s="1140"/>
      <c r="D133" s="1134"/>
      <c r="E133" s="1325">
        <f>SUM(E129:E132)</f>
        <v>21230842.989999995</v>
      </c>
      <c r="F133" s="1134"/>
      <c r="G133" s="1327">
        <f>33472.8107*1000</f>
        <v>33472810.700000003</v>
      </c>
      <c r="H133" s="1640">
        <f>E127-E133</f>
        <v>-0.22000003978610039</v>
      </c>
      <c r="I133" s="1295">
        <f>I131/2</f>
        <v>10615421.384999977</v>
      </c>
      <c r="J133" s="1330"/>
    </row>
    <row r="134" spans="2:10" ht="18" customHeight="1">
      <c r="B134" s="1331" t="s">
        <v>513</v>
      </c>
      <c r="C134" s="1140"/>
      <c r="D134" s="1134"/>
      <c r="E134" s="1134"/>
      <c r="F134" s="1134"/>
      <c r="G134" s="1296">
        <v>0</v>
      </c>
      <c r="I134" s="1640">
        <f>E133-E127</f>
        <v>0.22000003978610039</v>
      </c>
      <c r="J134" s="1290">
        <v>-3549989</v>
      </c>
    </row>
    <row r="135" spans="2:10" ht="18" customHeight="1">
      <c r="B135" s="1138" t="s">
        <v>32</v>
      </c>
      <c r="C135" s="1140"/>
      <c r="D135" s="1134"/>
      <c r="E135" s="1134">
        <f>SUM(Notes!J186:J187)</f>
        <v>7137075.6299999952</v>
      </c>
      <c r="F135" s="1134"/>
      <c r="G135" s="1296">
        <f>7550.78354999995*1000</f>
        <v>7550783.5499999505</v>
      </c>
      <c r="H135" s="1640"/>
      <c r="I135" s="1297">
        <f>I134/2</f>
        <v>0.11000001989305019</v>
      </c>
    </row>
    <row r="136" spans="2:10" ht="18" customHeight="1">
      <c r="B136" s="2821" t="s">
        <v>514</v>
      </c>
      <c r="C136" s="2822"/>
      <c r="D136" s="1134"/>
      <c r="E136" s="1134">
        <v>0</v>
      </c>
      <c r="F136" s="1134"/>
      <c r="G136" s="1296">
        <v>0</v>
      </c>
    </row>
    <row r="137" spans="2:10" ht="18" customHeight="1">
      <c r="B137" s="2821" t="s">
        <v>33</v>
      </c>
      <c r="C137" s="2822"/>
      <c r="D137" s="1134"/>
      <c r="E137" s="1134"/>
      <c r="F137" s="1134"/>
      <c r="G137" s="1296">
        <v>0</v>
      </c>
      <c r="H137" s="1295"/>
    </row>
    <row r="138" spans="2:10" ht="18" customHeight="1">
      <c r="B138" s="2852" t="s">
        <v>515</v>
      </c>
      <c r="C138" s="2853"/>
      <c r="D138" s="1134"/>
      <c r="E138" s="1134">
        <f>Notes!J190</f>
        <v>14093767.359999999</v>
      </c>
      <c r="F138" s="1134"/>
      <c r="G138" s="1296">
        <f>25922.02715*1000</f>
        <v>25922027.150000002</v>
      </c>
    </row>
    <row r="139" spans="2:10" ht="15.75" hidden="1" customHeight="1">
      <c r="B139" s="2852" t="s">
        <v>516</v>
      </c>
      <c r="C139" s="2853"/>
      <c r="D139" s="1134"/>
      <c r="E139" s="1134"/>
      <c r="F139" s="1134"/>
      <c r="G139" s="1296">
        <v>0</v>
      </c>
    </row>
    <row r="140" spans="2:10" ht="15.75" hidden="1" customHeight="1">
      <c r="B140" s="2852" t="s">
        <v>517</v>
      </c>
      <c r="C140" s="2853"/>
      <c r="D140" s="1134"/>
      <c r="E140" s="1134"/>
      <c r="F140" s="1134"/>
      <c r="G140" s="1296">
        <v>0</v>
      </c>
    </row>
    <row r="141" spans="2:10" ht="15.75" hidden="1" customHeight="1">
      <c r="B141" s="2852" t="s">
        <v>518</v>
      </c>
      <c r="C141" s="2853"/>
      <c r="D141" s="1134"/>
      <c r="E141" s="1134"/>
      <c r="F141" s="1134"/>
      <c r="G141" s="1296">
        <v>0</v>
      </c>
    </row>
    <row r="142" spans="2:10" ht="15.75" hidden="1" customHeight="1">
      <c r="B142" s="2821" t="s">
        <v>519</v>
      </c>
      <c r="C142" s="2822"/>
      <c r="D142" s="1134"/>
      <c r="E142" s="1134"/>
      <c r="F142" s="1134"/>
      <c r="G142" s="1296">
        <v>0</v>
      </c>
    </row>
    <row r="143" spans="2:10" ht="15.75" hidden="1" customHeight="1">
      <c r="B143" s="2821" t="s">
        <v>520</v>
      </c>
      <c r="C143" s="2822"/>
      <c r="D143" s="1134"/>
      <c r="E143" s="1134"/>
      <c r="F143" s="1134"/>
      <c r="G143" s="1296">
        <v>0</v>
      </c>
    </row>
    <row r="144" spans="2:10" ht="15.75" customHeight="1">
      <c r="B144" s="2852" t="s">
        <v>3598</v>
      </c>
      <c r="C144" s="2853"/>
      <c r="D144" s="1134"/>
      <c r="E144" s="1134"/>
      <c r="F144" s="1134"/>
      <c r="G144" s="1296">
        <v>0</v>
      </c>
    </row>
    <row r="145" spans="2:10" ht="16.8" thickBot="1">
      <c r="B145" s="1332"/>
      <c r="C145" s="1333"/>
      <c r="D145" s="1304"/>
      <c r="E145" s="1325">
        <f>SUM(E135:E138)</f>
        <v>21230842.989999995</v>
      </c>
      <c r="F145" s="1304"/>
      <c r="G145" s="1327">
        <f>33472.8107*1000</f>
        <v>33472810.700000003</v>
      </c>
      <c r="H145" s="1334"/>
      <c r="I145" s="1295"/>
      <c r="J145" s="1295"/>
    </row>
    <row r="146" spans="2:10" hidden="1">
      <c r="B146" s="1320" t="s">
        <v>521</v>
      </c>
      <c r="C146" s="1335"/>
      <c r="D146" s="1336"/>
      <c r="E146" s="1336"/>
      <c r="F146" s="1336"/>
      <c r="G146" s="1337"/>
    </row>
    <row r="147" spans="2:10" hidden="1">
      <c r="B147" s="1138" t="s">
        <v>522</v>
      </c>
      <c r="D147" s="2622"/>
      <c r="E147" s="2622"/>
      <c r="F147" s="2622"/>
      <c r="G147" s="1338"/>
    </row>
    <row r="148" spans="2:10" hidden="1">
      <c r="B148" s="1138" t="s">
        <v>523</v>
      </c>
      <c r="D148" s="2622"/>
      <c r="E148" s="2622"/>
      <c r="F148" s="2622"/>
      <c r="G148" s="1338"/>
    </row>
    <row r="149" spans="2:10" ht="9.75" customHeight="1">
      <c r="B149" s="1138"/>
      <c r="D149" s="2622"/>
      <c r="E149" s="2622"/>
      <c r="F149" s="2622"/>
      <c r="G149" s="1338"/>
      <c r="I149" s="1295"/>
    </row>
    <row r="150" spans="2:10" ht="18.75" customHeight="1" thickBot="1">
      <c r="B150" s="2823" t="s">
        <v>961</v>
      </c>
      <c r="C150" s="2854"/>
      <c r="D150" s="2854"/>
      <c r="E150" s="2854"/>
      <c r="F150" s="2854"/>
      <c r="G150" s="2855"/>
    </row>
    <row r="151" spans="2:10">
      <c r="B151" s="1138" t="s">
        <v>524</v>
      </c>
      <c r="C151" s="2621"/>
      <c r="D151" s="2623"/>
      <c r="E151" s="2623"/>
      <c r="F151" s="2624"/>
      <c r="G151" s="1338"/>
    </row>
    <row r="152" spans="2:10">
      <c r="B152" s="1339" t="str">
        <f>'[30]Balance Sheet'!$B$60</f>
        <v>For A. JOHN MORIS &amp; CO.,</v>
      </c>
      <c r="C152" s="1340"/>
      <c r="D152" s="2856" t="s">
        <v>297</v>
      </c>
      <c r="E152" s="2856"/>
      <c r="F152" s="2856"/>
      <c r="G152" s="1338"/>
    </row>
    <row r="153" spans="2:10">
      <c r="B153" s="1138" t="s">
        <v>43</v>
      </c>
      <c r="C153" s="1340"/>
      <c r="D153" s="1340"/>
      <c r="E153" s="2621"/>
      <c r="F153" s="1341" t="s">
        <v>525</v>
      </c>
      <c r="G153" s="1342"/>
    </row>
    <row r="154" spans="2:10">
      <c r="B154" s="1339" t="str">
        <f>+'[30]Balance Sheet'!$B$62</f>
        <v>FRN. 007220S</v>
      </c>
      <c r="C154" s="1340"/>
      <c r="D154" s="1340"/>
      <c r="E154" s="2621"/>
      <c r="F154" s="1341"/>
      <c r="G154" s="1342"/>
    </row>
    <row r="155" spans="2:10" ht="32.1" customHeight="1">
      <c r="B155" s="1343"/>
      <c r="C155" s="1340"/>
      <c r="D155" s="1340"/>
      <c r="E155" s="2621"/>
      <c r="F155" s="2577"/>
      <c r="G155" s="1342"/>
    </row>
    <row r="156" spans="2:10" ht="43.5" customHeight="1">
      <c r="B156" s="1343"/>
      <c r="C156" s="1340"/>
      <c r="D156" s="1340"/>
      <c r="E156" s="2621"/>
      <c r="F156" s="2625"/>
      <c r="G156" s="1342"/>
    </row>
    <row r="157" spans="2:10">
      <c r="B157" s="1344" t="str">
        <f>BS!A60</f>
        <v>(CA A.JOHN MORIS)</v>
      </c>
      <c r="C157" s="1340"/>
      <c r="D157" s="1345" t="str">
        <f>'[30]Balance Sheet'!$F$65</f>
        <v>(S. KUMARAN)</v>
      </c>
      <c r="E157" s="2621"/>
      <c r="F157" s="2626" t="str">
        <f>'[30]Balance Sheet'!$H$65</f>
        <v xml:space="preserve"> (K. VISALAKSHI)</v>
      </c>
      <c r="G157" s="1342"/>
      <c r="H157" s="1290" t="s">
        <v>1158</v>
      </c>
    </row>
    <row r="158" spans="2:10">
      <c r="B158" s="1346" t="str">
        <f>BS!A61</f>
        <v>Managing Partner</v>
      </c>
      <c r="C158" s="1347"/>
      <c r="D158" s="1340" t="str">
        <f>'[30]Balance Sheet'!$F$66</f>
        <v>Managing Director</v>
      </c>
      <c r="E158" s="2621"/>
      <c r="F158" s="2625" t="str">
        <f>'[30]Balance Sheet'!$H$66</f>
        <v>Director</v>
      </c>
      <c r="G158" s="1342"/>
    </row>
    <row r="159" spans="2:10">
      <c r="B159" s="1346" t="str">
        <f>BS!A62</f>
        <v>M.No. 029424</v>
      </c>
      <c r="C159" s="1347"/>
      <c r="D159" s="2627" t="str">
        <f>BS!D63</f>
        <v>DIN No.01926196</v>
      </c>
      <c r="E159" s="2621"/>
      <c r="F159" s="2627" t="str">
        <f>BS!E63</f>
        <v>DIN No.01926144</v>
      </c>
      <c r="G159" s="1342"/>
    </row>
    <row r="160" spans="2:10" hidden="1">
      <c r="B160" s="1348"/>
      <c r="C160" s="1347"/>
      <c r="D160" s="1347"/>
      <c r="E160" s="2621"/>
      <c r="F160" s="2628"/>
      <c r="G160" s="1342"/>
    </row>
    <row r="161" spans="2:7" hidden="1">
      <c r="B161" s="1349" t="s">
        <v>442</v>
      </c>
      <c r="C161" s="1347"/>
      <c r="D161" s="2629"/>
      <c r="E161" s="2621"/>
      <c r="F161" s="2629"/>
      <c r="G161" s="1342"/>
    </row>
    <row r="162" spans="2:7">
      <c r="B162" s="1352" t="str">
        <f>BS!A63</f>
        <v>Place: Chennai</v>
      </c>
      <c r="C162" s="1340"/>
      <c r="D162" s="1350"/>
      <c r="E162" s="2847"/>
      <c r="F162" s="2848"/>
      <c r="G162" s="2849"/>
    </row>
    <row r="163" spans="2:7" ht="15.75" customHeight="1" thickBot="1">
      <c r="B163" s="1351" t="str">
        <f>BS!A64</f>
        <v>Date:  07-09-2023</v>
      </c>
      <c r="C163" s="2506"/>
      <c r="D163" s="2507"/>
      <c r="E163" s="2850"/>
      <c r="F163" s="2850"/>
      <c r="G163" s="2851"/>
    </row>
  </sheetData>
  <mergeCells count="40">
    <mergeCell ref="E162:G162"/>
    <mergeCell ref="E163:G163"/>
    <mergeCell ref="B137:C137"/>
    <mergeCell ref="B138:C138"/>
    <mergeCell ref="B139:C139"/>
    <mergeCell ref="B140:C140"/>
    <mergeCell ref="B141:C141"/>
    <mergeCell ref="B142:C142"/>
    <mergeCell ref="B150:G150"/>
    <mergeCell ref="D152:F152"/>
    <mergeCell ref="B143:C143"/>
    <mergeCell ref="B144:C144"/>
    <mergeCell ref="B128:C128"/>
    <mergeCell ref="B130:C130"/>
    <mergeCell ref="B131:C131"/>
    <mergeCell ref="B132:C132"/>
    <mergeCell ref="B136:C136"/>
    <mergeCell ref="B1:G1"/>
    <mergeCell ref="B4:G4"/>
    <mergeCell ref="B5:G5"/>
    <mergeCell ref="B6:G6"/>
    <mergeCell ref="D7:G7"/>
    <mergeCell ref="B2:G2"/>
    <mergeCell ref="C3:F3"/>
    <mergeCell ref="B111:C111"/>
    <mergeCell ref="D111:E111"/>
    <mergeCell ref="B8:C8"/>
    <mergeCell ref="D8:E8"/>
    <mergeCell ref="F8:G8"/>
    <mergeCell ref="F49:G49"/>
    <mergeCell ref="B52:C52"/>
    <mergeCell ref="B55:C55"/>
    <mergeCell ref="B105:C105"/>
    <mergeCell ref="F111:G111"/>
    <mergeCell ref="B43:C43"/>
    <mergeCell ref="B47:C47"/>
    <mergeCell ref="B49:C49"/>
    <mergeCell ref="D49:E49"/>
    <mergeCell ref="B109:C109"/>
    <mergeCell ref="B22:C22"/>
  </mergeCells>
  <printOptions horizontalCentered="1"/>
  <pageMargins left="0.7" right="0.7" top="0.75" bottom="0.75" header="0.3" footer="0.3"/>
  <pageSetup paperSize="9" scale="59" orientation="portrait" r:id="rId1"/>
  <headerFooter alignWithMargins="0"/>
  <rowBreaks count="1" manualBreakCount="1">
    <brk id="113" min="1"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26"/>
  <sheetViews>
    <sheetView topLeftCell="D53" zoomScale="98" zoomScaleNormal="98" workbookViewId="0">
      <selection activeCell="D71" sqref="D71"/>
    </sheetView>
  </sheetViews>
  <sheetFormatPr defaultColWidth="8.77734375" defaultRowHeight="17.399999999999999"/>
  <cols>
    <col min="1" max="1" width="8.77734375" style="2180"/>
    <col min="2" max="2" width="29.5546875" style="2180" bestFit="1" customWidth="1"/>
    <col min="3" max="4" width="14.44140625" style="2192" bestFit="1" customWidth="1"/>
    <col min="5" max="5" width="11" style="2180" bestFit="1" customWidth="1"/>
    <col min="6" max="7" width="14.44140625" style="2180" bestFit="1" customWidth="1"/>
    <col min="8" max="8" width="28" style="2180" bestFit="1" customWidth="1"/>
    <col min="9" max="9" width="11.44140625" style="2180" bestFit="1" customWidth="1"/>
    <col min="10" max="10" width="16" style="2180" bestFit="1" customWidth="1"/>
    <col min="11" max="11" width="8.77734375" style="2180"/>
    <col min="12" max="12" width="26.5546875" style="2180" bestFit="1" customWidth="1"/>
    <col min="13" max="13" width="11.21875" style="2180" bestFit="1" customWidth="1"/>
    <col min="14" max="14" width="10.44140625" style="2180" bestFit="1" customWidth="1"/>
    <col min="15" max="16384" width="8.77734375" style="2180"/>
  </cols>
  <sheetData>
    <row r="1" spans="1:5">
      <c r="A1" s="2180" t="s">
        <v>3029</v>
      </c>
      <c r="B1" s="2180" t="s">
        <v>1</v>
      </c>
      <c r="C1" s="2192" t="s">
        <v>4016</v>
      </c>
      <c r="D1" s="2192" t="s">
        <v>4017</v>
      </c>
    </row>
    <row r="2" spans="1:5">
      <c r="A2" s="2200">
        <v>1</v>
      </c>
      <c r="B2" s="2180" t="s">
        <v>2096</v>
      </c>
      <c r="C2" s="2192">
        <v>412000</v>
      </c>
      <c r="E2" s="2193"/>
    </row>
    <row r="3" spans="1:5">
      <c r="B3" s="2180" t="s">
        <v>4022</v>
      </c>
      <c r="C3" s="2192">
        <f>C2*10%</f>
        <v>41200</v>
      </c>
      <c r="E3" s="2193"/>
    </row>
    <row r="4" spans="1:5">
      <c r="B4" s="2180" t="s">
        <v>4041</v>
      </c>
      <c r="D4" s="2192">
        <f>C2-C3</f>
        <v>370800</v>
      </c>
    </row>
    <row r="5" spans="1:5">
      <c r="B5" s="2180" t="s">
        <v>4018</v>
      </c>
    </row>
    <row r="7" spans="1:5">
      <c r="A7" s="2200">
        <v>2</v>
      </c>
      <c r="B7" s="2180" t="s">
        <v>4019</v>
      </c>
      <c r="C7" s="2192">
        <f>718+125+13866</f>
        <v>14709</v>
      </c>
    </row>
    <row r="8" spans="1:5">
      <c r="B8" s="2180" t="s">
        <v>4020</v>
      </c>
      <c r="D8" s="2192">
        <f>C7</f>
        <v>14709</v>
      </c>
    </row>
    <row r="9" spans="1:5">
      <c r="B9" s="2180" t="s">
        <v>4021</v>
      </c>
    </row>
    <row r="12" spans="1:5">
      <c r="A12" s="2180">
        <f>A7+1</f>
        <v>3</v>
      </c>
      <c r="B12" s="2180" t="s">
        <v>4023</v>
      </c>
      <c r="C12" s="2192">
        <v>18149.152542372882</v>
      </c>
      <c r="E12" s="2201"/>
    </row>
    <row r="13" spans="1:5">
      <c r="B13" s="2180" t="s">
        <v>3881</v>
      </c>
      <c r="C13" s="2192">
        <v>16200</v>
      </c>
      <c r="E13" s="2201"/>
    </row>
    <row r="14" spans="1:5">
      <c r="B14" s="2180" t="s">
        <v>4024</v>
      </c>
      <c r="C14" s="2192">
        <v>11393.76</v>
      </c>
      <c r="E14" s="2180" t="s">
        <v>2951</v>
      </c>
    </row>
    <row r="15" spans="1:5">
      <c r="B15" s="2180" t="s">
        <v>4025</v>
      </c>
      <c r="C15" s="2192">
        <v>931.89576271186525</v>
      </c>
      <c r="E15" s="2201"/>
    </row>
    <row r="16" spans="1:5">
      <c r="B16" s="2180" t="s">
        <v>4026</v>
      </c>
      <c r="C16" s="2192">
        <v>5672.4305084745756</v>
      </c>
      <c r="E16" s="2180" t="s">
        <v>2951</v>
      </c>
    </row>
    <row r="17" spans="2:5">
      <c r="B17" s="2180" t="s">
        <v>3960</v>
      </c>
      <c r="C17" s="2192">
        <v>1913.5466101694917</v>
      </c>
      <c r="E17" s="2180" t="s">
        <v>2949</v>
      </c>
    </row>
    <row r="18" spans="2:5">
      <c r="B18" s="2180" t="s">
        <v>4027</v>
      </c>
      <c r="C18" s="2192">
        <v>1006.4906779661018</v>
      </c>
      <c r="E18" s="2180" t="s">
        <v>2951</v>
      </c>
    </row>
    <row r="19" spans="2:5">
      <c r="B19" s="2180" t="s">
        <v>4028</v>
      </c>
      <c r="C19" s="2192">
        <v>5481.84</v>
      </c>
      <c r="E19" s="2180" t="s">
        <v>2949</v>
      </c>
    </row>
    <row r="20" spans="2:5">
      <c r="B20" s="2180" t="s">
        <v>4029</v>
      </c>
      <c r="C20" s="2192">
        <v>4240</v>
      </c>
      <c r="E20" s="2180" t="s">
        <v>2951</v>
      </c>
    </row>
    <row r="21" spans="2:5">
      <c r="B21" s="2180" t="s">
        <v>3977</v>
      </c>
      <c r="C21" s="2192">
        <v>5959</v>
      </c>
      <c r="E21" s="2201"/>
    </row>
    <row r="22" spans="2:5">
      <c r="B22" s="2180" t="s">
        <v>3978</v>
      </c>
      <c r="C22" s="2192">
        <v>62460</v>
      </c>
      <c r="E22" s="2201"/>
    </row>
    <row r="23" spans="2:5">
      <c r="B23" s="2180" t="s">
        <v>4030</v>
      </c>
      <c r="C23" s="2192">
        <v>14457.74</v>
      </c>
      <c r="E23" s="2201"/>
    </row>
    <row r="24" spans="2:5">
      <c r="B24" s="2180" t="s">
        <v>4031</v>
      </c>
      <c r="C24" s="2192">
        <v>12616.11</v>
      </c>
      <c r="E24" s="2180" t="s">
        <v>2951</v>
      </c>
    </row>
    <row r="25" spans="2:5">
      <c r="B25" s="2180" t="s">
        <v>4032</v>
      </c>
      <c r="C25" s="2192">
        <v>534.43000000000006</v>
      </c>
      <c r="E25" s="2180" t="s">
        <v>2949</v>
      </c>
    </row>
    <row r="26" spans="2:5">
      <c r="B26" s="2180" t="s">
        <v>4033</v>
      </c>
      <c r="C26" s="2192">
        <v>8140.26</v>
      </c>
      <c r="E26" s="2201"/>
    </row>
    <row r="27" spans="2:5">
      <c r="B27" s="2180" t="s">
        <v>4034</v>
      </c>
      <c r="C27" s="2192">
        <v>1992.17</v>
      </c>
      <c r="E27" s="2180" t="s">
        <v>2951</v>
      </c>
    </row>
    <row r="28" spans="2:5">
      <c r="B28" s="2180" t="s">
        <v>4035</v>
      </c>
      <c r="C28" s="2192">
        <v>13996.322033898306</v>
      </c>
      <c r="E28" s="2201"/>
    </row>
    <row r="29" spans="2:5">
      <c r="B29" s="2180" t="s">
        <v>4036</v>
      </c>
      <c r="C29" s="2192">
        <v>1606</v>
      </c>
      <c r="E29" s="2201"/>
    </row>
    <row r="30" spans="2:5">
      <c r="B30" s="2180" t="s">
        <v>4037</v>
      </c>
      <c r="C30" s="2192">
        <v>4333.6101694915269</v>
      </c>
      <c r="E30" s="2180" t="s">
        <v>2951</v>
      </c>
    </row>
    <row r="31" spans="2:5">
      <c r="B31" s="2180" t="s">
        <v>4038</v>
      </c>
      <c r="C31" s="2192">
        <v>851.54237288135482</v>
      </c>
      <c r="E31" s="2180" t="s">
        <v>2951</v>
      </c>
    </row>
    <row r="32" spans="2:5">
      <c r="B32" s="2180" t="s">
        <v>4039</v>
      </c>
      <c r="C32" s="2192">
        <v>1077.6271186440679</v>
      </c>
      <c r="E32" s="2201"/>
    </row>
    <row r="33" spans="1:5">
      <c r="B33" s="2180" t="s">
        <v>4040</v>
      </c>
      <c r="C33" s="2192">
        <v>2740.4576271186443</v>
      </c>
      <c r="E33" s="2180" t="s">
        <v>2951</v>
      </c>
    </row>
    <row r="34" spans="1:5">
      <c r="B34" s="2180" t="s">
        <v>4007</v>
      </c>
      <c r="C34" s="2192">
        <v>1682.3694915254241</v>
      </c>
      <c r="E34" s="2180" t="s">
        <v>2949</v>
      </c>
    </row>
    <row r="35" spans="1:5">
      <c r="B35" s="2180" t="s">
        <v>3544</v>
      </c>
      <c r="D35" s="2192">
        <f>SUM(C12:C34)</f>
        <v>197436.75491525425</v>
      </c>
    </row>
    <row r="37" spans="1:5">
      <c r="A37" s="2200">
        <f>A12+1</f>
        <v>4</v>
      </c>
      <c r="B37" s="2180" t="s">
        <v>4174</v>
      </c>
      <c r="C37" s="2192">
        <f>SUM(D38:D40)</f>
        <v>172218</v>
      </c>
      <c r="E37" s="2192"/>
    </row>
    <row r="38" spans="1:5">
      <c r="B38" s="2180" t="s">
        <v>4175</v>
      </c>
      <c r="D38" s="2192">
        <v>10518</v>
      </c>
      <c r="E38" s="2192" t="s">
        <v>2650</v>
      </c>
    </row>
    <row r="39" spans="1:5">
      <c r="B39" s="2180" t="s">
        <v>4176</v>
      </c>
      <c r="D39" s="2192">
        <v>22284</v>
      </c>
      <c r="E39" s="2192" t="s">
        <v>2650</v>
      </c>
    </row>
    <row r="40" spans="1:5">
      <c r="B40" s="2180" t="s">
        <v>4194</v>
      </c>
      <c r="D40" s="2192">
        <v>139416</v>
      </c>
      <c r="E40" s="2192" t="s">
        <v>2650</v>
      </c>
    </row>
    <row r="42" spans="1:5">
      <c r="A42" s="2180">
        <f>A37+1</f>
        <v>5</v>
      </c>
      <c r="B42" s="2180" t="s">
        <v>4177</v>
      </c>
      <c r="C42" s="2322"/>
      <c r="D42" s="2322"/>
    </row>
    <row r="43" spans="1:5">
      <c r="B43" s="2180" t="s">
        <v>4258</v>
      </c>
      <c r="C43" s="2322"/>
      <c r="D43" s="2322">
        <f>C42</f>
        <v>0</v>
      </c>
    </row>
    <row r="44" spans="1:5">
      <c r="C44" s="2322"/>
      <c r="D44" s="2322"/>
    </row>
    <row r="45" spans="1:5">
      <c r="A45" s="2180">
        <v>6</v>
      </c>
      <c r="B45" s="2180" t="s">
        <v>55</v>
      </c>
      <c r="C45" s="2322">
        <v>231886.25</v>
      </c>
      <c r="D45" s="2322"/>
    </row>
    <row r="46" spans="1:5">
      <c r="B46" s="2180" t="s">
        <v>4264</v>
      </c>
      <c r="D46" s="2192">
        <v>231886.25</v>
      </c>
    </row>
    <row r="48" spans="1:5">
      <c r="B48" s="2180" t="s">
        <v>3869</v>
      </c>
      <c r="C48" s="2192">
        <v>17120.75</v>
      </c>
    </row>
    <row r="49" spans="1:6">
      <c r="B49" s="2180" t="s">
        <v>4265</v>
      </c>
      <c r="D49" s="2192">
        <v>17120.75</v>
      </c>
    </row>
    <row r="52" spans="1:6">
      <c r="A52" s="2200">
        <v>7</v>
      </c>
      <c r="B52" s="2180" t="s">
        <v>4180</v>
      </c>
      <c r="C52" s="2192">
        <v>7010403</v>
      </c>
      <c r="F52" s="2192">
        <f>3551493</f>
        <v>3551493</v>
      </c>
    </row>
    <row r="53" spans="1:6">
      <c r="B53" s="2180" t="s">
        <v>4181</v>
      </c>
      <c r="D53" s="2192">
        <f>C52</f>
        <v>7010403</v>
      </c>
    </row>
    <row r="55" spans="1:6">
      <c r="A55" s="2200">
        <f>A52+1</f>
        <v>8</v>
      </c>
      <c r="B55" s="2180" t="s">
        <v>4182</v>
      </c>
      <c r="C55" s="2192">
        <v>226153</v>
      </c>
    </row>
    <row r="56" spans="1:6">
      <c r="B56" s="2180" t="s">
        <v>4181</v>
      </c>
      <c r="D56" s="2192">
        <f>C55</f>
        <v>226153</v>
      </c>
      <c r="F56" s="2193">
        <f>C100</f>
        <v>2621516</v>
      </c>
    </row>
    <row r="57" spans="1:6">
      <c r="F57" s="2193">
        <f>F56-D56</f>
        <v>2395363</v>
      </c>
    </row>
    <row r="58" spans="1:6">
      <c r="A58" s="2200">
        <f>A55+1</f>
        <v>9</v>
      </c>
      <c r="B58" s="2180" t="s">
        <v>4183</v>
      </c>
      <c r="C58" s="2192">
        <f>177551+105649</f>
        <v>283200</v>
      </c>
    </row>
    <row r="59" spans="1:6">
      <c r="B59" s="2180" t="s">
        <v>4184</v>
      </c>
      <c r="D59" s="2192">
        <v>177551</v>
      </c>
    </row>
    <row r="60" spans="1:6">
      <c r="B60" s="2180" t="s">
        <v>4185</v>
      </c>
      <c r="D60" s="2192">
        <v>105649</v>
      </c>
    </row>
    <row r="62" spans="1:6">
      <c r="A62" s="2200">
        <f>A58+1</f>
        <v>10</v>
      </c>
      <c r="B62" s="2180" t="s">
        <v>4364</v>
      </c>
      <c r="C62" s="2192">
        <f>Sheet10!B9</f>
        <v>742110.61812685104</v>
      </c>
      <c r="E62" s="2193"/>
    </row>
    <row r="63" spans="1:6">
      <c r="B63" s="2180" t="s">
        <v>4191</v>
      </c>
      <c r="D63" s="2192">
        <f>C62</f>
        <v>742110.61812685104</v>
      </c>
    </row>
    <row r="65" spans="1:14">
      <c r="A65" s="2200">
        <f>A62+1</f>
        <v>11</v>
      </c>
      <c r="B65" s="2180" t="s">
        <v>4190</v>
      </c>
      <c r="C65" s="2192">
        <f>Notes!J155</f>
        <v>-742110.61812685104</v>
      </c>
    </row>
    <row r="66" spans="1:14">
      <c r="B66" s="2180" t="s">
        <v>4186</v>
      </c>
      <c r="D66" s="2192">
        <f>C65</f>
        <v>-742110.61812685104</v>
      </c>
    </row>
    <row r="67" spans="1:14">
      <c r="H67" s="2180" t="s">
        <v>4198</v>
      </c>
      <c r="I67" s="2192">
        <v>260000</v>
      </c>
    </row>
    <row r="68" spans="1:14">
      <c r="C68" s="2192">
        <v>260000</v>
      </c>
      <c r="H68" s="2180" t="s">
        <v>4195</v>
      </c>
      <c r="I68" s="2192"/>
      <c r="J68" s="2193">
        <f>I67</f>
        <v>260000</v>
      </c>
    </row>
    <row r="69" spans="1:14">
      <c r="A69" s="2180">
        <v>13</v>
      </c>
      <c r="B69" s="2180" t="s">
        <v>4196</v>
      </c>
      <c r="C69" s="2192">
        <v>822623.05</v>
      </c>
      <c r="J69" s="2193">
        <f>D70-C69</f>
        <v>43295.949999999953</v>
      </c>
      <c r="L69" s="2180" t="s">
        <v>942</v>
      </c>
      <c r="M69" s="2192">
        <v>216704</v>
      </c>
      <c r="N69" s="2192"/>
    </row>
    <row r="70" spans="1:14">
      <c r="B70" s="2180" t="s">
        <v>4195</v>
      </c>
      <c r="D70" s="2192">
        <v>865919</v>
      </c>
      <c r="L70" s="2180" t="s">
        <v>4193</v>
      </c>
      <c r="M70" s="2192"/>
      <c r="N70" s="2192">
        <f>M69</f>
        <v>216704</v>
      </c>
    </row>
    <row r="71" spans="1:14">
      <c r="B71" s="2180" t="s">
        <v>4197</v>
      </c>
      <c r="D71" s="2180">
        <v>216704</v>
      </c>
    </row>
    <row r="72" spans="1:14">
      <c r="D72" s="2180"/>
    </row>
    <row r="73" spans="1:14">
      <c r="D73" s="2180"/>
      <c r="H73" s="2193"/>
    </row>
    <row r="74" spans="1:14">
      <c r="H74" s="2193"/>
    </row>
    <row r="76" spans="1:14">
      <c r="H76" s="2193"/>
    </row>
    <row r="77" spans="1:14">
      <c r="D77" s="2180"/>
    </row>
    <row r="78" spans="1:14">
      <c r="D78" s="2180"/>
      <c r="H78" s="2193"/>
    </row>
    <row r="79" spans="1:14">
      <c r="A79" s="2200">
        <v>14</v>
      </c>
      <c r="B79" s="2180" t="s">
        <v>4178</v>
      </c>
      <c r="C79" s="2192">
        <f>D80</f>
        <v>868251</v>
      </c>
      <c r="H79" s="2193"/>
    </row>
    <row r="80" spans="1:14">
      <c r="B80" s="2180" t="s">
        <v>4179</v>
      </c>
      <c r="D80" s="2192">
        <f>Dep_Co!H13</f>
        <v>868251</v>
      </c>
      <c r="E80" s="2193">
        <f>D80-C68</f>
        <v>608251</v>
      </c>
    </row>
    <row r="81" spans="1:6">
      <c r="D81" s="2180"/>
    </row>
    <row r="82" spans="1:6">
      <c r="A82" s="2180">
        <v>15</v>
      </c>
      <c r="B82" s="2180" t="s">
        <v>1875</v>
      </c>
      <c r="C82" s="2192">
        <v>141084.27118643746</v>
      </c>
      <c r="D82" s="2180"/>
    </row>
    <row r="83" spans="1:6">
      <c r="B83" s="2180" t="s">
        <v>2381</v>
      </c>
      <c r="C83" s="2192">
        <v>8140.4406779660858</v>
      </c>
      <c r="D83" s="2281"/>
    </row>
    <row r="84" spans="1:6">
      <c r="B84" s="2180" t="s">
        <v>3031</v>
      </c>
      <c r="D84" s="2193">
        <v>149224.71186440624</v>
      </c>
      <c r="E84" s="2193"/>
    </row>
    <row r="85" spans="1:6">
      <c r="D85" s="2180"/>
      <c r="E85" s="2280"/>
      <c r="F85" s="2281"/>
    </row>
    <row r="86" spans="1:6">
      <c r="A86" s="2180">
        <f>A82+1</f>
        <v>16</v>
      </c>
      <c r="B86" s="2180" t="s">
        <v>4246</v>
      </c>
      <c r="C86" s="2192">
        <f>800000+325000+500</f>
        <v>1125500</v>
      </c>
      <c r="D86" s="2180"/>
      <c r="E86" s="2280"/>
      <c r="F86" s="2281"/>
    </row>
    <row r="87" spans="1:6">
      <c r="B87" s="2180" t="s">
        <v>4247</v>
      </c>
      <c r="D87" s="2193">
        <f>C86</f>
        <v>1125500</v>
      </c>
      <c r="E87" s="2280"/>
      <c r="F87" s="2281"/>
    </row>
    <row r="88" spans="1:6">
      <c r="D88" s="2193"/>
      <c r="E88" s="2280"/>
      <c r="F88" s="2281"/>
    </row>
    <row r="89" spans="1:6">
      <c r="A89" s="2180">
        <v>17</v>
      </c>
      <c r="B89" s="2180" t="s">
        <v>4260</v>
      </c>
      <c r="C89" s="2192">
        <v>5912325.8600000003</v>
      </c>
      <c r="D89" s="2180"/>
    </row>
    <row r="90" spans="1:6">
      <c r="B90" s="2180" t="s">
        <v>4248</v>
      </c>
      <c r="D90" s="2193">
        <f>C89</f>
        <v>5912325.8600000003</v>
      </c>
    </row>
    <row r="91" spans="1:6">
      <c r="D91" s="2193"/>
    </row>
    <row r="92" spans="1:6">
      <c r="D92" s="2193"/>
    </row>
    <row r="93" spans="1:6">
      <c r="A93" s="2180">
        <v>19</v>
      </c>
      <c r="B93" s="2180" t="s">
        <v>4177</v>
      </c>
      <c r="C93" s="2322">
        <v>105799</v>
      </c>
      <c r="D93" s="2193"/>
    </row>
    <row r="94" spans="1:6">
      <c r="B94" s="2180" t="s">
        <v>4256</v>
      </c>
      <c r="C94" s="2322"/>
      <c r="D94" s="2193">
        <f>C93</f>
        <v>105799</v>
      </c>
    </row>
    <row r="95" spans="1:6">
      <c r="C95" s="2322"/>
      <c r="D95" s="2193"/>
    </row>
    <row r="96" spans="1:6">
      <c r="C96" s="2322"/>
      <c r="D96" s="2193"/>
    </row>
    <row r="97" spans="1:9">
      <c r="A97" s="2180">
        <v>20</v>
      </c>
      <c r="B97" s="2180" t="s">
        <v>4257</v>
      </c>
      <c r="C97" s="2322">
        <v>700000</v>
      </c>
      <c r="D97" s="2193"/>
    </row>
    <row r="98" spans="1:9">
      <c r="B98" s="2180" t="s">
        <v>1561</v>
      </c>
      <c r="C98" s="2322"/>
      <c r="D98" s="2193">
        <f>C97</f>
        <v>700000</v>
      </c>
    </row>
    <row r="99" spans="1:9">
      <c r="C99" s="2322"/>
      <c r="D99" s="2193"/>
    </row>
    <row r="100" spans="1:9">
      <c r="A100" s="2180">
        <v>21</v>
      </c>
      <c r="B100" s="2180" t="s">
        <v>99</v>
      </c>
      <c r="C100" s="2322">
        <v>2621516</v>
      </c>
      <c r="D100" s="2193"/>
    </row>
    <row r="101" spans="1:9">
      <c r="B101" s="2180" t="s">
        <v>4266</v>
      </c>
      <c r="C101" s="2322"/>
      <c r="D101" s="2193">
        <f>C100</f>
        <v>2621516</v>
      </c>
    </row>
    <row r="102" spans="1:9">
      <c r="C102" s="2322"/>
      <c r="D102" s="2193"/>
    </row>
    <row r="103" spans="1:9">
      <c r="I103" s="2192"/>
    </row>
    <row r="105" spans="1:9">
      <c r="B105" s="2324">
        <v>3092642</v>
      </c>
    </row>
    <row r="106" spans="1:9">
      <c r="B106" s="2324">
        <v>3134072</v>
      </c>
    </row>
    <row r="107" spans="1:9">
      <c r="B107" s="2324">
        <v>3112584</v>
      </c>
    </row>
    <row r="108" spans="1:9">
      <c r="B108" s="2324">
        <v>3163488</v>
      </c>
    </row>
    <row r="109" spans="1:9">
      <c r="B109" s="2324">
        <v>3753710</v>
      </c>
    </row>
    <row r="110" spans="1:9">
      <c r="B110" s="2324">
        <v>6131582</v>
      </c>
    </row>
    <row r="111" spans="1:9">
      <c r="B111" s="2324">
        <f>SUM(B105:B110)</f>
        <v>22388078</v>
      </c>
    </row>
    <row r="113" spans="1:4">
      <c r="A113" s="2180">
        <v>21</v>
      </c>
      <c r="B113" s="2180" t="s">
        <v>4260</v>
      </c>
      <c r="C113" s="2192">
        <f>B111</f>
        <v>22388078</v>
      </c>
    </row>
    <row r="114" spans="1:4">
      <c r="B114" s="2180" t="s">
        <v>2076</v>
      </c>
      <c r="D114" s="2192">
        <f>B105+B106+B107+B108</f>
        <v>12502786</v>
      </c>
    </row>
    <row r="115" spans="1:4">
      <c r="B115" s="2180" t="s">
        <v>112</v>
      </c>
      <c r="D115" s="2192">
        <f>B109+B110</f>
        <v>9885292</v>
      </c>
    </row>
    <row r="117" spans="1:4">
      <c r="A117" s="2180">
        <v>22</v>
      </c>
      <c r="B117" s="2180" t="s">
        <v>2953</v>
      </c>
      <c r="C117" s="2192">
        <v>2545868</v>
      </c>
    </row>
    <row r="118" spans="1:4">
      <c r="B118" s="2180" t="s">
        <v>255</v>
      </c>
      <c r="D118" s="2192">
        <f>C117</f>
        <v>2545868</v>
      </c>
    </row>
    <row r="120" spans="1:4">
      <c r="A120" s="2180">
        <v>23</v>
      </c>
      <c r="B120" s="2180" t="s">
        <v>4267</v>
      </c>
      <c r="C120" s="2180">
        <v>6534725</v>
      </c>
    </row>
    <row r="121" spans="1:4">
      <c r="B121" s="2180" t="s">
        <v>4268</v>
      </c>
      <c r="D121" s="2192">
        <f>C120</f>
        <v>6534725</v>
      </c>
    </row>
    <row r="123" spans="1:4">
      <c r="B123" s="2180" t="s">
        <v>2383</v>
      </c>
      <c r="C123" s="2192">
        <f>'Sheet1 (2)'!M38</f>
        <v>4927384.0999999996</v>
      </c>
    </row>
    <row r="124" spans="1:4">
      <c r="B124" s="2180" t="s">
        <v>1875</v>
      </c>
      <c r="C124" s="2192">
        <f>SUM(D125:D126)-C123</f>
        <v>1081620.9000000004</v>
      </c>
    </row>
    <row r="125" spans="1:4">
      <c r="B125" s="2180" t="s">
        <v>4315</v>
      </c>
      <c r="D125" s="2192">
        <f>'Sheet1 (2)'!K17</f>
        <v>4695237</v>
      </c>
    </row>
    <row r="126" spans="1:4">
      <c r="B126" s="2180" t="s">
        <v>4314</v>
      </c>
      <c r="D126" s="2192">
        <f>'Sheet1 (2)'!K38</f>
        <v>1313768</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65"/>
  <sheetViews>
    <sheetView showGridLines="0" view="pageBreakPreview" topLeftCell="A35" zoomScale="131" zoomScaleSheetLayoutView="145" workbookViewId="0">
      <selection activeCell="C46" sqref="C46:E46"/>
    </sheetView>
  </sheetViews>
  <sheetFormatPr defaultColWidth="9.44140625" defaultRowHeight="14.4"/>
  <cols>
    <col min="1" max="1" width="55.44140625" style="1189" customWidth="1"/>
    <col min="2" max="2" width="8.44140625" style="1189" bestFit="1" customWidth="1"/>
    <col min="3" max="3" width="19.5546875" style="2578" customWidth="1"/>
    <col min="4" max="4" width="20.5546875" style="1190" customWidth="1"/>
    <col min="5" max="5" width="15.21875" style="1191" bestFit="1" customWidth="1"/>
    <col min="6" max="6" width="19.44140625" style="1190" customWidth="1"/>
    <col min="7" max="7" width="18.44140625" style="1189" hidden="1" customWidth="1"/>
    <col min="8" max="8" width="17.44140625" style="1189" hidden="1" customWidth="1"/>
    <col min="9" max="10" width="17.44140625" style="1189" customWidth="1"/>
    <col min="11" max="11" width="17.44140625" style="1189" bestFit="1" customWidth="1"/>
    <col min="12" max="12" width="31.5546875" style="1189" bestFit="1" customWidth="1"/>
    <col min="13" max="13" width="12.5546875" style="1189" bestFit="1" customWidth="1"/>
    <col min="14" max="14" width="9.44140625" style="1189"/>
    <col min="15" max="15" width="10.44140625" style="1189" bestFit="1" customWidth="1"/>
    <col min="16" max="16384" width="9.44140625" style="1189"/>
  </cols>
  <sheetData>
    <row r="1" spans="1:14" ht="23.25" customHeight="1" thickBot="1"/>
    <row r="2" spans="1:14" ht="37.5" customHeight="1">
      <c r="A2" s="2859" t="str">
        <f>IT!C2</f>
        <v>M/s. Sathiapal Engineers (India) Private Limited
(Formerly known as M/S Sathiapal Engineers (India) Limited)</v>
      </c>
      <c r="B2" s="2860"/>
      <c r="C2" s="2860"/>
      <c r="D2" s="2860"/>
      <c r="E2" s="2860"/>
      <c r="F2" s="2861"/>
    </row>
    <row r="3" spans="1:14" ht="15" customHeight="1">
      <c r="A3" s="2876" t="s">
        <v>1665</v>
      </c>
      <c r="B3" s="2877"/>
      <c r="C3" s="2877"/>
      <c r="D3" s="2877"/>
      <c r="E3" s="2877"/>
      <c r="F3" s="2878"/>
    </row>
    <row r="4" spans="1:14" ht="16.2">
      <c r="A4" s="2883" t="s">
        <v>3207</v>
      </c>
      <c r="B4" s="2884"/>
      <c r="C4" s="2884"/>
      <c r="D4" s="2884"/>
      <c r="E4" s="2884"/>
      <c r="F4" s="2885"/>
    </row>
    <row r="5" spans="1:14" ht="16.2" hidden="1">
      <c r="A5" s="1445"/>
      <c r="B5" s="2610"/>
      <c r="C5" s="2611"/>
      <c r="D5" s="2610"/>
      <c r="E5" s="2610"/>
      <c r="F5" s="1969"/>
    </row>
    <row r="6" spans="1:14" ht="16.8" thickBot="1">
      <c r="A6" s="2888" t="s">
        <v>4345</v>
      </c>
      <c r="B6" s="2889"/>
      <c r="C6" s="2889"/>
      <c r="D6" s="2889"/>
      <c r="E6" s="2889"/>
      <c r="F6" s="2890"/>
    </row>
    <row r="7" spans="1:14" ht="16.2">
      <c r="A7" s="2330"/>
      <c r="B7" s="2612"/>
      <c r="C7" s="2576"/>
      <c r="D7" s="2612"/>
      <c r="E7" s="2612"/>
      <c r="F7" s="1980"/>
    </row>
    <row r="8" spans="1:14" ht="15.75" customHeight="1">
      <c r="A8" s="2886" t="s">
        <v>1</v>
      </c>
      <c r="B8" s="2866" t="s">
        <v>35</v>
      </c>
      <c r="C8" s="2872" t="s">
        <v>4204</v>
      </c>
      <c r="D8" s="2873"/>
      <c r="E8" s="2868" t="s">
        <v>3208</v>
      </c>
      <c r="F8" s="2869"/>
      <c r="G8" s="2862" t="s">
        <v>1879</v>
      </c>
      <c r="H8" s="2863"/>
      <c r="I8" s="2304"/>
      <c r="J8" s="2304"/>
    </row>
    <row r="9" spans="1:14" ht="16.8" thickBot="1">
      <c r="A9" s="2887"/>
      <c r="B9" s="2867"/>
      <c r="C9" s="2874"/>
      <c r="D9" s="2875"/>
      <c r="E9" s="2870"/>
      <c r="F9" s="2871"/>
      <c r="G9" s="2864">
        <f>PL!D9</f>
        <v>0</v>
      </c>
      <c r="H9" s="2865"/>
      <c r="I9" s="2304"/>
      <c r="J9" s="2304"/>
    </row>
    <row r="10" spans="1:14" ht="16.2">
      <c r="A10" s="1214" t="s">
        <v>3777</v>
      </c>
      <c r="B10" s="1974"/>
      <c r="C10" s="2606"/>
      <c r="D10" s="2604"/>
      <c r="E10" s="2607"/>
      <c r="F10" s="2608"/>
      <c r="G10" s="1269"/>
      <c r="H10" s="1192"/>
      <c r="I10" s="2305"/>
      <c r="J10" s="2305"/>
    </row>
    <row r="11" spans="1:14" ht="5.0999999999999996" customHeight="1">
      <c r="A11" s="1216"/>
      <c r="B11" s="1971"/>
      <c r="C11" s="2579"/>
      <c r="D11" s="2605"/>
      <c r="E11" s="2448"/>
      <c r="F11" s="1970"/>
      <c r="G11" s="1266"/>
      <c r="H11" s="1193"/>
      <c r="I11" s="2306"/>
      <c r="J11" s="2306"/>
      <c r="N11" s="1194"/>
    </row>
    <row r="12" spans="1:14" ht="16.2">
      <c r="A12" s="1214" t="s">
        <v>3778</v>
      </c>
      <c r="B12" s="1971"/>
      <c r="C12" s="2579"/>
      <c r="D12" s="2605"/>
      <c r="E12" s="2448"/>
      <c r="F12" s="1970"/>
      <c r="G12" s="1266"/>
      <c r="H12" s="1193"/>
      <c r="I12" s="2306"/>
      <c r="J12" s="2306">
        <f>1/1000</f>
        <v>1E-3</v>
      </c>
    </row>
    <row r="13" spans="1:14" ht="16.2">
      <c r="A13" s="1216" t="s">
        <v>3779</v>
      </c>
      <c r="B13" s="1971">
        <f>Notes!B7</f>
        <v>3</v>
      </c>
      <c r="C13" s="2579">
        <f>Notes!I16</f>
        <v>7147460</v>
      </c>
      <c r="D13" s="2443"/>
      <c r="E13" s="2448">
        <f>7147.46*1000</f>
        <v>7147460</v>
      </c>
      <c r="F13" s="2440"/>
      <c r="G13" s="1266">
        <f>Notes!K16</f>
        <v>7147460</v>
      </c>
      <c r="H13" s="1195"/>
      <c r="I13" s="2305"/>
      <c r="J13" s="2305">
        <f>D15*1000</f>
        <v>322708842638.37933</v>
      </c>
      <c r="K13" s="1196"/>
      <c r="N13" s="1194"/>
    </row>
    <row r="14" spans="1:14" ht="16.2">
      <c r="A14" s="1216" t="s">
        <v>3780</v>
      </c>
      <c r="B14" s="1971">
        <f>Notes!B41</f>
        <v>4</v>
      </c>
      <c r="C14" s="2580">
        <f>+Notes!J59</f>
        <v>315561382.93837935</v>
      </c>
      <c r="D14" s="2443"/>
      <c r="E14" s="2449">
        <f>286389.161555591*1000</f>
        <v>286389161.55559099</v>
      </c>
      <c r="F14" s="2440"/>
      <c r="G14" s="1270" t="e">
        <f>Notes!#REF!</f>
        <v>#REF!</v>
      </c>
      <c r="H14" s="1195"/>
      <c r="I14" s="2305"/>
      <c r="J14" s="2305"/>
      <c r="K14" s="1196"/>
      <c r="L14" s="1194"/>
      <c r="N14" s="1194"/>
    </row>
    <row r="15" spans="1:14" ht="16.2">
      <c r="A15" s="1216"/>
      <c r="B15" s="1971"/>
      <c r="C15" s="2579"/>
      <c r="D15" s="2443">
        <f>+C13+C14-0.3</f>
        <v>322708842.63837934</v>
      </c>
      <c r="E15" s="2448"/>
      <c r="F15" s="2440">
        <f>+E13+E14</f>
        <v>293536621.55559099</v>
      </c>
      <c r="G15" s="1266"/>
      <c r="H15" s="1195" t="e">
        <f>SUM(G13:G14)</f>
        <v>#REF!</v>
      </c>
      <c r="I15" s="2305">
        <f>D15-F15</f>
        <v>29172221.082788348</v>
      </c>
      <c r="J15" s="2305">
        <f>'Cash Flow'!E11</f>
        <v>43618707.033423185</v>
      </c>
      <c r="K15" s="1194">
        <f>J15-I15</f>
        <v>14446485.950634837</v>
      </c>
      <c r="L15" s="1189">
        <f>PL!C34</f>
        <v>0</v>
      </c>
      <c r="M15" s="1203">
        <f>K15-L15</f>
        <v>14446485.950634837</v>
      </c>
      <c r="N15" s="1194"/>
    </row>
    <row r="16" spans="1:14" ht="43.8" hidden="1">
      <c r="A16" s="2056" t="s">
        <v>3781</v>
      </c>
      <c r="B16" s="1971"/>
      <c r="C16" s="2579"/>
      <c r="D16" s="2443"/>
      <c r="E16" s="2448"/>
      <c r="F16" s="2440"/>
      <c r="G16" s="1266"/>
      <c r="H16" s="1195"/>
      <c r="I16" s="2305"/>
      <c r="J16" s="2305"/>
      <c r="K16" s="1194"/>
      <c r="N16" s="1194"/>
    </row>
    <row r="17" spans="1:15" ht="16.2">
      <c r="A17" s="2057" t="s">
        <v>3782</v>
      </c>
      <c r="B17" s="1971"/>
      <c r="C17" s="2579"/>
      <c r="D17" s="2443"/>
      <c r="E17" s="2448"/>
      <c r="F17" s="2440"/>
      <c r="G17" s="1266"/>
      <c r="H17" s="1195"/>
      <c r="I17" s="2305"/>
      <c r="J17" s="2305"/>
      <c r="K17" s="1194"/>
      <c r="N17" s="1194"/>
    </row>
    <row r="18" spans="1:15" ht="16.2">
      <c r="A18" s="1214" t="s">
        <v>3783</v>
      </c>
      <c r="B18" s="1971"/>
      <c r="C18" s="2579"/>
      <c r="D18" s="2446"/>
      <c r="E18" s="2448"/>
      <c r="F18" s="2442"/>
      <c r="G18" s="1266"/>
      <c r="H18" s="1193"/>
      <c r="I18" s="2306"/>
      <c r="J18" s="2306"/>
      <c r="N18" s="1194"/>
    </row>
    <row r="19" spans="1:15" ht="16.2">
      <c r="A19" s="1009" t="s">
        <v>3784</v>
      </c>
      <c r="B19" s="1971"/>
      <c r="C19" s="2579"/>
      <c r="D19" s="2446"/>
      <c r="E19" s="2448"/>
      <c r="F19" s="2442"/>
      <c r="G19" s="1266"/>
      <c r="H19" s="1193"/>
      <c r="I19" s="2306"/>
      <c r="J19" s="2306"/>
      <c r="N19" s="1194"/>
    </row>
    <row r="20" spans="1:15" ht="16.2">
      <c r="A20" s="1216" t="s">
        <v>3785</v>
      </c>
      <c r="B20" s="1971">
        <f>+Notes!B62</f>
        <v>5</v>
      </c>
      <c r="C20" s="2579">
        <f>Notes!J65</f>
        <v>32203.14</v>
      </c>
      <c r="D20" s="1978"/>
      <c r="E20" s="2448">
        <f>32.20314*1000</f>
        <v>32203.14</v>
      </c>
      <c r="F20" s="2590"/>
      <c r="G20" s="1266">
        <f>Notes!K65</f>
        <v>32203.14</v>
      </c>
      <c r="H20" s="1193"/>
      <c r="I20" s="2306"/>
      <c r="J20" s="2306"/>
      <c r="K20" s="1196"/>
      <c r="N20" s="1194"/>
    </row>
    <row r="21" spans="1:15" ht="16.2">
      <c r="A21" s="1216" t="s">
        <v>3786</v>
      </c>
      <c r="B21" s="1971">
        <f>Notes!B139</f>
        <v>11</v>
      </c>
      <c r="C21" s="2580">
        <f>-Notes!J156</f>
        <v>1615571.3057073609</v>
      </c>
      <c r="D21" s="2443"/>
      <c r="E21" s="2449">
        <f>-Notes!K156</f>
        <v>873452.38214052026</v>
      </c>
      <c r="F21" s="2440"/>
      <c r="G21" s="1271">
        <f>-Notes!K156</f>
        <v>873452.38214052026</v>
      </c>
      <c r="H21" s="1195">
        <f>G20+G21</f>
        <v>905655.52214052028</v>
      </c>
      <c r="I21" s="2313">
        <f>D21-F21</f>
        <v>0</v>
      </c>
      <c r="J21" s="2305"/>
      <c r="N21" s="1194"/>
    </row>
    <row r="22" spans="1:15" ht="16.2">
      <c r="A22" s="1216" t="s">
        <v>4359</v>
      </c>
      <c r="B22" s="1971"/>
      <c r="C22" s="2581"/>
      <c r="D22" s="2443">
        <f>C21+C20</f>
        <v>1647774.4457073607</v>
      </c>
      <c r="E22" s="2450"/>
      <c r="F22" s="2440">
        <f>E21+E20</f>
        <v>905655.52214052028</v>
      </c>
      <c r="G22" s="2059"/>
      <c r="H22" s="1195"/>
      <c r="I22" s="2305"/>
      <c r="J22" s="2305"/>
      <c r="N22" s="1194"/>
    </row>
    <row r="23" spans="1:15" ht="16.2">
      <c r="A23" s="1214" t="s">
        <v>3787</v>
      </c>
      <c r="B23" s="1971"/>
      <c r="C23" s="2579"/>
      <c r="D23" s="2446"/>
      <c r="E23" s="2448"/>
      <c r="F23" s="2442"/>
      <c r="G23" s="1266"/>
      <c r="H23" s="1193"/>
      <c r="I23" s="2306"/>
      <c r="J23" s="2306"/>
      <c r="N23" s="1194"/>
    </row>
    <row r="24" spans="1:15" ht="16.2">
      <c r="A24" s="1216" t="s">
        <v>3788</v>
      </c>
      <c r="B24" s="1971">
        <f>+Notes!B67</f>
        <v>6</v>
      </c>
      <c r="C24" s="2579">
        <f>+Notes!J74</f>
        <v>11392871</v>
      </c>
      <c r="D24" s="2446"/>
      <c r="E24" s="2448">
        <f>3041.369*1000</f>
        <v>3041369</v>
      </c>
      <c r="F24" s="2442"/>
      <c r="G24" s="1266">
        <f>Notes!K74</f>
        <v>3041369</v>
      </c>
      <c r="H24" s="1193"/>
      <c r="I24" s="2312">
        <f>C24-E24</f>
        <v>8351502</v>
      </c>
      <c r="J24" s="2306"/>
      <c r="K24" s="1196"/>
      <c r="L24" s="1189">
        <v>74920</v>
      </c>
      <c r="M24" s="1194"/>
      <c r="N24" s="1194"/>
    </row>
    <row r="25" spans="1:15" ht="16.2">
      <c r="A25" s="1216" t="s">
        <v>3789</v>
      </c>
      <c r="B25" s="1971">
        <f>Notes!B77</f>
        <v>7</v>
      </c>
      <c r="C25" s="2579">
        <f>+Notes!J83</f>
        <v>17772799.64864406</v>
      </c>
      <c r="D25" s="2446"/>
      <c r="E25" s="2448">
        <f>6562.70984*1000</f>
        <v>6562709.8400000008</v>
      </c>
      <c r="F25" s="2442"/>
      <c r="G25" s="1266">
        <v>7428819</v>
      </c>
      <c r="H25" s="1193"/>
      <c r="I25" s="2312">
        <f>C25-E25</f>
        <v>11210089.80864406</v>
      </c>
      <c r="J25" s="2306"/>
      <c r="K25" s="1196"/>
      <c r="N25" s="1194"/>
    </row>
    <row r="26" spans="1:15" ht="16.2">
      <c r="A26" s="1216" t="s">
        <v>3790</v>
      </c>
      <c r="B26" s="1971">
        <f>Notes!B86</f>
        <v>8</v>
      </c>
      <c r="C26" s="2579">
        <f>+Notes!J104</f>
        <v>22830333.644915253</v>
      </c>
      <c r="D26" s="2446"/>
      <c r="E26" s="2448">
        <f>41388.55377*1000</f>
        <v>41388553.769999996</v>
      </c>
      <c r="F26" s="2442"/>
      <c r="G26" s="1266">
        <f>+Notes!K104</f>
        <v>41388553.769999996</v>
      </c>
      <c r="H26" s="1193"/>
      <c r="I26" s="2312">
        <f>C26-E26</f>
        <v>-18558220.125084743</v>
      </c>
      <c r="J26" s="2306"/>
      <c r="K26" s="1196"/>
      <c r="L26" s="1189">
        <f>SUM(L24:L25)</f>
        <v>74920</v>
      </c>
      <c r="N26" s="1194"/>
    </row>
    <row r="27" spans="1:15" ht="16.2">
      <c r="A27" s="1216" t="s">
        <v>3791</v>
      </c>
      <c r="B27" s="1971">
        <f>Notes!B107</f>
        <v>9</v>
      </c>
      <c r="C27" s="2580">
        <f>+Notes!J111</f>
        <v>10965295.032507783</v>
      </c>
      <c r="D27" s="2446"/>
      <c r="E27" s="2449">
        <f>8443.3364*1000</f>
        <v>8443336.4000000004</v>
      </c>
      <c r="F27" s="2442"/>
      <c r="G27" s="1266">
        <f>+Notes!K111</f>
        <v>8443336.4000000004</v>
      </c>
      <c r="H27" s="1193"/>
      <c r="I27" s="2312">
        <f>C27-E27</f>
        <v>2521958.6325077824</v>
      </c>
      <c r="J27" s="2306"/>
      <c r="K27" s="1196"/>
      <c r="L27" s="1189">
        <v>4500</v>
      </c>
    </row>
    <row r="28" spans="1:15" ht="16.2">
      <c r="A28" s="1216"/>
      <c r="B28" s="1971"/>
      <c r="C28" s="2600"/>
      <c r="D28" s="2443">
        <f>+C24+C25+C26+C27</f>
        <v>62961299.326067097</v>
      </c>
      <c r="E28" s="2451"/>
      <c r="F28" s="2440">
        <f>+E24+E25+E26+E27</f>
        <v>59435969.009999998</v>
      </c>
      <c r="G28" s="1272"/>
      <c r="H28" s="1195">
        <f>SUM(G24:G27)</f>
        <v>60302078.169999994</v>
      </c>
      <c r="I28" s="2305"/>
      <c r="J28" s="2305"/>
      <c r="K28" s="1197"/>
      <c r="L28" s="1190">
        <f>SUM(L26:L27)</f>
        <v>79420</v>
      </c>
      <c r="N28" s="1198"/>
    </row>
    <row r="29" spans="1:15" s="1201" customFormat="1" ht="16.8" thickBot="1">
      <c r="A29" s="1972" t="s">
        <v>0</v>
      </c>
      <c r="B29" s="1973"/>
      <c r="C29" s="2601"/>
      <c r="D29" s="2444">
        <f>D28+D20+D15+D22</f>
        <v>387317916.41015381</v>
      </c>
      <c r="E29" s="2452"/>
      <c r="F29" s="2445">
        <f>F28+F20+F15+F22</f>
        <v>353878246.08773148</v>
      </c>
      <c r="G29" s="1267"/>
      <c r="H29" s="1199" t="e">
        <f>SUM(H10:H28)</f>
        <v>#REF!</v>
      </c>
      <c r="I29" s="2307">
        <f>SUM(I15:I28)</f>
        <v>32697551.398855444</v>
      </c>
      <c r="J29" s="2307">
        <f>382773-D29</f>
        <v>-386935143.41015381</v>
      </c>
      <c r="K29" s="2574">
        <v>4545.173494609684</v>
      </c>
      <c r="L29" s="1190">
        <v>1564.4719602673699</v>
      </c>
      <c r="M29" s="1200">
        <v>-440</v>
      </c>
      <c r="N29" s="1201">
        <v>-432</v>
      </c>
    </row>
    <row r="30" spans="1:15" ht="16.8" thickTop="1">
      <c r="A30" s="1214" t="s">
        <v>3792</v>
      </c>
      <c r="B30" s="1971"/>
      <c r="C30" s="2598"/>
      <c r="D30" s="2446"/>
      <c r="E30" s="2448"/>
      <c r="F30" s="2442"/>
      <c r="G30" s="1266"/>
      <c r="H30" s="1193"/>
      <c r="I30" s="2306"/>
      <c r="J30" s="2306"/>
      <c r="K30" s="1202"/>
      <c r="L30" s="1203">
        <f>189563548/1000</f>
        <v>189563.54800000001</v>
      </c>
      <c r="M30" s="1203">
        <f>L30-L29</f>
        <v>187999.07603973264</v>
      </c>
      <c r="N30" s="1189">
        <v>114643</v>
      </c>
      <c r="O30" s="1203">
        <f>M30-N30</f>
        <v>73356.076039732638</v>
      </c>
    </row>
    <row r="31" spans="1:15" ht="5.85" customHeight="1">
      <c r="A31" s="1216"/>
      <c r="B31" s="1971"/>
      <c r="C31" s="2598"/>
      <c r="D31" s="2446"/>
      <c r="E31" s="2448"/>
      <c r="F31" s="2442"/>
      <c r="G31" s="1266"/>
      <c r="H31" s="1193"/>
      <c r="I31" s="2306"/>
      <c r="J31" s="2306"/>
      <c r="K31" s="1204"/>
    </row>
    <row r="32" spans="1:15" ht="25.8">
      <c r="A32" s="1214" t="s">
        <v>38</v>
      </c>
      <c r="B32" s="1971"/>
      <c r="C32" s="2598"/>
      <c r="D32" s="2446"/>
      <c r="E32" s="2448"/>
      <c r="F32" s="2442"/>
      <c r="G32" s="1266"/>
      <c r="H32" s="1193"/>
      <c r="I32" s="2306"/>
      <c r="J32" s="2306"/>
      <c r="L32" s="1494">
        <f>D29-D52</f>
        <v>0.68317133188247681</v>
      </c>
      <c r="M32" s="1203">
        <f>L32/2</f>
        <v>0.3415856659412384</v>
      </c>
    </row>
    <row r="33" spans="1:14" ht="16.2">
      <c r="A33" s="1987" t="s">
        <v>3622</v>
      </c>
      <c r="B33" s="1974"/>
      <c r="C33" s="2598"/>
      <c r="D33" s="2446"/>
      <c r="E33" s="2448"/>
      <c r="F33" s="2442"/>
      <c r="G33" s="1266"/>
      <c r="H33" s="1193"/>
      <c r="I33" s="2306">
        <v>11182296.027549446</v>
      </c>
      <c r="J33" s="2306"/>
      <c r="L33" s="1203">
        <v>19277</v>
      </c>
    </row>
    <row r="34" spans="1:14" ht="16.2" hidden="1">
      <c r="A34" s="1987"/>
      <c r="B34" s="1974"/>
      <c r="C34" s="2598"/>
      <c r="D34" s="2446"/>
      <c r="E34" s="2448"/>
      <c r="F34" s="2442"/>
      <c r="G34" s="1266"/>
      <c r="H34" s="1193"/>
      <c r="I34" s="2306">
        <v>5360596</v>
      </c>
      <c r="J34" s="2306"/>
      <c r="L34" s="1203">
        <f>L33+L32</f>
        <v>19277.683171331882</v>
      </c>
      <c r="M34" s="1203">
        <f>L34</f>
        <v>19277.683171331882</v>
      </c>
    </row>
    <row r="35" spans="1:14" ht="16.2">
      <c r="A35" s="1227" t="s">
        <v>4318</v>
      </c>
      <c r="B35" s="1971">
        <f>Notes!B115</f>
        <v>10</v>
      </c>
      <c r="C35" s="2602">
        <f>Dep_Co!N26</f>
        <v>79464956.373423219</v>
      </c>
      <c r="D35" s="2446"/>
      <c r="E35" s="2448">
        <f>55562.0408502087*1000</f>
        <v>55562040.8502087</v>
      </c>
      <c r="F35" s="2440"/>
      <c r="G35" s="1211"/>
      <c r="H35" s="1193">
        <v>45976627</v>
      </c>
      <c r="I35" s="2306">
        <v>-1516347</v>
      </c>
      <c r="J35" s="2306">
        <f>E35-C35</f>
        <v>-23902915.523214519</v>
      </c>
      <c r="K35" s="1196">
        <f>C35-D15</f>
        <v>-243243886.26495612</v>
      </c>
      <c r="L35" s="1197">
        <f>L32+4.2</f>
        <v>4.883171331882477</v>
      </c>
      <c r="M35" s="1203">
        <f>L35/2</f>
        <v>2.4415856659412385</v>
      </c>
    </row>
    <row r="36" spans="1:14" ht="16.2" hidden="1">
      <c r="A36" s="1227" t="s">
        <v>3793</v>
      </c>
      <c r="B36" s="1971"/>
      <c r="C36" s="2602"/>
      <c r="D36" s="2446"/>
      <c r="E36" s="2453"/>
      <c r="F36" s="2440"/>
      <c r="G36" s="1211"/>
      <c r="H36" s="1193"/>
      <c r="I36" s="2306">
        <v>5912326</v>
      </c>
      <c r="J36" s="2306"/>
      <c r="K36" s="1196"/>
      <c r="L36" s="1197"/>
      <c r="M36" s="1203"/>
    </row>
    <row r="37" spans="1:14" ht="16.2" hidden="1">
      <c r="A37" s="2058" t="s">
        <v>3795</v>
      </c>
      <c r="B37" s="1971"/>
      <c r="C37" s="2602"/>
      <c r="D37" s="2446"/>
      <c r="E37" s="2453"/>
      <c r="F37" s="2440"/>
      <c r="G37" s="1211"/>
      <c r="H37" s="1193"/>
      <c r="I37" s="2306">
        <v>20938871.027549446</v>
      </c>
      <c r="J37" s="2306"/>
      <c r="K37" s="1196"/>
      <c r="L37" s="1197">
        <v>20938871</v>
      </c>
      <c r="M37" s="1203"/>
    </row>
    <row r="38" spans="1:14" ht="16.2" hidden="1">
      <c r="A38" s="2058" t="s">
        <v>3796</v>
      </c>
      <c r="B38" s="1971"/>
      <c r="C38" s="2602"/>
      <c r="D38" s="2446"/>
      <c r="E38" s="2453"/>
      <c r="F38" s="2440"/>
      <c r="G38" s="1211"/>
      <c r="H38" s="1193"/>
      <c r="I38" s="2306"/>
      <c r="J38" s="2306"/>
      <c r="K38" s="1196">
        <f>E35-C35</f>
        <v>-23902915.523214519</v>
      </c>
      <c r="L38" s="1197">
        <v>-5912326</v>
      </c>
      <c r="M38" s="1203"/>
    </row>
    <row r="39" spans="1:14" ht="16.2" hidden="1">
      <c r="A39" s="1216" t="s">
        <v>3794</v>
      </c>
      <c r="B39" s="1971"/>
      <c r="C39" s="2598">
        <f>+Notes!J135</f>
        <v>0</v>
      </c>
      <c r="D39" s="2446"/>
      <c r="E39" s="2448">
        <v>0</v>
      </c>
      <c r="F39" s="2442"/>
      <c r="G39" s="1266">
        <f>Notes!K135</f>
        <v>0</v>
      </c>
      <c r="H39" s="1193"/>
      <c r="I39" s="2306"/>
      <c r="J39" s="2306"/>
      <c r="K39" s="1196"/>
      <c r="L39" s="1189">
        <v>1516347</v>
      </c>
      <c r="M39" s="1197"/>
    </row>
    <row r="40" spans="1:14" ht="16.2" hidden="1">
      <c r="A40" s="1216" t="s">
        <v>3797</v>
      </c>
      <c r="B40" s="1971"/>
      <c r="C40" s="2598"/>
      <c r="D40" s="2446"/>
      <c r="E40" s="2448"/>
      <c r="F40" s="2442"/>
      <c r="G40" s="1266"/>
      <c r="H40" s="1193"/>
      <c r="I40" s="2306"/>
      <c r="J40" s="2306"/>
      <c r="K40" s="1196"/>
      <c r="L40" s="1189">
        <v>-5360596</v>
      </c>
      <c r="M40" s="1197"/>
    </row>
    <row r="41" spans="1:14" ht="16.2">
      <c r="A41" s="1216" t="s">
        <v>4335</v>
      </c>
      <c r="B41" s="1971">
        <f>Notes!B159</f>
        <v>12</v>
      </c>
      <c r="C41" s="2580">
        <f>+Notes!J165</f>
        <v>74626865.699999988</v>
      </c>
      <c r="D41" s="2446"/>
      <c r="E41" s="2449">
        <f>76287.2285*1000</f>
        <v>76287228.5</v>
      </c>
      <c r="F41" s="2442"/>
      <c r="G41" s="1273">
        <f>Notes!K165</f>
        <v>76287228.5</v>
      </c>
      <c r="H41" s="1193"/>
      <c r="I41" s="2306"/>
      <c r="J41" s="2306"/>
      <c r="K41" s="1196"/>
      <c r="L41" s="1194"/>
      <c r="M41" s="1197"/>
    </row>
    <row r="42" spans="1:14" ht="16.2">
      <c r="A42" s="1214" t="s">
        <v>4343</v>
      </c>
      <c r="B42" s="1971">
        <v>11</v>
      </c>
      <c r="C42" s="2598"/>
      <c r="D42" s="2443">
        <f>SUM(C35:C42)</f>
        <v>154091822.07342321</v>
      </c>
      <c r="E42" s="2591"/>
      <c r="F42" s="2440">
        <f>E35+E41+E42</f>
        <v>131849269.3502087</v>
      </c>
      <c r="G42" s="1266"/>
      <c r="H42" s="1195">
        <f>SUM(G39:G41)</f>
        <v>76287228.5</v>
      </c>
      <c r="I42" s="2313">
        <f>F42-D42</f>
        <v>-22242552.723214507</v>
      </c>
      <c r="J42" s="2305"/>
      <c r="K42" s="1194"/>
      <c r="L42" s="1194"/>
    </row>
    <row r="43" spans="1:14" ht="16.2" hidden="1">
      <c r="A43" s="2058" t="s">
        <v>3798</v>
      </c>
      <c r="B43" s="1971"/>
      <c r="C43" s="2598"/>
      <c r="D43" s="2439"/>
      <c r="E43" s="2448"/>
      <c r="F43" s="2440"/>
      <c r="G43" s="1266"/>
      <c r="H43" s="1195"/>
      <c r="I43" s="2305"/>
      <c r="J43" s="2305"/>
      <c r="K43" s="1194"/>
      <c r="L43" s="1194"/>
    </row>
    <row r="44" spans="1:14" ht="16.2">
      <c r="A44" s="1214" t="s">
        <v>4358</v>
      </c>
      <c r="B44" s="1971"/>
      <c r="C44" s="2598"/>
      <c r="D44" s="2441"/>
      <c r="E44" s="2448"/>
      <c r="F44" s="2442"/>
      <c r="G44" s="1266"/>
      <c r="H44" s="1193"/>
      <c r="I44" s="2306"/>
      <c r="J44" s="2306"/>
      <c r="L44" s="1203">
        <f>L32*1000</f>
        <v>683.17133188247681</v>
      </c>
      <c r="N44" s="1194"/>
    </row>
    <row r="45" spans="1:14" ht="16.2">
      <c r="A45" s="1216" t="s">
        <v>3799</v>
      </c>
      <c r="B45" s="1971"/>
      <c r="C45" s="2598"/>
      <c r="D45" s="2441"/>
      <c r="E45" s="2448"/>
      <c r="F45" s="2442"/>
      <c r="G45" s="1266"/>
      <c r="H45" s="1193"/>
      <c r="I45" s="2306"/>
      <c r="J45" s="2306"/>
      <c r="L45" s="1203">
        <f>L44/2</f>
        <v>341.5856659412384</v>
      </c>
      <c r="N45" s="1194"/>
    </row>
    <row r="46" spans="1:14" ht="16.2">
      <c r="A46" s="1216" t="s">
        <v>3800</v>
      </c>
      <c r="B46" s="1971">
        <f>Notes!B168</f>
        <v>13</v>
      </c>
      <c r="C46" s="2598">
        <f>+Notes!J171</f>
        <v>77330000</v>
      </c>
      <c r="D46" s="2441"/>
      <c r="E46" s="2448">
        <f>25840*1000</f>
        <v>25840000</v>
      </c>
      <c r="F46" s="2442"/>
      <c r="G46" s="1266">
        <f>Notes!K172</f>
        <v>25840000</v>
      </c>
      <c r="H46" s="1193"/>
      <c r="I46" s="2311">
        <f>E46-C46</f>
        <v>-51490000</v>
      </c>
      <c r="J46" s="2306"/>
      <c r="K46" s="1196"/>
      <c r="M46" s="1197"/>
      <c r="N46" s="1205"/>
    </row>
    <row r="47" spans="1:14" ht="16.2">
      <c r="A47" s="1216" t="s">
        <v>3801</v>
      </c>
      <c r="B47" s="1971">
        <f>Notes!B175</f>
        <v>14</v>
      </c>
      <c r="C47" s="2598">
        <f>+Notes!J181</f>
        <v>12929680.039999999</v>
      </c>
      <c r="D47" s="2441"/>
      <c r="E47" s="2448">
        <f>60572.94484*1000</f>
        <v>60572944.839999996</v>
      </c>
      <c r="F47" s="2442"/>
      <c r="G47" s="1266">
        <f>Notes!K181</f>
        <v>60572944.839999996</v>
      </c>
      <c r="H47" s="1193"/>
      <c r="I47" s="2311">
        <f>E47-C47</f>
        <v>47643264.799999997</v>
      </c>
      <c r="J47" s="2306"/>
      <c r="K47" s="1189">
        <v>12241975</v>
      </c>
      <c r="L47" s="1206"/>
      <c r="N47" s="1190"/>
    </row>
    <row r="48" spans="1:14" ht="16.2">
      <c r="A48" s="1216" t="s">
        <v>4319</v>
      </c>
      <c r="B48" s="1971">
        <f>Notes!B184</f>
        <v>15</v>
      </c>
      <c r="C48" s="2598">
        <f>+Notes!J193</f>
        <v>78442231.989999995</v>
      </c>
      <c r="D48" s="2441"/>
      <c r="E48" s="2448">
        <f>102259.3617*1000</f>
        <v>102259361.69999999</v>
      </c>
      <c r="F48" s="2442"/>
      <c r="G48" s="1266">
        <f>Notes!K193</f>
        <v>102259361.69999996</v>
      </c>
      <c r="H48" s="1193"/>
      <c r="I48" s="2310">
        <f>E48-C48</f>
        <v>23817129.709999993</v>
      </c>
      <c r="J48" s="2314">
        <f>Notes!K191-Notes!J191</f>
        <v>11575162</v>
      </c>
      <c r="K48" s="1197" t="e">
        <f>K47-#REF!+I48</f>
        <v>#REF!</v>
      </c>
      <c r="L48" s="2306">
        <f>Notes!N191-Notes!M191</f>
        <v>0</v>
      </c>
      <c r="M48" s="1207"/>
      <c r="N48" s="1197"/>
    </row>
    <row r="49" spans="1:15" ht="16.2">
      <c r="A49" s="1216" t="s">
        <v>3802</v>
      </c>
      <c r="B49" s="1971">
        <f>Notes!B201</f>
        <v>16</v>
      </c>
      <c r="C49" s="2598">
        <f>+Notes!J212</f>
        <v>60409033.623559326</v>
      </c>
      <c r="D49" s="2441"/>
      <c r="E49" s="2448">
        <f>25305.7682*1000</f>
        <v>25305768.199999999</v>
      </c>
      <c r="F49" s="2442"/>
      <c r="G49" s="1266">
        <f>Notes!K212</f>
        <v>25305768.200000003</v>
      </c>
      <c r="H49" s="1193"/>
      <c r="I49" s="2312">
        <f>E49-C49</f>
        <v>-35103265.423559323</v>
      </c>
      <c r="J49" s="2306"/>
      <c r="K49" s="1189" t="s">
        <v>2954</v>
      </c>
      <c r="L49" s="2309"/>
      <c r="M49" s="1194"/>
      <c r="N49" s="1205"/>
      <c r="O49" s="1208"/>
    </row>
    <row r="50" spans="1:15" ht="16.2">
      <c r="A50" s="1216" t="s">
        <v>3803</v>
      </c>
      <c r="B50" s="1971">
        <f>Notes!B216</f>
        <v>17</v>
      </c>
      <c r="C50" s="2599">
        <f>+Notes!J222</f>
        <v>4115148</v>
      </c>
      <c r="D50" s="2441"/>
      <c r="E50" s="2449">
        <f>8050.902*1000</f>
        <v>8050902</v>
      </c>
      <c r="F50" s="2442"/>
      <c r="G50" s="1270">
        <f>Notes!K222</f>
        <v>8050902</v>
      </c>
      <c r="H50" s="1193"/>
      <c r="I50" s="2312">
        <f>E50-C50</f>
        <v>3935754</v>
      </c>
      <c r="J50" s="2306"/>
      <c r="K50" s="1196">
        <f>J48+I50</f>
        <v>15510916</v>
      </c>
      <c r="M50" s="1197"/>
      <c r="O50" s="1208"/>
    </row>
    <row r="51" spans="1:15" ht="16.2">
      <c r="A51" s="1216"/>
      <c r="B51" s="1971"/>
      <c r="C51" s="2598"/>
      <c r="D51" s="2439">
        <f>+C46+C47+C48+C49+C50</f>
        <v>233226093.6535593</v>
      </c>
      <c r="E51" s="2448"/>
      <c r="F51" s="2440">
        <f>+E46+E47+E48+E49+E50-0.01</f>
        <v>222028976.72999999</v>
      </c>
      <c r="G51" s="1266"/>
      <c r="H51" s="1195">
        <f>SUM(G46:G50)</f>
        <v>222028976.73999995</v>
      </c>
      <c r="I51" s="2305"/>
      <c r="J51" s="2305"/>
    </row>
    <row r="52" spans="1:15" s="1201" customFormat="1" ht="16.8" thickBot="1">
      <c r="A52" s="1972" t="s">
        <v>0</v>
      </c>
      <c r="B52" s="1973"/>
      <c r="C52" s="2601"/>
      <c r="D52" s="2447">
        <f>D42+D51</f>
        <v>387317915.72698247</v>
      </c>
      <c r="E52" s="2452"/>
      <c r="F52" s="2445">
        <f>F42+F51</f>
        <v>353878246.08020866</v>
      </c>
      <c r="G52" s="1267"/>
      <c r="H52" s="1199">
        <f>SUM(H35:H51)</f>
        <v>344292832.23999995</v>
      </c>
      <c r="I52" s="2307">
        <f>SUM(I42:I51)</f>
        <v>-33439669.63677384</v>
      </c>
      <c r="J52" s="2307"/>
      <c r="K52" s="1205"/>
      <c r="L52" s="1198"/>
      <c r="M52" s="1209"/>
      <c r="N52" s="1209"/>
    </row>
    <row r="53" spans="1:15" ht="49.2" thickTop="1">
      <c r="A53" s="1975" t="s">
        <v>42</v>
      </c>
      <c r="B53" s="1976" t="s">
        <v>4357</v>
      </c>
      <c r="C53" s="2603"/>
      <c r="D53" s="2424"/>
      <c r="E53" s="2449"/>
      <c r="F53" s="1977"/>
      <c r="G53" s="1210"/>
      <c r="H53" s="1194"/>
      <c r="I53" s="1194"/>
      <c r="J53" s="1194"/>
      <c r="K53" s="1191">
        <v>44742397</v>
      </c>
      <c r="L53" s="1198"/>
    </row>
    <row r="54" spans="1:15" ht="16.2">
      <c r="A54" s="1227" t="str">
        <f>PL!A54</f>
        <v>In accordance with our Report of even date attached</v>
      </c>
      <c r="B54" s="1212"/>
      <c r="C54" s="2582"/>
      <c r="D54" s="1979"/>
      <c r="E54" s="2612"/>
      <c r="F54" s="1980"/>
      <c r="G54" s="1197"/>
      <c r="H54" s="1194"/>
      <c r="I54" s="1194"/>
      <c r="J54" s="1194"/>
      <c r="L54" s="1194"/>
    </row>
    <row r="55" spans="1:15" ht="16.2">
      <c r="A55" s="1214" t="s">
        <v>547</v>
      </c>
      <c r="B55" s="1212"/>
      <c r="C55" s="2583"/>
      <c r="D55" s="2612" t="s">
        <v>297</v>
      </c>
      <c r="E55" s="2613"/>
      <c r="F55" s="1981" t="s">
        <v>2369</v>
      </c>
      <c r="G55" s="1194"/>
      <c r="H55" s="1194"/>
      <c r="I55" s="1194"/>
      <c r="J55" s="1194"/>
    </row>
    <row r="56" spans="1:15" ht="16.2">
      <c r="A56" s="1216" t="s">
        <v>43</v>
      </c>
      <c r="B56" s="1212"/>
      <c r="C56" s="2583"/>
      <c r="D56" s="1212"/>
      <c r="E56" s="1254"/>
      <c r="F56" s="1234" t="s">
        <v>1158</v>
      </c>
    </row>
    <row r="57" spans="1:15" ht="16.2">
      <c r="A57" s="1216" t="s">
        <v>296</v>
      </c>
      <c r="B57" s="1212"/>
      <c r="C57" s="2583"/>
      <c r="D57" s="1221"/>
      <c r="E57" s="1254"/>
      <c r="F57" s="1982" t="s">
        <v>1158</v>
      </c>
    </row>
    <row r="58" spans="1:15" ht="16.2">
      <c r="A58" s="1216"/>
      <c r="B58" s="1212"/>
      <c r="C58" s="2583"/>
      <c r="D58" s="1221"/>
      <c r="E58" s="1254"/>
      <c r="F58" s="1982" t="s">
        <v>1158</v>
      </c>
    </row>
    <row r="59" spans="1:15" ht="32.85" customHeight="1">
      <c r="A59" s="1216"/>
      <c r="B59" s="1212"/>
      <c r="C59" s="2583"/>
      <c r="D59" s="1221"/>
      <c r="E59" s="1215"/>
      <c r="F59" s="1982"/>
    </row>
    <row r="60" spans="1:15" ht="16.2">
      <c r="A60" s="1214" t="str">
        <f>PL!A60</f>
        <v>(CA A.JOHN MORIS)</v>
      </c>
      <c r="B60" s="1212"/>
      <c r="C60" s="2583"/>
      <c r="D60" s="1221"/>
      <c r="E60" s="2614"/>
      <c r="F60" s="1234" t="s">
        <v>2368</v>
      </c>
    </row>
    <row r="61" spans="1:15" ht="16.2">
      <c r="A61" s="1216" t="str">
        <f>PL!A61</f>
        <v>Managing Partner</v>
      </c>
      <c r="B61" s="1212"/>
      <c r="C61" s="2583"/>
      <c r="D61" s="2615" t="s">
        <v>298</v>
      </c>
      <c r="E61" s="2879" t="s">
        <v>2445</v>
      </c>
      <c r="F61" s="2880"/>
    </row>
    <row r="62" spans="1:15" ht="16.2">
      <c r="A62" s="1216" t="str">
        <f>PL!A62</f>
        <v>M.No. 029424</v>
      </c>
      <c r="B62" s="1212"/>
      <c r="C62" s="2583"/>
      <c r="D62" s="2616" t="s">
        <v>80</v>
      </c>
      <c r="E62" s="2881" t="s">
        <v>300</v>
      </c>
      <c r="F62" s="2882"/>
    </row>
    <row r="63" spans="1:15" ht="16.2">
      <c r="A63" s="1984" t="s">
        <v>3173</v>
      </c>
      <c r="B63" s="1212"/>
      <c r="C63" s="2583"/>
      <c r="D63" s="1983" t="s">
        <v>2960</v>
      </c>
      <c r="E63" s="2857" t="s">
        <v>2959</v>
      </c>
      <c r="F63" s="2858"/>
    </row>
    <row r="64" spans="1:15" ht="17.850000000000001" customHeight="1" thickBot="1">
      <c r="A64" s="1985" t="s">
        <v>4317</v>
      </c>
      <c r="B64" s="2617"/>
      <c r="C64" s="2618"/>
      <c r="D64" s="2619"/>
      <c r="E64" s="2620"/>
      <c r="F64" s="1986"/>
    </row>
    <row r="65" spans="3:6">
      <c r="C65" s="2584"/>
      <c r="D65" s="1268"/>
      <c r="F65" s="1189"/>
    </row>
  </sheetData>
  <mergeCells count="15">
    <mergeCell ref="E63:F63"/>
    <mergeCell ref="A2:F2"/>
    <mergeCell ref="G8:H8"/>
    <mergeCell ref="G9:H9"/>
    <mergeCell ref="B8:B9"/>
    <mergeCell ref="E8:F8"/>
    <mergeCell ref="E9:F9"/>
    <mergeCell ref="C8:D8"/>
    <mergeCell ref="C9:D9"/>
    <mergeCell ref="A3:F3"/>
    <mergeCell ref="E61:F61"/>
    <mergeCell ref="E62:F62"/>
    <mergeCell ref="A4:F4"/>
    <mergeCell ref="A8:A9"/>
    <mergeCell ref="A6:F6"/>
  </mergeCells>
  <printOptions horizontalCentered="1"/>
  <pageMargins left="0.7" right="0.7" top="0.75" bottom="0.75" header="0.3" footer="0.3"/>
  <pageSetup paperSize="9" scale="63" orientation="portrait" r:id="rId1"/>
  <ignoredErrors>
    <ignoredError sqref="G21"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349"/>
  <sheetViews>
    <sheetView view="pageBreakPreview" zoomScale="70" zoomScaleNormal="100" zoomScaleSheetLayoutView="70" workbookViewId="0">
      <selection activeCell="B27" sqref="B27:J27"/>
    </sheetView>
  </sheetViews>
  <sheetFormatPr defaultColWidth="8.5546875" defaultRowHeight="16.2"/>
  <cols>
    <col min="1" max="1" width="15.77734375" style="1639" customWidth="1"/>
    <col min="2" max="2" width="8.5546875" style="1700" customWidth="1"/>
    <col min="3" max="3" width="15.5546875" style="1290" customWidth="1"/>
    <col min="4" max="4" width="13.44140625" style="1290" customWidth="1"/>
    <col min="5" max="5" width="14.44140625" style="1290" customWidth="1"/>
    <col min="6" max="6" width="13.5546875" style="1290" customWidth="1"/>
    <col min="7" max="7" width="13" style="1290" customWidth="1"/>
    <col min="8" max="9" width="13.44140625" style="1290" customWidth="1"/>
    <col min="10" max="10" width="29.5546875" style="1290" customWidth="1"/>
    <col min="11" max="11" width="11" style="1290" customWidth="1"/>
    <col min="12" max="12" width="15.5546875" style="1290" customWidth="1"/>
    <col min="13" max="13" width="8.5546875" style="1290"/>
    <col min="14" max="14" width="9.44140625" style="1290" bestFit="1" customWidth="1"/>
    <col min="15" max="16384" width="8.5546875" style="1290"/>
  </cols>
  <sheetData>
    <row r="1" spans="1:10" ht="16.8" thickBot="1">
      <c r="A1" s="1728"/>
      <c r="B1" s="1729"/>
      <c r="C1" s="1335"/>
      <c r="D1" s="1335"/>
      <c r="E1" s="1335"/>
      <c r="F1" s="1335"/>
      <c r="G1" s="1335"/>
      <c r="H1" s="1335"/>
      <c r="I1" s="1335"/>
    </row>
    <row r="2" spans="1:10" ht="39.75" customHeight="1">
      <c r="A2" s="2891" t="s">
        <v>3638</v>
      </c>
      <c r="B2" s="2800"/>
      <c r="C2" s="2800"/>
      <c r="D2" s="2800"/>
      <c r="E2" s="2800"/>
      <c r="F2" s="2800"/>
      <c r="G2" s="2800"/>
      <c r="H2" s="2800"/>
      <c r="I2" s="2800"/>
      <c r="J2" s="2801"/>
    </row>
    <row r="3" spans="1:10" ht="16.5" customHeight="1">
      <c r="A3" s="2892" t="str">
        <f>PL!A4</f>
        <v>New No. 57, Old No. 3, Canal Road, Kilpauk Garden Colony, Kilpauk, Chennai 600 010.</v>
      </c>
      <c r="B3" s="2795"/>
      <c r="C3" s="2795"/>
      <c r="D3" s="2795"/>
      <c r="E3" s="2795"/>
      <c r="F3" s="2795"/>
      <c r="G3" s="2795"/>
      <c r="H3" s="2795"/>
      <c r="I3" s="2795"/>
      <c r="J3" s="2893"/>
    </row>
    <row r="4" spans="1:10" ht="15" customHeight="1">
      <c r="A4" s="2894" t="s">
        <v>316</v>
      </c>
      <c r="B4" s="2796"/>
      <c r="C4" s="2796"/>
      <c r="D4" s="2796"/>
      <c r="E4" s="2796"/>
      <c r="F4" s="2796"/>
      <c r="G4" s="2796"/>
      <c r="H4" s="2796"/>
      <c r="I4" s="2796"/>
      <c r="J4" s="2895"/>
    </row>
    <row r="5" spans="1:10" ht="16.8" thickBot="1">
      <c r="A5" s="1734"/>
      <c r="B5" s="2339"/>
      <c r="C5" s="2340"/>
      <c r="D5" s="2341"/>
      <c r="E5" s="2341"/>
      <c r="F5" s="2340"/>
      <c r="G5" s="2340"/>
      <c r="H5" s="2340"/>
      <c r="I5" s="2340"/>
      <c r="J5" s="1731"/>
    </row>
    <row r="6" spans="1:10" ht="16.5" customHeight="1">
      <c r="A6" s="1733" t="s">
        <v>309</v>
      </c>
      <c r="B6" s="2799" t="s">
        <v>1</v>
      </c>
      <c r="C6" s="2800"/>
      <c r="D6" s="2800"/>
      <c r="E6" s="2800"/>
      <c r="F6" s="2800"/>
      <c r="G6" s="2800"/>
      <c r="H6" s="2800"/>
      <c r="I6" s="2800"/>
      <c r="J6" s="2801"/>
    </row>
    <row r="7" spans="1:10" ht="12.75" customHeight="1" thickBot="1">
      <c r="A7" s="1734"/>
      <c r="B7" s="2896"/>
      <c r="C7" s="2897"/>
      <c r="D7" s="2897"/>
      <c r="E7" s="2897"/>
      <c r="F7" s="2897"/>
      <c r="G7" s="2897"/>
      <c r="H7" s="2897"/>
      <c r="I7" s="2897"/>
      <c r="J7" s="2898"/>
    </row>
    <row r="8" spans="1:10" ht="16.5" customHeight="1" thickBot="1">
      <c r="A8" s="1744">
        <v>1</v>
      </c>
      <c r="B8" s="2899" t="s">
        <v>318</v>
      </c>
      <c r="C8" s="2900"/>
      <c r="D8" s="2900"/>
      <c r="E8" s="2900"/>
      <c r="F8" s="2900"/>
      <c r="G8" s="2900"/>
      <c r="H8" s="2900"/>
      <c r="I8" s="2900"/>
      <c r="J8" s="2901"/>
    </row>
    <row r="9" spans="1:10" ht="56.1" customHeight="1">
      <c r="A9" s="1735"/>
      <c r="B9" s="2781" t="s">
        <v>3180</v>
      </c>
      <c r="C9" s="2722"/>
      <c r="D9" s="2722"/>
      <c r="E9" s="2722"/>
      <c r="F9" s="2722"/>
      <c r="G9" s="2722"/>
      <c r="H9" s="2722"/>
      <c r="I9" s="2722"/>
      <c r="J9" s="2723"/>
    </row>
    <row r="10" spans="1:10" ht="11.85" hidden="1" customHeight="1">
      <c r="A10" s="1735"/>
      <c r="B10" s="2721"/>
      <c r="C10" s="2722"/>
      <c r="D10" s="2722"/>
      <c r="E10" s="2722"/>
      <c r="F10" s="2722"/>
      <c r="G10" s="2722"/>
      <c r="H10" s="2722"/>
      <c r="I10" s="2722"/>
      <c r="J10" s="2723"/>
    </row>
    <row r="11" spans="1:10" ht="9.6" customHeight="1">
      <c r="A11" s="1735"/>
      <c r="B11" s="1654"/>
      <c r="C11" s="1655"/>
      <c r="D11" s="1655"/>
      <c r="E11" s="1655"/>
      <c r="F11" s="1655"/>
      <c r="G11" s="1655"/>
      <c r="H11" s="1655"/>
      <c r="I11" s="1655"/>
      <c r="J11" s="1656"/>
    </row>
    <row r="12" spans="1:10" ht="39.6" customHeight="1">
      <c r="A12" s="1735"/>
      <c r="B12" s="2755" t="s">
        <v>3639</v>
      </c>
      <c r="C12" s="2756"/>
      <c r="D12" s="2756"/>
      <c r="E12" s="2756"/>
      <c r="F12" s="2756"/>
      <c r="G12" s="2756"/>
      <c r="H12" s="2756"/>
      <c r="I12" s="2756"/>
      <c r="J12" s="2757"/>
    </row>
    <row r="13" spans="1:10" ht="10.35" customHeight="1">
      <c r="A13" s="1735"/>
      <c r="B13" s="2721"/>
      <c r="C13" s="2722"/>
      <c r="D13" s="2722"/>
      <c r="E13" s="2722"/>
      <c r="F13" s="2722"/>
      <c r="G13" s="2722"/>
      <c r="H13" s="2722"/>
      <c r="I13" s="2722"/>
      <c r="J13" s="2723"/>
    </row>
    <row r="14" spans="1:10" ht="50.25" hidden="1" customHeight="1">
      <c r="A14" s="1735"/>
      <c r="B14" s="2791" t="s">
        <v>320</v>
      </c>
      <c r="C14" s="2792"/>
      <c r="D14" s="2792"/>
      <c r="E14" s="2792"/>
      <c r="F14" s="2792"/>
      <c r="G14" s="2792"/>
      <c r="H14" s="2792"/>
      <c r="I14" s="2792"/>
      <c r="J14" s="2793"/>
    </row>
    <row r="15" spans="1:10" s="1659" customFormat="1" ht="51" customHeight="1">
      <c r="A15" s="1736"/>
      <c r="B15" s="2746" t="s">
        <v>321</v>
      </c>
      <c r="C15" s="2747"/>
      <c r="D15" s="2747"/>
      <c r="E15" s="2747"/>
      <c r="F15" s="2747"/>
      <c r="G15" s="2747"/>
      <c r="H15" s="2747"/>
      <c r="I15" s="2747"/>
      <c r="J15" s="2748"/>
    </row>
    <row r="16" spans="1:10" s="1659" customFormat="1" ht="41.25" customHeight="1">
      <c r="A16" s="1736"/>
      <c r="B16" s="2808" t="s">
        <v>2170</v>
      </c>
      <c r="C16" s="2809"/>
      <c r="D16" s="2809"/>
      <c r="E16" s="2809"/>
      <c r="F16" s="2809"/>
      <c r="G16" s="2809"/>
      <c r="H16" s="2809"/>
      <c r="I16" s="2809"/>
      <c r="J16" s="2810"/>
    </row>
    <row r="17" spans="1:10" ht="11.85" customHeight="1">
      <c r="A17" s="1735"/>
      <c r="B17" s="2721"/>
      <c r="C17" s="2722"/>
      <c r="D17" s="2722"/>
      <c r="E17" s="2722"/>
      <c r="F17" s="2722"/>
      <c r="G17" s="2722"/>
      <c r="H17" s="2722"/>
      <c r="I17" s="2722"/>
      <c r="J17" s="2723"/>
    </row>
    <row r="18" spans="1:10" ht="16.5" customHeight="1">
      <c r="A18" s="1737">
        <v>2</v>
      </c>
      <c r="B18" s="2731" t="s">
        <v>323</v>
      </c>
      <c r="C18" s="2732"/>
      <c r="D18" s="2732"/>
      <c r="E18" s="2732"/>
      <c r="F18" s="2732"/>
      <c r="G18" s="2732"/>
      <c r="H18" s="2732"/>
      <c r="I18" s="2732"/>
      <c r="J18" s="2733"/>
    </row>
    <row r="19" spans="1:10" ht="43.5" hidden="1" customHeight="1">
      <c r="A19" s="1738"/>
      <c r="B19" s="1742" t="s">
        <v>324</v>
      </c>
      <c r="C19" s="1665"/>
      <c r="D19" s="1665"/>
      <c r="E19" s="1665"/>
      <c r="F19" s="1665"/>
      <c r="G19" s="1665"/>
      <c r="H19" s="1665"/>
      <c r="I19" s="1665"/>
      <c r="J19" s="1666"/>
    </row>
    <row r="20" spans="1:10" ht="158.25" hidden="1" customHeight="1">
      <c r="A20" s="1739"/>
      <c r="B20" s="1743" t="s">
        <v>3174</v>
      </c>
      <c r="C20" s="1665"/>
      <c r="D20" s="1665"/>
      <c r="E20" s="1665"/>
      <c r="F20" s="1665"/>
      <c r="G20" s="1665"/>
      <c r="H20" s="1665"/>
      <c r="I20" s="1665"/>
      <c r="J20" s="1666"/>
    </row>
    <row r="21" spans="1:10">
      <c r="A21" s="1740">
        <v>2.1</v>
      </c>
      <c r="B21" s="2731" t="s">
        <v>325</v>
      </c>
      <c r="C21" s="2732"/>
      <c r="D21" s="2732"/>
      <c r="E21" s="2732"/>
      <c r="F21" s="2732"/>
      <c r="G21" s="2732"/>
      <c r="H21" s="2732"/>
      <c r="I21" s="2732"/>
      <c r="J21" s="2733"/>
    </row>
    <row r="22" spans="1:10">
      <c r="A22" s="1740"/>
      <c r="B22" s="2721"/>
      <c r="C22" s="2722"/>
      <c r="D22" s="2722"/>
      <c r="E22" s="2722"/>
      <c r="F22" s="2722"/>
      <c r="G22" s="2722"/>
      <c r="H22" s="2722"/>
      <c r="I22" s="2722"/>
      <c r="J22" s="2723"/>
    </row>
    <row r="23" spans="1:10" ht="120.75" customHeight="1">
      <c r="A23" s="1740"/>
      <c r="B23" s="2721" t="s">
        <v>1206</v>
      </c>
      <c r="C23" s="2722"/>
      <c r="D23" s="2722"/>
      <c r="E23" s="2722"/>
      <c r="F23" s="2722"/>
      <c r="G23" s="2722"/>
      <c r="H23" s="2722"/>
      <c r="I23" s="2722"/>
      <c r="J23" s="2723"/>
    </row>
    <row r="24" spans="1:10">
      <c r="A24" s="1740"/>
      <c r="B24" s="2721"/>
      <c r="C24" s="2722"/>
      <c r="D24" s="2722"/>
      <c r="E24" s="2722"/>
      <c r="F24" s="2722"/>
      <c r="G24" s="2722"/>
      <c r="H24" s="2722"/>
      <c r="I24" s="2722"/>
      <c r="J24" s="2723"/>
    </row>
    <row r="25" spans="1:10">
      <c r="A25" s="1741">
        <f>A21+0.1</f>
        <v>2.2000000000000002</v>
      </c>
      <c r="B25" s="2775" t="s">
        <v>326</v>
      </c>
      <c r="C25" s="2776"/>
      <c r="D25" s="2776"/>
      <c r="E25" s="2776"/>
      <c r="F25" s="2776"/>
      <c r="G25" s="2776"/>
      <c r="H25" s="2776"/>
      <c r="I25" s="2776"/>
      <c r="J25" s="2777"/>
    </row>
    <row r="26" spans="1:10" ht="8.85" customHeight="1">
      <c r="A26" s="1740"/>
      <c r="B26" s="2721"/>
      <c r="C26" s="2722"/>
      <c r="D26" s="2722"/>
      <c r="E26" s="2722"/>
      <c r="F26" s="2722"/>
      <c r="G26" s="2722"/>
      <c r="H26" s="2722"/>
      <c r="I26" s="2722"/>
      <c r="J26" s="2723"/>
    </row>
    <row r="27" spans="1:10" ht="98.25" customHeight="1">
      <c r="A27" s="1740"/>
      <c r="B27" s="2721" t="s">
        <v>1207</v>
      </c>
      <c r="C27" s="2722"/>
      <c r="D27" s="2722"/>
      <c r="E27" s="2722"/>
      <c r="F27" s="2722"/>
      <c r="G27" s="2722"/>
      <c r="H27" s="2722"/>
      <c r="I27" s="2722"/>
      <c r="J27" s="2723"/>
    </row>
    <row r="28" spans="1:10">
      <c r="A28" s="1670"/>
      <c r="B28" s="2721"/>
      <c r="C28" s="2722"/>
      <c r="D28" s="2722"/>
      <c r="E28" s="2722"/>
      <c r="F28" s="2722"/>
      <c r="G28" s="2722"/>
      <c r="H28" s="2722"/>
      <c r="I28" s="2722"/>
      <c r="J28" s="2723"/>
    </row>
    <row r="29" spans="1:10" ht="16.8" hidden="1" thickBot="1">
      <c r="A29" s="1673"/>
      <c r="B29" s="1674"/>
      <c r="C29" s="1665"/>
      <c r="D29" s="1665"/>
      <c r="E29" s="1665"/>
      <c r="F29" s="1665"/>
      <c r="G29" s="1665"/>
      <c r="H29" s="1665"/>
      <c r="I29" s="1665"/>
      <c r="J29" s="1666"/>
    </row>
    <row r="30" spans="1:10" hidden="1">
      <c r="A30" s="1740"/>
      <c r="B30" s="1655"/>
      <c r="C30" s="1665"/>
      <c r="D30" s="1665"/>
      <c r="E30" s="1665"/>
      <c r="F30" s="1665"/>
      <c r="G30" s="1665"/>
      <c r="H30" s="1665"/>
      <c r="I30" s="1665"/>
      <c r="J30" s="1666"/>
    </row>
    <row r="31" spans="1:10" ht="15" hidden="1" customHeight="1">
      <c r="A31" s="2727"/>
      <c r="B31" s="2728"/>
      <c r="C31" s="1665"/>
      <c r="D31" s="1665"/>
      <c r="E31" s="1665"/>
      <c r="F31" s="1665"/>
      <c r="G31" s="1665"/>
      <c r="H31" s="1665"/>
      <c r="I31" s="1665"/>
      <c r="J31" s="1666"/>
    </row>
    <row r="32" spans="1:10" ht="15" hidden="1" customHeight="1">
      <c r="A32" s="2727"/>
      <c r="B32" s="2728"/>
      <c r="C32" s="1665"/>
      <c r="D32" s="1665"/>
      <c r="E32" s="1665"/>
      <c r="F32" s="1665"/>
      <c r="G32" s="1665"/>
      <c r="H32" s="1665"/>
      <c r="I32" s="1665"/>
      <c r="J32" s="1666"/>
    </row>
    <row r="33" spans="1:10" hidden="1">
      <c r="A33" s="2727" t="s">
        <v>316</v>
      </c>
      <c r="B33" s="2728"/>
      <c r="C33" s="1665"/>
      <c r="D33" s="1665"/>
      <c r="E33" s="1665"/>
      <c r="F33" s="1665"/>
      <c r="G33" s="1665"/>
      <c r="H33" s="1665"/>
      <c r="I33" s="1665"/>
      <c r="J33" s="1666"/>
    </row>
    <row r="34" spans="1:10" hidden="1">
      <c r="A34" s="1737"/>
      <c r="B34" s="1655"/>
      <c r="C34" s="1665"/>
      <c r="D34" s="1665"/>
      <c r="E34" s="1665"/>
      <c r="F34" s="1665"/>
      <c r="G34" s="1665"/>
      <c r="H34" s="1665"/>
      <c r="I34" s="1665"/>
      <c r="J34" s="1666"/>
    </row>
    <row r="35" spans="1:10" ht="81" hidden="1">
      <c r="A35" s="1737" t="s">
        <v>329</v>
      </c>
      <c r="B35" s="1655"/>
      <c r="C35" s="1665"/>
      <c r="D35" s="1665"/>
      <c r="E35" s="1665"/>
      <c r="F35" s="1665"/>
      <c r="G35" s="1665"/>
      <c r="H35" s="1665"/>
      <c r="I35" s="1665"/>
      <c r="J35" s="1666"/>
    </row>
    <row r="36" spans="1:10" hidden="1">
      <c r="A36" s="2409"/>
      <c r="B36" s="1655"/>
      <c r="C36" s="1665"/>
      <c r="D36" s="1665"/>
      <c r="E36" s="1665"/>
      <c r="F36" s="1665"/>
      <c r="G36" s="1665"/>
      <c r="H36" s="1665"/>
      <c r="I36" s="1665"/>
      <c r="J36" s="1666"/>
    </row>
    <row r="37" spans="1:10" ht="32.4" hidden="1">
      <c r="A37" s="1679" t="s">
        <v>309</v>
      </c>
      <c r="B37" s="1680" t="s">
        <v>1</v>
      </c>
      <c r="C37" s="1665"/>
      <c r="D37" s="1665"/>
      <c r="E37" s="1665"/>
      <c r="F37" s="1665"/>
      <c r="G37" s="1665"/>
      <c r="H37" s="1665"/>
      <c r="I37" s="1665"/>
      <c r="J37" s="1666"/>
    </row>
    <row r="38" spans="1:10" hidden="1">
      <c r="A38" s="1681"/>
      <c r="B38" s="1682"/>
      <c r="C38" s="1665"/>
      <c r="D38" s="1665"/>
      <c r="E38" s="1665"/>
      <c r="F38" s="1665"/>
      <c r="G38" s="1665"/>
      <c r="H38" s="1665"/>
      <c r="I38" s="1665"/>
      <c r="J38" s="1666"/>
    </row>
    <row r="39" spans="1:10" hidden="1">
      <c r="A39" s="1683"/>
      <c r="B39" s="1655"/>
      <c r="C39" s="1665"/>
      <c r="D39" s="1665"/>
      <c r="E39" s="1665"/>
      <c r="F39" s="1665"/>
      <c r="G39" s="1665"/>
      <c r="H39" s="1665"/>
      <c r="I39" s="1665"/>
      <c r="J39" s="1666"/>
    </row>
    <row r="40" spans="1:10">
      <c r="A40" s="1671">
        <f>2.3</f>
        <v>2.2999999999999998</v>
      </c>
      <c r="B40" s="2731" t="s">
        <v>330</v>
      </c>
      <c r="C40" s="2732"/>
      <c r="D40" s="2732"/>
      <c r="E40" s="2732"/>
      <c r="F40" s="2732"/>
      <c r="G40" s="2732"/>
      <c r="H40" s="2732"/>
      <c r="I40" s="2732"/>
      <c r="J40" s="2733"/>
    </row>
    <row r="41" spans="1:10" ht="13.35" customHeight="1">
      <c r="A41" s="1670"/>
      <c r="B41" s="2721"/>
      <c r="C41" s="2722"/>
      <c r="D41" s="2722"/>
      <c r="E41" s="2722"/>
      <c r="F41" s="2722"/>
      <c r="G41" s="2722"/>
      <c r="H41" s="2722"/>
      <c r="I41" s="2722"/>
      <c r="J41" s="2723"/>
    </row>
    <row r="42" spans="1:10" ht="59.25" customHeight="1">
      <c r="A42" s="1670"/>
      <c r="B42" s="2721" t="s">
        <v>548</v>
      </c>
      <c r="C42" s="2722"/>
      <c r="D42" s="2722"/>
      <c r="E42" s="2722"/>
      <c r="F42" s="2722"/>
      <c r="G42" s="2722"/>
      <c r="H42" s="2722"/>
      <c r="I42" s="2722"/>
      <c r="J42" s="2723"/>
    </row>
    <row r="43" spans="1:10" ht="15.6" customHeight="1">
      <c r="A43" s="1670"/>
      <c r="B43" s="2721"/>
      <c r="C43" s="2722"/>
      <c r="D43" s="2722"/>
      <c r="E43" s="2722"/>
      <c r="F43" s="2722"/>
      <c r="G43" s="2722"/>
      <c r="H43" s="2722"/>
      <c r="I43" s="2722"/>
      <c r="J43" s="2723"/>
    </row>
    <row r="44" spans="1:10">
      <c r="A44" s="1670">
        <f>A40+0.1</f>
        <v>2.4</v>
      </c>
      <c r="B44" s="2731" t="s">
        <v>332</v>
      </c>
      <c r="C44" s="2732"/>
      <c r="D44" s="2732"/>
      <c r="E44" s="2732"/>
      <c r="F44" s="2732"/>
      <c r="G44" s="2732"/>
      <c r="H44" s="2732"/>
      <c r="I44" s="2732"/>
      <c r="J44" s="2733"/>
    </row>
    <row r="45" spans="1:10">
      <c r="A45" s="1670"/>
      <c r="B45" s="2721"/>
      <c r="C45" s="2722"/>
      <c r="D45" s="2722"/>
      <c r="E45" s="2722"/>
      <c r="F45" s="2722"/>
      <c r="G45" s="2722"/>
      <c r="H45" s="2722"/>
      <c r="I45" s="2722"/>
      <c r="J45" s="2723"/>
    </row>
    <row r="46" spans="1:10" ht="18.75" customHeight="1">
      <c r="A46" s="1670"/>
      <c r="B46" s="2721" t="s">
        <v>333</v>
      </c>
      <c r="C46" s="2722"/>
      <c r="D46" s="2722"/>
      <c r="E46" s="2722"/>
      <c r="F46" s="2722"/>
      <c r="G46" s="2722"/>
      <c r="H46" s="2722"/>
      <c r="I46" s="2722"/>
      <c r="J46" s="2723"/>
    </row>
    <row r="47" spans="1:10" ht="18.75" customHeight="1">
      <c r="A47" s="1670"/>
      <c r="B47" s="1704"/>
      <c r="C47" s="1655"/>
      <c r="D47" s="1655"/>
      <c r="E47" s="1655"/>
      <c r="F47" s="1655"/>
      <c r="G47" s="1655"/>
      <c r="H47" s="1655"/>
      <c r="I47" s="1655"/>
      <c r="J47" s="1656"/>
    </row>
    <row r="48" spans="1:10" ht="18.75" customHeight="1">
      <c r="A48" s="1670">
        <v>2.5</v>
      </c>
      <c r="B48" s="2785" t="s">
        <v>3181</v>
      </c>
      <c r="C48" s="2786"/>
      <c r="D48" s="2786"/>
      <c r="E48" s="2786"/>
      <c r="F48" s="2786"/>
      <c r="G48" s="2786"/>
      <c r="H48" s="2786"/>
      <c r="I48" s="2786"/>
      <c r="J48" s="2787"/>
    </row>
    <row r="49" spans="1:10" ht="18.75" customHeight="1">
      <c r="A49" s="1670"/>
      <c r="B49" s="1704"/>
      <c r="C49" s="1655"/>
      <c r="D49" s="1655"/>
      <c r="E49" s="1655"/>
      <c r="F49" s="1655"/>
      <c r="G49" s="1655"/>
      <c r="H49" s="1655"/>
      <c r="I49" s="1655"/>
      <c r="J49" s="1656"/>
    </row>
    <row r="50" spans="1:10" ht="39" customHeight="1" thickBot="1">
      <c r="A50" s="1673"/>
      <c r="B50" s="2902" t="s">
        <v>3182</v>
      </c>
      <c r="C50" s="2903"/>
      <c r="D50" s="2903"/>
      <c r="E50" s="2903"/>
      <c r="F50" s="2903"/>
      <c r="G50" s="2903"/>
      <c r="H50" s="2903"/>
      <c r="I50" s="2903"/>
      <c r="J50" s="2904"/>
    </row>
    <row r="51" spans="1:10" ht="18.75" customHeight="1">
      <c r="A51" s="2417"/>
      <c r="B51" s="2421"/>
      <c r="C51" s="2422"/>
      <c r="D51" s="2422"/>
      <c r="E51" s="2422"/>
      <c r="F51" s="2422"/>
      <c r="G51" s="2422"/>
      <c r="H51" s="2422"/>
      <c r="I51" s="2422"/>
      <c r="J51" s="2423"/>
    </row>
    <row r="52" spans="1:10" ht="17.850000000000001" customHeight="1">
      <c r="A52" s="1670">
        <f>A48+0.1</f>
        <v>2.6</v>
      </c>
      <c r="B52" s="2785" t="s">
        <v>3183</v>
      </c>
      <c r="C52" s="2786"/>
      <c r="D52" s="2786"/>
      <c r="E52" s="2786"/>
      <c r="F52" s="2786"/>
      <c r="G52" s="2786"/>
      <c r="H52" s="2786"/>
      <c r="I52" s="2786"/>
      <c r="J52" s="2787"/>
    </row>
    <row r="53" spans="1:10">
      <c r="A53" s="1670"/>
      <c r="B53" s="2788"/>
      <c r="C53" s="2789"/>
      <c r="D53" s="2789"/>
      <c r="E53" s="2789"/>
      <c r="F53" s="2789"/>
      <c r="G53" s="2789"/>
      <c r="H53" s="2789"/>
      <c r="I53" s="2789"/>
      <c r="J53" s="2790"/>
    </row>
    <row r="54" spans="1:10" ht="38.25" customHeight="1">
      <c r="A54" s="1670"/>
      <c r="B54" s="2791" t="s">
        <v>4338</v>
      </c>
      <c r="C54" s="2792"/>
      <c r="D54" s="2792"/>
      <c r="E54" s="2792"/>
      <c r="F54" s="2792"/>
      <c r="G54" s="2792"/>
      <c r="H54" s="2792"/>
      <c r="I54" s="2792"/>
      <c r="J54" s="2793"/>
    </row>
    <row r="55" spans="1:10">
      <c r="A55" s="1670"/>
      <c r="B55" s="2721"/>
      <c r="C55" s="2722"/>
      <c r="D55" s="2722"/>
      <c r="E55" s="2722"/>
      <c r="F55" s="2722"/>
      <c r="G55" s="2722"/>
      <c r="H55" s="2722"/>
      <c r="I55" s="2722"/>
      <c r="J55" s="2723"/>
    </row>
    <row r="56" spans="1:10">
      <c r="A56" s="1670">
        <f>A52+0.1</f>
        <v>2.7</v>
      </c>
      <c r="B56" s="2731" t="s">
        <v>4355</v>
      </c>
      <c r="C56" s="2732"/>
      <c r="D56" s="2732"/>
      <c r="E56" s="2732"/>
      <c r="F56" s="2732"/>
      <c r="G56" s="2732"/>
      <c r="H56" s="2732"/>
      <c r="I56" s="2732"/>
      <c r="J56" s="2733"/>
    </row>
    <row r="57" spans="1:10">
      <c r="A57" s="1670"/>
      <c r="B57" s="2721"/>
      <c r="C57" s="2722"/>
      <c r="D57" s="2722"/>
      <c r="E57" s="2722"/>
      <c r="F57" s="2722"/>
      <c r="G57" s="2722"/>
      <c r="H57" s="2722"/>
      <c r="I57" s="2722"/>
      <c r="J57" s="2723"/>
    </row>
    <row r="58" spans="1:10" ht="53.25" customHeight="1">
      <c r="A58" s="1670"/>
      <c r="B58" s="2721" t="s">
        <v>3184</v>
      </c>
      <c r="C58" s="2722"/>
      <c r="D58" s="2722"/>
      <c r="E58" s="2722"/>
      <c r="F58" s="2722"/>
      <c r="G58" s="2722"/>
      <c r="H58" s="2722"/>
      <c r="I58" s="2722"/>
      <c r="J58" s="2723"/>
    </row>
    <row r="59" spans="1:10" ht="57.75" customHeight="1">
      <c r="A59" s="1670"/>
      <c r="B59" s="2791" t="s">
        <v>3185</v>
      </c>
      <c r="C59" s="2792"/>
      <c r="D59" s="2792"/>
      <c r="E59" s="2792"/>
      <c r="F59" s="2792"/>
      <c r="G59" s="2792"/>
      <c r="H59" s="2792"/>
      <c r="I59" s="2792"/>
      <c r="J59" s="2793"/>
    </row>
    <row r="60" spans="1:10" ht="24.6" customHeight="1">
      <c r="A60" s="1670"/>
      <c r="B60" s="2747" t="s">
        <v>336</v>
      </c>
      <c r="C60" s="2747"/>
      <c r="D60" s="2747"/>
      <c r="E60" s="2747"/>
      <c r="F60" s="2747"/>
      <c r="G60" s="2747"/>
      <c r="H60" s="2747"/>
      <c r="I60" s="2747"/>
      <c r="J60" s="2748"/>
    </row>
    <row r="61" spans="1:10" hidden="1">
      <c r="A61" s="1670"/>
      <c r="B61" s="2722"/>
      <c r="C61" s="2722"/>
      <c r="D61" s="2722"/>
      <c r="E61" s="2722"/>
      <c r="F61" s="2722"/>
      <c r="G61" s="2722"/>
      <c r="H61" s="2722"/>
      <c r="I61" s="2722"/>
      <c r="J61" s="2723"/>
    </row>
    <row r="62" spans="1:10" ht="21.75" hidden="1" customHeight="1">
      <c r="A62" s="1673"/>
      <c r="B62" s="1290"/>
      <c r="J62" s="1342"/>
    </row>
    <row r="63" spans="1:10" ht="21.6" hidden="1" customHeight="1" thickBot="1">
      <c r="A63" s="1670"/>
      <c r="B63" s="2722" t="s">
        <v>337</v>
      </c>
      <c r="C63" s="2722"/>
      <c r="D63" s="2722"/>
      <c r="E63" s="2722"/>
      <c r="F63" s="2722"/>
      <c r="G63" s="2722"/>
      <c r="H63" s="2722"/>
      <c r="I63" s="2722"/>
      <c r="J63" s="2723"/>
    </row>
    <row r="64" spans="1:10" hidden="1">
      <c r="A64" s="1670"/>
      <c r="B64" s="1656"/>
      <c r="C64" s="1665"/>
      <c r="D64" s="1665"/>
      <c r="E64" s="1665"/>
      <c r="F64" s="1665"/>
      <c r="G64" s="1665"/>
      <c r="H64" s="1665"/>
      <c r="I64" s="1665"/>
      <c r="J64" s="1666"/>
    </row>
    <row r="65" spans="1:10" hidden="1">
      <c r="A65" s="1670"/>
      <c r="B65" s="1656"/>
      <c r="C65" s="1665"/>
      <c r="D65" s="1665"/>
      <c r="E65" s="1665"/>
      <c r="F65" s="1665"/>
      <c r="G65" s="1665"/>
      <c r="H65" s="1665"/>
      <c r="I65" s="1665"/>
      <c r="J65" s="1666"/>
    </row>
    <row r="66" spans="1:10" hidden="1">
      <c r="A66" s="1670"/>
      <c r="B66" s="1656"/>
      <c r="C66" s="1665"/>
      <c r="D66" s="1665"/>
      <c r="E66" s="1665"/>
      <c r="F66" s="1665"/>
      <c r="G66" s="1665"/>
      <c r="H66" s="1665"/>
      <c r="I66" s="1665"/>
      <c r="J66" s="1666"/>
    </row>
    <row r="67" spans="1:10" hidden="1">
      <c r="A67" s="1670"/>
      <c r="B67" s="1656"/>
      <c r="C67" s="1665"/>
      <c r="D67" s="1665"/>
      <c r="E67" s="1665"/>
      <c r="F67" s="1665"/>
      <c r="G67" s="1665"/>
      <c r="H67" s="1665"/>
      <c r="I67" s="1665"/>
      <c r="J67" s="1666"/>
    </row>
    <row r="68" spans="1:10" hidden="1">
      <c r="A68" s="1670"/>
      <c r="B68" s="1656"/>
      <c r="C68" s="1665"/>
      <c r="D68" s="1665"/>
      <c r="E68" s="1665"/>
      <c r="F68" s="1665"/>
      <c r="G68" s="1665"/>
      <c r="H68" s="1665"/>
      <c r="I68" s="1665"/>
      <c r="J68" s="1666"/>
    </row>
    <row r="69" spans="1:10" hidden="1">
      <c r="A69" s="1670"/>
      <c r="B69" s="1656"/>
      <c r="C69" s="1665"/>
      <c r="D69" s="1665"/>
      <c r="E69" s="1665"/>
      <c r="F69" s="1665"/>
      <c r="G69" s="1665"/>
      <c r="H69" s="1665"/>
      <c r="I69" s="1665"/>
      <c r="J69" s="1666"/>
    </row>
    <row r="70" spans="1:10" hidden="1">
      <c r="A70" s="1670"/>
      <c r="B70" s="1656"/>
      <c r="C70" s="1665"/>
      <c r="D70" s="1665"/>
      <c r="E70" s="1665"/>
      <c r="F70" s="1665"/>
      <c r="G70" s="1665"/>
      <c r="H70" s="1665"/>
      <c r="I70" s="1665"/>
      <c r="J70" s="1666"/>
    </row>
    <row r="71" spans="1:10" hidden="1">
      <c r="A71" s="1670"/>
      <c r="B71" s="1656"/>
      <c r="C71" s="1665"/>
      <c r="D71" s="1665"/>
      <c r="E71" s="1665"/>
      <c r="F71" s="1665"/>
      <c r="G71" s="1665"/>
      <c r="H71" s="1665"/>
      <c r="I71" s="1665"/>
      <c r="J71" s="1666"/>
    </row>
    <row r="72" spans="1:10" hidden="1">
      <c r="A72" s="1670"/>
      <c r="B72" s="1656"/>
      <c r="C72" s="1665"/>
      <c r="D72" s="1665"/>
      <c r="E72" s="1665"/>
      <c r="F72" s="1665"/>
      <c r="G72" s="1665"/>
      <c r="H72" s="1665"/>
      <c r="I72" s="1665"/>
      <c r="J72" s="1666"/>
    </row>
    <row r="73" spans="1:10" hidden="1">
      <c r="A73" s="1670"/>
      <c r="B73" s="2722"/>
      <c r="C73" s="2722"/>
      <c r="D73" s="2722"/>
      <c r="E73" s="2722"/>
      <c r="F73" s="2722"/>
      <c r="G73" s="2722"/>
      <c r="H73" s="2722"/>
      <c r="I73" s="2722"/>
      <c r="J73" s="2723"/>
    </row>
    <row r="74" spans="1:10" hidden="1">
      <c r="A74" s="1671" t="e">
        <f>#REF!+0.1</f>
        <v>#REF!</v>
      </c>
      <c r="B74" s="2732" t="s">
        <v>338</v>
      </c>
      <c r="C74" s="2732"/>
      <c r="D74" s="2732"/>
      <c r="E74" s="2732"/>
      <c r="F74" s="2732"/>
      <c r="G74" s="2732"/>
      <c r="H74" s="2732"/>
      <c r="I74" s="2732"/>
      <c r="J74" s="2733"/>
    </row>
    <row r="75" spans="1:10" hidden="1">
      <c r="A75" s="1670"/>
      <c r="B75" s="2722"/>
      <c r="C75" s="2722"/>
      <c r="D75" s="2722"/>
      <c r="E75" s="2722"/>
      <c r="F75" s="2722"/>
      <c r="G75" s="2722"/>
      <c r="H75" s="2722"/>
      <c r="I75" s="2722"/>
      <c r="J75" s="2723"/>
    </row>
    <row r="76" spans="1:10" ht="32.25" hidden="1" customHeight="1" thickBot="1">
      <c r="A76" s="1670"/>
      <c r="B76" s="2765" t="s">
        <v>339</v>
      </c>
      <c r="C76" s="2765"/>
      <c r="D76" s="2765"/>
      <c r="E76" s="2765"/>
      <c r="F76" s="2765"/>
      <c r="G76" s="2765"/>
      <c r="H76" s="2765"/>
      <c r="I76" s="2765"/>
      <c r="J76" s="2766"/>
    </row>
    <row r="77" spans="1:10">
      <c r="A77" s="1670"/>
      <c r="B77" s="2722"/>
      <c r="C77" s="2722"/>
      <c r="D77" s="2722"/>
      <c r="E77" s="2722"/>
      <c r="F77" s="2722"/>
      <c r="G77" s="2722"/>
      <c r="H77" s="2722"/>
      <c r="I77" s="2722"/>
      <c r="J77" s="2723"/>
    </row>
    <row r="78" spans="1:10">
      <c r="A78" s="1671">
        <v>2.8</v>
      </c>
      <c r="B78" s="2732" t="s">
        <v>340</v>
      </c>
      <c r="C78" s="2732"/>
      <c r="D78" s="2732"/>
      <c r="E78" s="2732"/>
      <c r="F78" s="2732"/>
      <c r="G78" s="2732"/>
      <c r="H78" s="2732"/>
      <c r="I78" s="2732"/>
      <c r="J78" s="2733"/>
    </row>
    <row r="79" spans="1:10">
      <c r="A79" s="1671"/>
      <c r="B79" s="2722"/>
      <c r="C79" s="2722"/>
      <c r="D79" s="2722"/>
      <c r="E79" s="2722"/>
      <c r="F79" s="2722"/>
      <c r="G79" s="2722"/>
      <c r="H79" s="2722"/>
      <c r="I79" s="2722"/>
      <c r="J79" s="2723"/>
    </row>
    <row r="80" spans="1:10" ht="51" hidden="1" customHeight="1">
      <c r="A80" s="1670"/>
      <c r="B80" s="2722" t="s">
        <v>341</v>
      </c>
      <c r="C80" s="2722"/>
      <c r="D80" s="2722"/>
      <c r="E80" s="2722"/>
      <c r="F80" s="2722"/>
      <c r="G80" s="2722"/>
      <c r="H80" s="2722"/>
      <c r="I80" s="2722"/>
      <c r="J80" s="2723"/>
    </row>
    <row r="81" spans="1:10" ht="26.85" hidden="1" customHeight="1">
      <c r="A81" s="1670"/>
      <c r="B81" s="2747" t="s">
        <v>342</v>
      </c>
      <c r="C81" s="2747"/>
      <c r="D81" s="2747"/>
      <c r="E81" s="2747"/>
      <c r="F81" s="2747"/>
      <c r="G81" s="2747"/>
      <c r="H81" s="2747"/>
      <c r="I81" s="2747"/>
      <c r="J81" s="2748"/>
    </row>
    <row r="82" spans="1:10" ht="36" customHeight="1">
      <c r="A82" s="1670"/>
      <c r="B82" s="2756" t="s">
        <v>343</v>
      </c>
      <c r="C82" s="2756"/>
      <c r="D82" s="2756"/>
      <c r="E82" s="2756"/>
      <c r="F82" s="2756"/>
      <c r="G82" s="2756"/>
      <c r="H82" s="2756"/>
      <c r="I82" s="2756"/>
      <c r="J82" s="2757"/>
    </row>
    <row r="83" spans="1:10" ht="21.6" hidden="1" customHeight="1">
      <c r="A83" s="1670"/>
      <c r="B83" s="2758" t="s">
        <v>344</v>
      </c>
      <c r="C83" s="2759"/>
      <c r="D83" s="2759"/>
      <c r="E83" s="2759"/>
      <c r="F83" s="2759"/>
      <c r="G83" s="2759"/>
      <c r="H83" s="2759"/>
      <c r="I83" s="2759"/>
      <c r="J83" s="2760"/>
    </row>
    <row r="84" spans="1:10" ht="26.85" hidden="1" customHeight="1">
      <c r="A84" s="1670"/>
      <c r="B84" s="2761" t="s">
        <v>345</v>
      </c>
      <c r="C84" s="2762"/>
      <c r="D84" s="2762"/>
      <c r="E84" s="2762"/>
      <c r="F84" s="2762"/>
      <c r="G84" s="2762"/>
      <c r="H84" s="2762"/>
      <c r="I84" s="2762"/>
      <c r="J84" s="2763"/>
    </row>
    <row r="85" spans="1:10" ht="18.75" hidden="1" customHeight="1">
      <c r="A85" s="1670"/>
      <c r="B85" s="2764" t="s">
        <v>346</v>
      </c>
      <c r="C85" s="2765"/>
      <c r="D85" s="2765"/>
      <c r="E85" s="2765"/>
      <c r="F85" s="2765"/>
      <c r="G85" s="2765"/>
      <c r="H85" s="2765"/>
      <c r="I85" s="2765"/>
      <c r="J85" s="2766"/>
    </row>
    <row r="86" spans="1:10" hidden="1">
      <c r="A86" s="1670"/>
      <c r="B86" s="2764" t="s">
        <v>344</v>
      </c>
      <c r="C86" s="2765"/>
      <c r="D86" s="2765"/>
      <c r="E86" s="2765"/>
      <c r="F86" s="2765"/>
      <c r="G86" s="2765"/>
      <c r="H86" s="2765"/>
      <c r="I86" s="2765"/>
      <c r="J86" s="2766"/>
    </row>
    <row r="87" spans="1:10" ht="55.35" hidden="1" customHeight="1">
      <c r="A87" s="1670"/>
      <c r="B87" s="2764" t="s">
        <v>345</v>
      </c>
      <c r="C87" s="2765"/>
      <c r="D87" s="2765"/>
      <c r="E87" s="2765"/>
      <c r="F87" s="2765"/>
      <c r="G87" s="2765"/>
      <c r="H87" s="2765"/>
      <c r="I87" s="2765"/>
      <c r="J87" s="2766"/>
    </row>
    <row r="88" spans="1:10">
      <c r="A88" s="1670"/>
      <c r="B88" s="2721"/>
      <c r="C88" s="2722"/>
      <c r="D88" s="2722"/>
      <c r="E88" s="2722"/>
      <c r="F88" s="2722"/>
      <c r="G88" s="2722"/>
      <c r="H88" s="2722"/>
      <c r="I88" s="2722"/>
      <c r="J88" s="2723"/>
    </row>
    <row r="89" spans="1:10">
      <c r="A89" s="1670"/>
      <c r="B89" s="2775" t="s">
        <v>349</v>
      </c>
      <c r="C89" s="2776"/>
      <c r="D89" s="2776"/>
      <c r="E89" s="2776"/>
      <c r="F89" s="2776"/>
      <c r="G89" s="2776"/>
      <c r="H89" s="2776"/>
      <c r="I89" s="2776"/>
      <c r="J89" s="2777"/>
    </row>
    <row r="90" spans="1:10" ht="35.85" customHeight="1">
      <c r="A90" s="1670"/>
      <c r="B90" s="2721" t="s">
        <v>350</v>
      </c>
      <c r="C90" s="2722"/>
      <c r="D90" s="2722"/>
      <c r="E90" s="2722"/>
      <c r="F90" s="2722"/>
      <c r="G90" s="2722"/>
      <c r="H90" s="2722"/>
      <c r="I90" s="2722"/>
      <c r="J90" s="2723"/>
    </row>
    <row r="91" spans="1:10" ht="18" hidden="1" customHeight="1">
      <c r="A91" s="1670"/>
      <c r="B91" s="2767" t="s">
        <v>351</v>
      </c>
      <c r="C91" s="2768"/>
      <c r="D91" s="2768"/>
      <c r="E91" s="2768"/>
      <c r="F91" s="2768"/>
      <c r="G91" s="2768"/>
      <c r="H91" s="2768"/>
      <c r="I91" s="2768"/>
      <c r="J91" s="2769"/>
    </row>
    <row r="92" spans="1:10" ht="9.75" hidden="1" customHeight="1">
      <c r="A92" s="1670"/>
      <c r="B92" s="1687"/>
      <c r="C92" s="1688"/>
      <c r="D92" s="1688"/>
      <c r="E92" s="1688"/>
      <c r="F92" s="1688"/>
      <c r="G92" s="1688"/>
      <c r="H92" s="1688"/>
      <c r="I92" s="1688"/>
      <c r="J92" s="1689"/>
    </row>
    <row r="93" spans="1:10" ht="20.25" hidden="1" customHeight="1">
      <c r="A93" s="1670"/>
      <c r="B93" s="2770" t="s">
        <v>352</v>
      </c>
      <c r="C93" s="2771"/>
      <c r="D93" s="2771"/>
      <c r="E93" s="2771"/>
      <c r="F93" s="2771"/>
      <c r="G93" s="2771"/>
      <c r="H93" s="2771"/>
      <c r="I93" s="2771"/>
      <c r="J93" s="2772"/>
    </row>
    <row r="94" spans="1:10" hidden="1">
      <c r="A94" s="1670"/>
      <c r="B94" s="2721"/>
      <c r="C94" s="2722"/>
      <c r="D94" s="2722"/>
      <c r="E94" s="2722"/>
      <c r="F94" s="2722"/>
      <c r="G94" s="2722"/>
      <c r="H94" s="2722"/>
      <c r="I94" s="2722"/>
      <c r="J94" s="2723"/>
    </row>
    <row r="95" spans="1:10" hidden="1">
      <c r="A95" s="1740"/>
      <c r="B95" s="1655"/>
      <c r="C95" s="1665"/>
      <c r="D95" s="1665"/>
      <c r="E95" s="1665"/>
      <c r="F95" s="1665"/>
      <c r="G95" s="1665"/>
      <c r="H95" s="1665"/>
      <c r="I95" s="1665"/>
      <c r="J95" s="1666"/>
    </row>
    <row r="96" spans="1:10" hidden="1">
      <c r="A96" s="2727"/>
      <c r="B96" s="2728"/>
      <c r="C96" s="1665"/>
      <c r="D96" s="1665"/>
      <c r="E96" s="1665"/>
      <c r="F96" s="1665"/>
      <c r="G96" s="1665"/>
      <c r="H96" s="1665"/>
      <c r="I96" s="1665"/>
      <c r="J96" s="1666"/>
    </row>
    <row r="97" spans="1:10" hidden="1">
      <c r="A97" s="2727"/>
      <c r="B97" s="2728"/>
      <c r="C97" s="1665"/>
      <c r="D97" s="1665"/>
      <c r="E97" s="1665"/>
      <c r="F97" s="1665"/>
      <c r="G97" s="1665"/>
      <c r="H97" s="1665"/>
      <c r="I97" s="1665"/>
      <c r="J97" s="1666"/>
    </row>
    <row r="98" spans="1:10" hidden="1">
      <c r="A98" s="2727" t="s">
        <v>316</v>
      </c>
      <c r="B98" s="2728"/>
      <c r="C98" s="1665"/>
      <c r="D98" s="1665"/>
      <c r="E98" s="1665"/>
      <c r="F98" s="1665"/>
      <c r="G98" s="1665"/>
      <c r="H98" s="1665"/>
      <c r="I98" s="1665"/>
      <c r="J98" s="1666"/>
    </row>
    <row r="99" spans="1:10" hidden="1">
      <c r="A99" s="1737"/>
      <c r="B99" s="1655"/>
      <c r="C99" s="1665"/>
      <c r="D99" s="1665"/>
      <c r="E99" s="1665"/>
      <c r="F99" s="1665"/>
      <c r="G99" s="1665"/>
      <c r="H99" s="1665"/>
      <c r="I99" s="1665"/>
      <c r="J99" s="1666"/>
    </row>
    <row r="100" spans="1:10" ht="81" hidden="1">
      <c r="A100" s="1737" t="s">
        <v>329</v>
      </c>
      <c r="B100" s="1655"/>
      <c r="C100" s="1665"/>
      <c r="D100" s="1665"/>
      <c r="E100" s="1665"/>
      <c r="F100" s="1665"/>
      <c r="G100" s="1665"/>
      <c r="H100" s="1665"/>
      <c r="I100" s="1665"/>
      <c r="J100" s="1666"/>
    </row>
    <row r="101" spans="1:10" hidden="1">
      <c r="A101" s="2409"/>
      <c r="B101" s="1655"/>
      <c r="C101" s="1665"/>
      <c r="D101" s="1665"/>
      <c r="E101" s="1665"/>
      <c r="F101" s="1665"/>
      <c r="G101" s="1665"/>
      <c r="H101" s="1665"/>
      <c r="I101" s="1665"/>
      <c r="J101" s="1666"/>
    </row>
    <row r="102" spans="1:10" ht="32.4" hidden="1">
      <c r="A102" s="1679" t="s">
        <v>309</v>
      </c>
      <c r="B102" s="1680" t="s">
        <v>1</v>
      </c>
      <c r="C102" s="1665"/>
      <c r="D102" s="1665"/>
      <c r="E102" s="1665"/>
      <c r="F102" s="1665"/>
      <c r="G102" s="1665"/>
      <c r="H102" s="1665"/>
      <c r="I102" s="1665"/>
      <c r="J102" s="1666"/>
    </row>
    <row r="103" spans="1:10" ht="0.75" customHeight="1">
      <c r="A103" s="1683"/>
      <c r="B103" s="1656"/>
      <c r="C103" s="1665"/>
      <c r="D103" s="1665"/>
      <c r="E103" s="1665"/>
      <c r="F103" s="1665"/>
      <c r="G103" s="1665"/>
      <c r="H103" s="1665"/>
      <c r="I103" s="1665"/>
      <c r="J103" s="1666"/>
    </row>
    <row r="104" spans="1:10">
      <c r="A104" s="1683"/>
      <c r="B104" s="1655"/>
      <c r="C104" s="1665"/>
      <c r="D104" s="1665"/>
      <c r="E104" s="1665"/>
      <c r="F104" s="1665"/>
      <c r="G104" s="1665"/>
      <c r="H104" s="1665"/>
      <c r="I104" s="1665"/>
      <c r="J104" s="1666"/>
    </row>
    <row r="105" spans="1:10" s="1695" customFormat="1">
      <c r="A105" s="1670">
        <v>2.9</v>
      </c>
      <c r="B105" s="2731" t="s">
        <v>354</v>
      </c>
      <c r="C105" s="2732"/>
      <c r="D105" s="2732"/>
      <c r="E105" s="2732"/>
      <c r="F105" s="2732"/>
      <c r="G105" s="2732"/>
      <c r="H105" s="2732"/>
      <c r="I105" s="2732"/>
      <c r="J105" s="2733"/>
    </row>
    <row r="106" spans="1:10" s="1695" customFormat="1">
      <c r="A106" s="1670"/>
      <c r="B106" s="2721"/>
      <c r="C106" s="2722"/>
      <c r="D106" s="2722"/>
      <c r="E106" s="2722"/>
      <c r="F106" s="2722"/>
      <c r="G106" s="2722"/>
      <c r="H106" s="2722"/>
      <c r="I106" s="2722"/>
      <c r="J106" s="2723"/>
    </row>
    <row r="107" spans="1:10" ht="20.25" customHeight="1">
      <c r="A107" s="1670"/>
      <c r="B107" s="2721" t="s">
        <v>355</v>
      </c>
      <c r="C107" s="2722"/>
      <c r="D107" s="2722"/>
      <c r="E107" s="2722"/>
      <c r="F107" s="2722"/>
      <c r="G107" s="2722"/>
      <c r="H107" s="2722"/>
      <c r="I107" s="2722"/>
      <c r="J107" s="2723"/>
    </row>
    <row r="108" spans="1:10" ht="28.35" customHeight="1">
      <c r="A108" s="1670"/>
      <c r="B108" s="2721" t="s">
        <v>356</v>
      </c>
      <c r="C108" s="2722"/>
      <c r="D108" s="2722"/>
      <c r="E108" s="2722"/>
      <c r="F108" s="2722"/>
      <c r="G108" s="2722"/>
      <c r="H108" s="2722"/>
      <c r="I108" s="2722"/>
      <c r="J108" s="2723"/>
    </row>
    <row r="109" spans="1:10" hidden="1">
      <c r="A109" s="1670"/>
      <c r="B109" s="2721"/>
      <c r="C109" s="2722"/>
      <c r="D109" s="2722"/>
      <c r="E109" s="2722"/>
      <c r="F109" s="2722"/>
      <c r="G109" s="2722"/>
      <c r="H109" s="2722"/>
      <c r="I109" s="2722"/>
      <c r="J109" s="2723"/>
    </row>
    <row r="110" spans="1:10" ht="64.8" hidden="1">
      <c r="A110" s="1671">
        <f>A105+0.1</f>
        <v>3</v>
      </c>
      <c r="B110" s="1696" t="s">
        <v>357</v>
      </c>
      <c r="C110" s="1665"/>
      <c r="D110" s="1665"/>
      <c r="E110" s="1665"/>
      <c r="F110" s="1665"/>
      <c r="G110" s="1665"/>
      <c r="H110" s="1665"/>
      <c r="I110" s="1665"/>
      <c r="J110" s="1666"/>
    </row>
    <row r="111" spans="1:10" hidden="1">
      <c r="A111" s="1670"/>
      <c r="B111" s="1696"/>
      <c r="C111" s="1665"/>
      <c r="D111" s="1665"/>
      <c r="E111" s="1665"/>
      <c r="F111" s="1665"/>
      <c r="G111" s="1665"/>
      <c r="H111" s="1665"/>
      <c r="I111" s="1665"/>
      <c r="J111" s="1666"/>
    </row>
    <row r="112" spans="1:10" ht="177.6" hidden="1" customHeight="1">
      <c r="A112" s="1670"/>
      <c r="B112" s="1656" t="s">
        <v>359</v>
      </c>
      <c r="C112" s="1665"/>
      <c r="D112" s="1665"/>
      <c r="E112" s="1665"/>
      <c r="F112" s="1665"/>
      <c r="G112" s="1665"/>
      <c r="H112" s="1665"/>
      <c r="I112" s="1665"/>
      <c r="J112" s="1666"/>
    </row>
    <row r="113" spans="1:10" hidden="1">
      <c r="A113" s="1670"/>
      <c r="B113" s="1656"/>
      <c r="C113" s="1665"/>
      <c r="D113" s="1665"/>
      <c r="E113" s="1665"/>
      <c r="F113" s="1665"/>
      <c r="G113" s="1665"/>
      <c r="H113" s="1665"/>
      <c r="I113" s="1665"/>
      <c r="J113" s="1666"/>
    </row>
    <row r="114" spans="1:10" ht="71.099999999999994" hidden="1" customHeight="1">
      <c r="A114" s="1670"/>
      <c r="B114" s="1656" t="s">
        <v>361</v>
      </c>
      <c r="C114" s="1665"/>
      <c r="D114" s="1665"/>
      <c r="E114" s="1665"/>
      <c r="F114" s="1665"/>
      <c r="G114" s="1665"/>
      <c r="H114" s="1665"/>
      <c r="I114" s="1665"/>
      <c r="J114" s="1666"/>
    </row>
    <row r="115" spans="1:10" hidden="1">
      <c r="A115" s="1670"/>
      <c r="B115" s="1656"/>
      <c r="C115" s="1665"/>
      <c r="D115" s="1665"/>
      <c r="E115" s="1665"/>
      <c r="F115" s="1665"/>
      <c r="G115" s="1665"/>
      <c r="H115" s="1665"/>
      <c r="I115" s="1665"/>
      <c r="J115" s="1666"/>
    </row>
    <row r="116" spans="1:10" ht="126" hidden="1" customHeight="1">
      <c r="A116" s="1670"/>
      <c r="B116" s="1656" t="s">
        <v>363</v>
      </c>
      <c r="C116" s="1665"/>
      <c r="D116" s="1665"/>
      <c r="E116" s="1665"/>
      <c r="F116" s="1665"/>
      <c r="G116" s="1665"/>
      <c r="H116" s="1665"/>
      <c r="I116" s="1665"/>
      <c r="J116" s="1666"/>
    </row>
    <row r="117" spans="1:10" hidden="1">
      <c r="A117" s="1670"/>
      <c r="B117" s="1656"/>
      <c r="C117" s="1665"/>
      <c r="D117" s="1665"/>
      <c r="E117" s="1665"/>
      <c r="F117" s="1665"/>
      <c r="G117" s="1665"/>
      <c r="H117" s="1665"/>
      <c r="I117" s="1665"/>
      <c r="J117" s="1666"/>
    </row>
    <row r="118" spans="1:10" ht="409.6" hidden="1">
      <c r="A118" s="1670"/>
      <c r="B118" s="1656" t="s">
        <v>365</v>
      </c>
      <c r="C118" s="1665"/>
      <c r="D118" s="1665"/>
      <c r="E118" s="1665"/>
      <c r="F118" s="1665"/>
      <c r="G118" s="1665"/>
      <c r="H118" s="1665"/>
      <c r="I118" s="1665"/>
      <c r="J118" s="1666"/>
    </row>
    <row r="119" spans="1:10" hidden="1">
      <c r="A119" s="1670"/>
      <c r="B119" s="1656"/>
      <c r="C119" s="1665"/>
      <c r="D119" s="1665"/>
      <c r="E119" s="1665"/>
      <c r="F119" s="1665"/>
      <c r="G119" s="1665"/>
      <c r="H119" s="1665"/>
      <c r="I119" s="1665"/>
      <c r="J119" s="1666"/>
    </row>
    <row r="120" spans="1:10" ht="64.8" hidden="1">
      <c r="A120" s="1670"/>
      <c r="B120" s="1697" t="s">
        <v>366</v>
      </c>
      <c r="C120" s="1665"/>
      <c r="D120" s="1665"/>
      <c r="E120" s="1665"/>
      <c r="F120" s="1665"/>
      <c r="G120" s="1665"/>
      <c r="H120" s="1665"/>
      <c r="I120" s="1665"/>
      <c r="J120" s="1666"/>
    </row>
    <row r="121" spans="1:10" ht="409.6" hidden="1">
      <c r="A121" s="1670"/>
      <c r="B121" s="1656" t="s">
        <v>367</v>
      </c>
      <c r="C121" s="1665"/>
      <c r="D121" s="1665"/>
      <c r="E121" s="1665"/>
      <c r="F121" s="1665"/>
      <c r="G121" s="1665"/>
      <c r="H121" s="1665"/>
      <c r="I121" s="1665"/>
      <c r="J121" s="1666"/>
    </row>
    <row r="122" spans="1:10" ht="16.8" hidden="1" thickBot="1">
      <c r="A122" s="1673"/>
      <c r="B122" s="1674"/>
      <c r="C122" s="1665"/>
      <c r="D122" s="1665"/>
      <c r="E122" s="1665"/>
      <c r="F122" s="1665"/>
      <c r="G122" s="1665"/>
      <c r="H122" s="1665"/>
      <c r="I122" s="1665"/>
      <c r="J122" s="1666"/>
    </row>
    <row r="123" spans="1:10" hidden="1">
      <c r="A123" s="1740"/>
      <c r="B123" s="1655"/>
      <c r="C123" s="1665"/>
      <c r="D123" s="1665"/>
      <c r="E123" s="1665"/>
      <c r="F123" s="1665"/>
      <c r="G123" s="1665"/>
      <c r="H123" s="1665"/>
      <c r="I123" s="1665"/>
      <c r="J123" s="1666"/>
    </row>
    <row r="124" spans="1:10" hidden="1">
      <c r="A124" s="2727"/>
      <c r="B124" s="2728"/>
      <c r="C124" s="1665"/>
      <c r="D124" s="1665"/>
      <c r="E124" s="1665"/>
      <c r="F124" s="1665"/>
      <c r="G124" s="1665"/>
      <c r="H124" s="1665"/>
      <c r="I124" s="1665"/>
      <c r="J124" s="1666"/>
    </row>
    <row r="125" spans="1:10" hidden="1">
      <c r="A125" s="2727"/>
      <c r="B125" s="2728"/>
      <c r="C125" s="1665"/>
      <c r="D125" s="1665"/>
      <c r="E125" s="1665"/>
      <c r="F125" s="1665"/>
      <c r="G125" s="1665"/>
      <c r="H125" s="1665"/>
      <c r="I125" s="1665"/>
      <c r="J125" s="1666"/>
    </row>
    <row r="126" spans="1:10" hidden="1">
      <c r="A126" s="2727" t="s">
        <v>316</v>
      </c>
      <c r="B126" s="2728"/>
      <c r="C126" s="1665"/>
      <c r="D126" s="1665"/>
      <c r="E126" s="1665"/>
      <c r="F126" s="1665"/>
      <c r="G126" s="1665"/>
      <c r="H126" s="1665"/>
      <c r="I126" s="1665"/>
      <c r="J126" s="1666"/>
    </row>
    <row r="127" spans="1:10" hidden="1">
      <c r="A127" s="1737"/>
      <c r="B127" s="1655"/>
      <c r="C127" s="1665"/>
      <c r="D127" s="1665"/>
      <c r="E127" s="1665"/>
      <c r="F127" s="1665"/>
      <c r="G127" s="1665"/>
      <c r="H127" s="1665"/>
      <c r="I127" s="1665"/>
      <c r="J127" s="1666"/>
    </row>
    <row r="128" spans="1:10" ht="81" hidden="1">
      <c r="A128" s="1737" t="s">
        <v>329</v>
      </c>
      <c r="B128" s="1655"/>
      <c r="C128" s="1665"/>
      <c r="D128" s="1665"/>
      <c r="E128" s="1665"/>
      <c r="F128" s="1665"/>
      <c r="G128" s="1665"/>
      <c r="H128" s="1665"/>
      <c r="I128" s="1665"/>
      <c r="J128" s="1666"/>
    </row>
    <row r="129" spans="1:10" hidden="1">
      <c r="A129" s="2409"/>
      <c r="B129" s="1655"/>
      <c r="C129" s="1665"/>
      <c r="D129" s="1665"/>
      <c r="E129" s="1665"/>
      <c r="F129" s="1665"/>
      <c r="G129" s="1665"/>
      <c r="H129" s="1665"/>
      <c r="I129" s="1665"/>
      <c r="J129" s="1666"/>
    </row>
    <row r="130" spans="1:10" ht="32.4" hidden="1">
      <c r="A130" s="1679" t="s">
        <v>309</v>
      </c>
      <c r="B130" s="1680" t="s">
        <v>1</v>
      </c>
      <c r="C130" s="1665"/>
      <c r="D130" s="1665"/>
      <c r="E130" s="1665"/>
      <c r="F130" s="1665"/>
      <c r="G130" s="1665"/>
      <c r="H130" s="1665"/>
      <c r="I130" s="1665"/>
      <c r="J130" s="1666"/>
    </row>
    <row r="131" spans="1:10" hidden="1">
      <c r="A131" s="1681"/>
      <c r="B131" s="1682"/>
      <c r="C131" s="1665"/>
      <c r="D131" s="1665"/>
      <c r="E131" s="1665"/>
      <c r="F131" s="1665"/>
      <c r="G131" s="1665"/>
      <c r="H131" s="1665"/>
      <c r="I131" s="1665"/>
      <c r="J131" s="1666"/>
    </row>
    <row r="132" spans="1:10" ht="48.6" hidden="1">
      <c r="A132" s="1698">
        <v>2.1</v>
      </c>
      <c r="B132" s="1696" t="s">
        <v>368</v>
      </c>
      <c r="C132" s="1665"/>
      <c r="D132" s="1665"/>
      <c r="E132" s="1665"/>
      <c r="F132" s="1665"/>
      <c r="G132" s="1665"/>
      <c r="H132" s="1665"/>
      <c r="I132" s="1665"/>
      <c r="J132" s="1666"/>
    </row>
    <row r="133" spans="1:10" hidden="1">
      <c r="A133" s="1670"/>
      <c r="B133" s="1696"/>
      <c r="C133" s="1665"/>
      <c r="D133" s="1665"/>
      <c r="E133" s="1665"/>
      <c r="F133" s="1665"/>
      <c r="G133" s="1665"/>
      <c r="H133" s="1665"/>
      <c r="I133" s="1665"/>
      <c r="J133" s="1666"/>
    </row>
    <row r="134" spans="1:10" ht="151.35" hidden="1" customHeight="1">
      <c r="A134" s="1670"/>
      <c r="B134" s="1656" t="s">
        <v>370</v>
      </c>
      <c r="C134" s="1665"/>
      <c r="D134" s="1665"/>
      <c r="E134" s="1665"/>
      <c r="F134" s="1665"/>
      <c r="G134" s="1665"/>
      <c r="H134" s="1665"/>
      <c r="I134" s="1665"/>
      <c r="J134" s="1666"/>
    </row>
    <row r="135" spans="1:10" ht="16.5" hidden="1" customHeight="1">
      <c r="A135" s="2333"/>
      <c r="J135" s="1342"/>
    </row>
    <row r="136" spans="1:10" ht="30.75" hidden="1" customHeight="1">
      <c r="A136" s="2333"/>
      <c r="J136" s="1342"/>
    </row>
    <row r="137" spans="1:10" ht="16.5" hidden="1" customHeight="1">
      <c r="A137" s="2333"/>
      <c r="J137" s="1342"/>
    </row>
    <row r="138" spans="1:10" ht="16.5" hidden="1" customHeight="1">
      <c r="A138" s="2333"/>
      <c r="J138" s="1342"/>
    </row>
    <row r="139" spans="1:10" ht="59.1" hidden="1" customHeight="1">
      <c r="A139" s="2333"/>
      <c r="J139" s="1342"/>
    </row>
    <row r="140" spans="1:10" ht="36.75" hidden="1" customHeight="1">
      <c r="A140" s="2333"/>
      <c r="J140" s="1342"/>
    </row>
    <row r="141" spans="1:10" ht="36.75" hidden="1" customHeight="1">
      <c r="A141" s="2333"/>
      <c r="J141" s="1342"/>
    </row>
    <row r="142" spans="1:10" ht="36.75" hidden="1" customHeight="1">
      <c r="A142" s="2333"/>
      <c r="J142" s="1342"/>
    </row>
    <row r="143" spans="1:10" ht="36.75" hidden="1" customHeight="1">
      <c r="A143" s="2333"/>
      <c r="J143" s="1342"/>
    </row>
    <row r="144" spans="1:10" ht="16.5" hidden="1" customHeight="1">
      <c r="A144" s="2333"/>
      <c r="J144" s="1342"/>
    </row>
    <row r="145" spans="1:12" ht="16.5" hidden="1" customHeight="1">
      <c r="A145" s="2333"/>
      <c r="J145" s="1342"/>
      <c r="K145" s="1701"/>
      <c r="L145" s="1701"/>
    </row>
    <row r="146" spans="1:12" ht="16.5" hidden="1" customHeight="1">
      <c r="A146" s="2333"/>
      <c r="J146" s="1342"/>
      <c r="K146" s="1701"/>
      <c r="L146" s="1701"/>
    </row>
    <row r="147" spans="1:12" ht="16.5" hidden="1" customHeight="1">
      <c r="A147" s="2333"/>
      <c r="J147" s="1342"/>
    </row>
    <row r="148" spans="1:12" ht="16.5" hidden="1" customHeight="1">
      <c r="A148" s="2333"/>
      <c r="J148" s="1342"/>
    </row>
    <row r="149" spans="1:12" ht="16.5" hidden="1" customHeight="1">
      <c r="A149" s="2333"/>
      <c r="J149" s="1342"/>
    </row>
    <row r="150" spans="1:12" ht="16.5" hidden="1" customHeight="1">
      <c r="A150" s="2333"/>
      <c r="J150" s="1342"/>
    </row>
    <row r="151" spans="1:12" ht="16.5" hidden="1" customHeight="1">
      <c r="A151" s="2333"/>
      <c r="J151" s="1342"/>
    </row>
    <row r="152" spans="1:12" ht="16.5" hidden="1" customHeight="1">
      <c r="A152" s="2333"/>
      <c r="J152" s="1342"/>
    </row>
    <row r="153" spans="1:12" ht="16.5" hidden="1" customHeight="1">
      <c r="A153" s="2333"/>
      <c r="J153" s="1342"/>
    </row>
    <row r="154" spans="1:12" ht="16.5" hidden="1" customHeight="1">
      <c r="A154" s="2333"/>
      <c r="J154" s="1342"/>
    </row>
    <row r="155" spans="1:12" ht="16.5" hidden="1" customHeight="1">
      <c r="A155" s="2333"/>
      <c r="J155" s="1342"/>
    </row>
    <row r="156" spans="1:12" ht="16.5" hidden="1" customHeight="1">
      <c r="A156" s="2333"/>
      <c r="J156" s="1342"/>
    </row>
    <row r="157" spans="1:12" ht="16.5" hidden="1" customHeight="1">
      <c r="A157" s="2333"/>
      <c r="J157" s="1342"/>
    </row>
    <row r="158" spans="1:12" ht="16.5" hidden="1" customHeight="1">
      <c r="A158" s="2333"/>
      <c r="J158" s="1342"/>
    </row>
    <row r="159" spans="1:12" ht="16.5" hidden="1" customHeight="1">
      <c r="A159" s="2333"/>
      <c r="J159" s="1342"/>
    </row>
    <row r="160" spans="1:12" ht="16.5" hidden="1" customHeight="1">
      <c r="A160" s="2333"/>
      <c r="J160" s="1342"/>
    </row>
    <row r="161" spans="1:10" ht="8.1" hidden="1" customHeight="1">
      <c r="A161" s="2333"/>
      <c r="J161" s="1342"/>
    </row>
    <row r="162" spans="1:10" hidden="1">
      <c r="A162" s="2333"/>
      <c r="J162" s="1342"/>
    </row>
    <row r="163" spans="1:10" hidden="1">
      <c r="A163" s="2333"/>
      <c r="J163" s="1342"/>
    </row>
    <row r="164" spans="1:10" hidden="1">
      <c r="A164" s="2333"/>
      <c r="J164" s="1342"/>
    </row>
    <row r="165" spans="1:10" ht="43.35" hidden="1" customHeight="1">
      <c r="A165" s="2333"/>
      <c r="J165" s="1342"/>
    </row>
    <row r="166" spans="1:10" hidden="1">
      <c r="A166" s="2333"/>
      <c r="J166" s="1342"/>
    </row>
    <row r="167" spans="1:10" hidden="1">
      <c r="A167" s="2333"/>
      <c r="J167" s="1342"/>
    </row>
    <row r="168" spans="1:10" ht="104.85" hidden="1" customHeight="1">
      <c r="A168" s="2333"/>
      <c r="J168" s="1342"/>
    </row>
    <row r="169" spans="1:10" hidden="1">
      <c r="A169" s="2333"/>
      <c r="J169" s="1342"/>
    </row>
    <row r="170" spans="1:10" hidden="1">
      <c r="A170" s="2333"/>
      <c r="J170" s="1342"/>
    </row>
    <row r="171" spans="1:10" ht="168" hidden="1" customHeight="1">
      <c r="A171" s="2333"/>
      <c r="J171" s="1342"/>
    </row>
    <row r="172" spans="1:10" hidden="1">
      <c r="A172" s="2333"/>
      <c r="J172" s="1342"/>
    </row>
    <row r="173" spans="1:10" ht="71.849999999999994" hidden="1" customHeight="1">
      <c r="A173" s="2333"/>
      <c r="J173" s="1342"/>
    </row>
    <row r="174" spans="1:10" hidden="1">
      <c r="A174" s="2333"/>
      <c r="J174" s="1342"/>
    </row>
    <row r="175" spans="1:10" hidden="1">
      <c r="A175" s="2333"/>
      <c r="J175" s="1342"/>
    </row>
    <row r="176" spans="1:10" hidden="1">
      <c r="A176" s="2333"/>
      <c r="J176" s="1342"/>
    </row>
    <row r="177" spans="1:10" hidden="1">
      <c r="A177" s="2333"/>
      <c r="J177" s="1342"/>
    </row>
    <row r="178" spans="1:10" hidden="1">
      <c r="A178" s="2333"/>
      <c r="J178" s="1342"/>
    </row>
    <row r="179" spans="1:10" hidden="1">
      <c r="A179" s="2333"/>
      <c r="J179" s="1342"/>
    </row>
    <row r="180" spans="1:10" hidden="1">
      <c r="A180" s="2333"/>
      <c r="J180" s="1342"/>
    </row>
    <row r="181" spans="1:10" hidden="1">
      <c r="A181" s="2333"/>
      <c r="J181" s="1342"/>
    </row>
    <row r="182" spans="1:10" hidden="1">
      <c r="A182" s="2333"/>
      <c r="J182" s="1342"/>
    </row>
    <row r="183" spans="1:10" hidden="1">
      <c r="A183" s="2333"/>
      <c r="J183" s="1342"/>
    </row>
    <row r="184" spans="1:10" hidden="1">
      <c r="A184" s="2333"/>
      <c r="J184" s="1342"/>
    </row>
    <row r="185" spans="1:10" hidden="1">
      <c r="A185" s="1683"/>
      <c r="B185" s="2721"/>
      <c r="C185" s="2722"/>
      <c r="D185" s="2722"/>
      <c r="E185" s="2722"/>
      <c r="F185" s="2722"/>
      <c r="G185" s="2722"/>
      <c r="H185" s="2722"/>
      <c r="I185" s="2722"/>
      <c r="J185" s="2723"/>
    </row>
    <row r="186" spans="1:10" hidden="1">
      <c r="A186" s="2409"/>
      <c r="B186" s="1655"/>
      <c r="C186" s="1655"/>
      <c r="D186" s="1655"/>
      <c r="E186" s="1655"/>
      <c r="F186" s="1655"/>
      <c r="G186" s="1655"/>
      <c r="H186" s="1655"/>
      <c r="I186" s="1655"/>
      <c r="J186" s="1656"/>
    </row>
    <row r="187" spans="1:10" hidden="1">
      <c r="A187" s="2409"/>
      <c r="B187" s="2722"/>
      <c r="C187" s="2722"/>
      <c r="D187" s="2722"/>
      <c r="E187" s="2722"/>
      <c r="F187" s="2722"/>
      <c r="G187" s="2722"/>
      <c r="H187" s="2722"/>
      <c r="I187" s="2722"/>
      <c r="J187" s="2723"/>
    </row>
    <row r="188" spans="1:10" ht="129.6" hidden="1">
      <c r="A188" s="1698" t="e">
        <f>'[30]Addl Info to the FS'!#REF!+0.01</f>
        <v>#REF!</v>
      </c>
      <c r="B188" s="1696" t="s">
        <v>371</v>
      </c>
      <c r="C188" s="1665"/>
      <c r="D188" s="1665"/>
      <c r="E188" s="1665"/>
      <c r="F188" s="1665"/>
      <c r="G188" s="1665"/>
      <c r="H188" s="1665"/>
      <c r="I188" s="1665"/>
      <c r="J188" s="1666"/>
    </row>
    <row r="189" spans="1:10" hidden="1">
      <c r="A189" s="1698"/>
      <c r="B189" s="1696"/>
      <c r="C189" s="1665"/>
      <c r="D189" s="1665"/>
      <c r="E189" s="1665"/>
      <c r="F189" s="1665"/>
      <c r="G189" s="1665"/>
      <c r="H189" s="1665"/>
      <c r="I189" s="1665"/>
      <c r="J189" s="1666"/>
    </row>
    <row r="190" spans="1:10" ht="69" hidden="1" customHeight="1">
      <c r="A190" s="1670"/>
      <c r="B190" s="1656" t="s">
        <v>373</v>
      </c>
      <c r="C190" s="1665"/>
      <c r="D190" s="1665"/>
      <c r="E190" s="1665"/>
      <c r="F190" s="1665"/>
      <c r="G190" s="1665"/>
      <c r="H190" s="1665"/>
      <c r="I190" s="1665"/>
      <c r="J190" s="1666"/>
    </row>
    <row r="191" spans="1:10" ht="32.85" hidden="1" customHeight="1">
      <c r="A191" s="1670"/>
      <c r="B191" s="1656" t="s">
        <v>374</v>
      </c>
      <c r="C191" s="1665"/>
      <c r="D191" s="1665"/>
      <c r="E191" s="1665"/>
      <c r="F191" s="1665"/>
      <c r="G191" s="1665"/>
      <c r="H191" s="1665"/>
      <c r="I191" s="1665"/>
      <c r="J191" s="1666"/>
    </row>
    <row r="192" spans="1:10" ht="111.6" hidden="1" customHeight="1">
      <c r="A192" s="1670"/>
      <c r="B192" s="1656" t="s">
        <v>375</v>
      </c>
      <c r="C192" s="1665"/>
      <c r="D192" s="1665"/>
      <c r="E192" s="1665"/>
      <c r="F192" s="1665"/>
      <c r="G192" s="1665"/>
      <c r="H192" s="1665"/>
      <c r="I192" s="1665"/>
      <c r="J192" s="1666"/>
    </row>
    <row r="193" spans="1:10" hidden="1">
      <c r="A193" s="1670"/>
      <c r="B193" s="1656"/>
      <c r="C193" s="1665"/>
      <c r="D193" s="1665"/>
      <c r="E193" s="1665"/>
      <c r="F193" s="1665"/>
      <c r="G193" s="1665"/>
      <c r="H193" s="1665"/>
      <c r="I193" s="1665"/>
      <c r="J193" s="1666"/>
    </row>
    <row r="194" spans="1:10" ht="32.4" hidden="1">
      <c r="A194" s="1698" t="e">
        <f>A188+0.01</f>
        <v>#REF!</v>
      </c>
      <c r="B194" s="1696" t="s">
        <v>2</v>
      </c>
      <c r="C194" s="1665"/>
      <c r="D194" s="1665"/>
      <c r="E194" s="1665"/>
      <c r="F194" s="1665"/>
      <c r="G194" s="1665"/>
      <c r="H194" s="1665"/>
      <c r="I194" s="1665"/>
      <c r="J194" s="1666"/>
    </row>
    <row r="195" spans="1:10" hidden="1">
      <c r="A195" s="1670"/>
      <c r="B195" s="1696"/>
      <c r="C195" s="1665"/>
      <c r="D195" s="1665"/>
      <c r="E195" s="1665"/>
      <c r="F195" s="1665"/>
      <c r="G195" s="1665"/>
      <c r="H195" s="1665"/>
      <c r="I195" s="1665"/>
      <c r="J195" s="1666"/>
    </row>
    <row r="196" spans="1:10" ht="108" hidden="1" customHeight="1">
      <c r="A196" s="1670"/>
      <c r="B196" s="1656" t="s">
        <v>377</v>
      </c>
      <c r="C196" s="1665"/>
      <c r="D196" s="1665"/>
      <c r="E196" s="1665"/>
      <c r="F196" s="1665"/>
      <c r="G196" s="1665"/>
      <c r="H196" s="1665"/>
      <c r="I196" s="1665"/>
      <c r="J196" s="1666"/>
    </row>
    <row r="197" spans="1:10" hidden="1">
      <c r="A197" s="1670"/>
      <c r="B197" s="1656"/>
      <c r="C197" s="1665"/>
      <c r="D197" s="1665"/>
      <c r="E197" s="1665"/>
      <c r="F197" s="1665"/>
      <c r="G197" s="1665"/>
      <c r="H197" s="1665"/>
      <c r="I197" s="1665"/>
      <c r="J197" s="1666"/>
    </row>
    <row r="198" spans="1:10" ht="23.1" customHeight="1">
      <c r="A198" s="1703">
        <f>2.1</f>
        <v>2.1</v>
      </c>
      <c r="B198" s="2749" t="s">
        <v>378</v>
      </c>
      <c r="C198" s="2750"/>
      <c r="D198" s="2750"/>
      <c r="E198" s="2750"/>
      <c r="F198" s="2750"/>
      <c r="G198" s="2750"/>
      <c r="H198" s="2750"/>
      <c r="I198" s="2750"/>
      <c r="J198" s="2751"/>
    </row>
    <row r="199" spans="1:10">
      <c r="A199" s="1670"/>
      <c r="B199" s="2721"/>
      <c r="C199" s="2722"/>
      <c r="D199" s="2722"/>
      <c r="E199" s="2722"/>
      <c r="F199" s="2722"/>
      <c r="G199" s="2722"/>
      <c r="H199" s="2722"/>
      <c r="I199" s="2722"/>
      <c r="J199" s="2723"/>
    </row>
    <row r="200" spans="1:10" ht="94.5" customHeight="1">
      <c r="A200" s="1670"/>
      <c r="B200" s="2721" t="s">
        <v>379</v>
      </c>
      <c r="C200" s="2722"/>
      <c r="D200" s="2722"/>
      <c r="E200" s="2722"/>
      <c r="F200" s="2722"/>
      <c r="G200" s="2722"/>
      <c r="H200" s="2722"/>
      <c r="I200" s="2722"/>
      <c r="J200" s="2723"/>
    </row>
    <row r="201" spans="1:10" ht="39.6" customHeight="1">
      <c r="A201" s="1670"/>
      <c r="B201" s="2721" t="s">
        <v>380</v>
      </c>
      <c r="C201" s="2722"/>
      <c r="D201" s="2722"/>
      <c r="E201" s="2722"/>
      <c r="F201" s="2722"/>
      <c r="G201" s="2722"/>
      <c r="H201" s="2722"/>
      <c r="I201" s="2722"/>
      <c r="J201" s="2723"/>
    </row>
    <row r="202" spans="1:10">
      <c r="A202" s="1670"/>
      <c r="B202" s="2721"/>
      <c r="C202" s="2722"/>
      <c r="D202" s="2722"/>
      <c r="E202" s="2722"/>
      <c r="F202" s="2722"/>
      <c r="G202" s="2722"/>
      <c r="H202" s="2722"/>
      <c r="I202" s="2722"/>
      <c r="J202" s="2723"/>
    </row>
    <row r="203" spans="1:10" ht="27.75" customHeight="1">
      <c r="A203" s="1670"/>
      <c r="B203" s="2721" t="s">
        <v>382</v>
      </c>
      <c r="C203" s="2753"/>
      <c r="D203" s="2753"/>
      <c r="E203" s="2753"/>
      <c r="F203" s="2753"/>
      <c r="G203" s="2753"/>
      <c r="H203" s="2753"/>
      <c r="I203" s="2753"/>
      <c r="J203" s="2754"/>
    </row>
    <row r="204" spans="1:10" ht="37.5" customHeight="1">
      <c r="A204" s="1670"/>
      <c r="B204" s="2721" t="s">
        <v>383</v>
      </c>
      <c r="C204" s="2722"/>
      <c r="D204" s="2722"/>
      <c r="E204" s="2722"/>
      <c r="F204" s="2722"/>
      <c r="G204" s="2722"/>
      <c r="H204" s="2722"/>
      <c r="I204" s="2722"/>
      <c r="J204" s="2723"/>
    </row>
    <row r="205" spans="1:10" ht="34.5" customHeight="1">
      <c r="A205" s="1670"/>
      <c r="B205" s="2746" t="s">
        <v>384</v>
      </c>
      <c r="C205" s="2747"/>
      <c r="D205" s="2747"/>
      <c r="E205" s="2747"/>
      <c r="F205" s="2747"/>
      <c r="G205" s="2747"/>
      <c r="H205" s="2747"/>
      <c r="I205" s="2747"/>
      <c r="J205" s="2748"/>
    </row>
    <row r="206" spans="1:10" ht="27.75" hidden="1" customHeight="1">
      <c r="A206" s="1670"/>
      <c r="B206" s="1704"/>
      <c r="C206" s="1655"/>
      <c r="D206" s="1655"/>
      <c r="E206" s="1655"/>
      <c r="F206" s="1655"/>
      <c r="G206" s="1655"/>
      <c r="H206" s="1655"/>
      <c r="I206" s="1655"/>
      <c r="J206" s="1656"/>
    </row>
    <row r="207" spans="1:10" ht="15.75" hidden="1" customHeight="1">
      <c r="A207" s="1673"/>
      <c r="B207" s="1674"/>
      <c r="C207" s="1665"/>
      <c r="D207" s="1665"/>
      <c r="E207" s="1665"/>
      <c r="F207" s="1665"/>
      <c r="G207" s="1665"/>
      <c r="H207" s="1665"/>
      <c r="I207" s="1665"/>
      <c r="J207" s="1666"/>
    </row>
    <row r="208" spans="1:10" hidden="1">
      <c r="A208" s="2727"/>
      <c r="B208" s="2728"/>
      <c r="C208" s="1665"/>
      <c r="D208" s="1665"/>
      <c r="E208" s="1665"/>
      <c r="F208" s="1665"/>
      <c r="G208" s="1665"/>
      <c r="H208" s="1665"/>
      <c r="I208" s="1665"/>
      <c r="J208" s="1666"/>
    </row>
    <row r="209" spans="1:10" hidden="1">
      <c r="A209" s="2727" t="s">
        <v>316</v>
      </c>
      <c r="B209" s="2728"/>
      <c r="C209" s="1665"/>
      <c r="D209" s="1665"/>
      <c r="E209" s="1665"/>
      <c r="F209" s="1665"/>
      <c r="G209" s="1665"/>
      <c r="H209" s="1665"/>
      <c r="I209" s="1665"/>
      <c r="J209" s="1666"/>
    </row>
    <row r="210" spans="1:10" hidden="1">
      <c r="A210" s="1737"/>
      <c r="B210" s="1655"/>
      <c r="C210" s="1665"/>
      <c r="D210" s="1665"/>
      <c r="E210" s="1665"/>
      <c r="F210" s="1665"/>
      <c r="G210" s="1665"/>
      <c r="H210" s="1665"/>
      <c r="I210" s="1665"/>
      <c r="J210" s="1666"/>
    </row>
    <row r="211" spans="1:10" ht="81" hidden="1">
      <c r="A211" s="1737" t="s">
        <v>329</v>
      </c>
      <c r="B211" s="1655"/>
      <c r="C211" s="1665"/>
      <c r="D211" s="1665"/>
      <c r="E211" s="1665"/>
      <c r="F211" s="1665"/>
      <c r="G211" s="1665"/>
      <c r="H211" s="1665"/>
      <c r="I211" s="1665"/>
      <c r="J211" s="1666"/>
    </row>
    <row r="212" spans="1:10" hidden="1">
      <c r="A212" s="2409"/>
      <c r="B212" s="1655"/>
      <c r="C212" s="1665"/>
      <c r="D212" s="1665"/>
      <c r="E212" s="1665"/>
      <c r="F212" s="1665"/>
      <c r="G212" s="1665"/>
      <c r="H212" s="1665"/>
      <c r="I212" s="1665"/>
      <c r="J212" s="1666"/>
    </row>
    <row r="213" spans="1:10" ht="32.4" hidden="1">
      <c r="A213" s="1679" t="s">
        <v>309</v>
      </c>
      <c r="B213" s="1680" t="s">
        <v>1</v>
      </c>
      <c r="C213" s="1665"/>
      <c r="D213" s="1665"/>
      <c r="E213" s="1665"/>
      <c r="F213" s="1665"/>
      <c r="G213" s="1665"/>
      <c r="H213" s="1665"/>
      <c r="I213" s="1665"/>
      <c r="J213" s="1666"/>
    </row>
    <row r="214" spans="1:10" hidden="1">
      <c r="A214" s="1681"/>
      <c r="B214" s="1682"/>
      <c r="C214" s="1665"/>
      <c r="D214" s="1665"/>
      <c r="E214" s="1665"/>
      <c r="F214" s="1665"/>
      <c r="G214" s="1665"/>
      <c r="H214" s="1665"/>
      <c r="I214" s="1665"/>
      <c r="J214" s="1666"/>
    </row>
    <row r="215" spans="1:10" ht="97.2" hidden="1">
      <c r="A215" s="1670"/>
      <c r="B215" s="1697" t="s">
        <v>386</v>
      </c>
      <c r="C215" s="1665"/>
      <c r="D215" s="1665"/>
      <c r="E215" s="1665"/>
      <c r="F215" s="1665"/>
      <c r="G215" s="1665"/>
      <c r="H215" s="1665"/>
      <c r="I215" s="1665"/>
      <c r="J215" s="1666"/>
    </row>
    <row r="216" spans="1:10" ht="112.5" hidden="1" customHeight="1">
      <c r="A216" s="1670"/>
      <c r="B216" s="1656" t="s">
        <v>387</v>
      </c>
      <c r="C216" s="1665"/>
      <c r="D216" s="1665"/>
      <c r="E216" s="1665"/>
      <c r="F216" s="1665"/>
      <c r="G216" s="1665"/>
      <c r="H216" s="1665"/>
      <c r="I216" s="1665"/>
      <c r="J216" s="1666"/>
    </row>
    <row r="217" spans="1:10" ht="97.2" hidden="1">
      <c r="A217" s="1670"/>
      <c r="B217" s="1697" t="s">
        <v>389</v>
      </c>
      <c r="C217" s="1665"/>
      <c r="D217" s="1665"/>
      <c r="E217" s="1665"/>
      <c r="F217" s="1665"/>
      <c r="G217" s="1665"/>
      <c r="H217" s="1665"/>
      <c r="I217" s="1665"/>
      <c r="J217" s="1666"/>
    </row>
    <row r="218" spans="1:10" ht="69" hidden="1" customHeight="1">
      <c r="A218" s="1670"/>
      <c r="B218" s="1656" t="s">
        <v>390</v>
      </c>
      <c r="C218" s="1665"/>
      <c r="D218" s="1665"/>
      <c r="E218" s="1665"/>
      <c r="F218" s="1665"/>
      <c r="G218" s="1665"/>
      <c r="H218" s="1665"/>
      <c r="I218" s="1665"/>
      <c r="J218" s="1666"/>
    </row>
    <row r="219" spans="1:10" hidden="1">
      <c r="A219" s="1670"/>
      <c r="B219" s="1656"/>
      <c r="C219" s="1665"/>
      <c r="D219" s="1665"/>
      <c r="E219" s="1665"/>
      <c r="F219" s="1665"/>
      <c r="G219" s="1665"/>
      <c r="H219" s="1665"/>
      <c r="I219" s="1665"/>
      <c r="J219" s="1666"/>
    </row>
    <row r="220" spans="1:10" ht="97.2" hidden="1">
      <c r="A220" s="1698">
        <f>A198+0.01</f>
        <v>2.11</v>
      </c>
      <c r="B220" s="1696" t="s">
        <v>391</v>
      </c>
      <c r="C220" s="1665"/>
      <c r="D220" s="1665"/>
      <c r="E220" s="1665"/>
      <c r="F220" s="1665"/>
      <c r="G220" s="1665"/>
      <c r="H220" s="1665"/>
      <c r="I220" s="1665"/>
      <c r="J220" s="1666"/>
    </row>
    <row r="221" spans="1:10" hidden="1">
      <c r="A221" s="1670"/>
      <c r="B221" s="1696"/>
      <c r="C221" s="1665"/>
      <c r="D221" s="1665"/>
      <c r="E221" s="1665"/>
      <c r="F221" s="1665"/>
      <c r="G221" s="1665"/>
      <c r="H221" s="1665"/>
      <c r="I221" s="1665"/>
      <c r="J221" s="1666"/>
    </row>
    <row r="222" spans="1:10" ht="95.1" hidden="1" customHeight="1">
      <c r="A222" s="1670"/>
      <c r="B222" s="1656" t="s">
        <v>392</v>
      </c>
      <c r="C222" s="1665"/>
      <c r="D222" s="1665"/>
      <c r="E222" s="1665"/>
      <c r="F222" s="1665"/>
      <c r="G222" s="1665"/>
      <c r="H222" s="1665"/>
      <c r="I222" s="1665"/>
      <c r="J222" s="1666"/>
    </row>
    <row r="223" spans="1:10" ht="69" hidden="1" customHeight="1">
      <c r="A223" s="1670"/>
      <c r="B223" s="1656" t="s">
        <v>393</v>
      </c>
      <c r="C223" s="1665"/>
      <c r="D223" s="1665"/>
      <c r="E223" s="1665"/>
      <c r="F223" s="1665"/>
      <c r="G223" s="1665"/>
      <c r="H223" s="1665"/>
      <c r="I223" s="1665"/>
      <c r="J223" s="1666"/>
    </row>
    <row r="224" spans="1:10" hidden="1">
      <c r="A224" s="1670"/>
      <c r="B224" s="2721"/>
      <c r="C224" s="2722"/>
      <c r="D224" s="2722"/>
      <c r="E224" s="2722"/>
      <c r="F224" s="2722"/>
      <c r="G224" s="2722"/>
      <c r="H224" s="2722"/>
      <c r="I224" s="2722"/>
      <c r="J224" s="2723"/>
    </row>
    <row r="225" spans="1:10" ht="20.25" hidden="1" customHeight="1">
      <c r="A225" s="1706">
        <f>A198+0.01</f>
        <v>2.11</v>
      </c>
      <c r="B225" s="2740" t="s">
        <v>394</v>
      </c>
      <c r="C225" s="2741"/>
      <c r="D225" s="2741"/>
      <c r="E225" s="2741"/>
      <c r="F225" s="2741"/>
      <c r="G225" s="2741"/>
      <c r="H225" s="2741"/>
      <c r="I225" s="2741"/>
      <c r="J225" s="2742"/>
    </row>
    <row r="226" spans="1:10" ht="6.75" hidden="1" customHeight="1">
      <c r="A226" s="1707"/>
      <c r="B226" s="1708"/>
      <c r="C226" s="1655"/>
      <c r="D226" s="1655"/>
      <c r="E226" s="1655"/>
      <c r="F226" s="1655"/>
      <c r="G226" s="1655"/>
      <c r="H226" s="1655"/>
      <c r="I226" s="1655"/>
      <c r="J226" s="1656"/>
    </row>
    <row r="227" spans="1:10" ht="44.85" hidden="1" customHeight="1">
      <c r="A227" s="1707"/>
      <c r="B227" s="2743" t="s">
        <v>395</v>
      </c>
      <c r="C227" s="2905"/>
      <c r="D227" s="2905"/>
      <c r="E227" s="2905"/>
      <c r="F227" s="2905"/>
      <c r="G227" s="2905"/>
      <c r="H227" s="2905"/>
      <c r="I227" s="2905"/>
      <c r="J227" s="2906"/>
    </row>
    <row r="228" spans="1:10" hidden="1">
      <c r="A228" s="1670"/>
      <c r="B228" s="1704"/>
      <c r="C228" s="1655"/>
      <c r="D228" s="1655"/>
      <c r="E228" s="1655"/>
      <c r="F228" s="1655"/>
      <c r="G228" s="1655"/>
      <c r="H228" s="1655"/>
      <c r="I228" s="1655"/>
      <c r="J228" s="1656"/>
    </row>
    <row r="229" spans="1:10" hidden="1">
      <c r="A229" s="1670"/>
      <c r="B229" s="1704"/>
      <c r="C229" s="1655"/>
      <c r="D229" s="1655"/>
      <c r="E229" s="1655"/>
      <c r="F229" s="1655"/>
      <c r="G229" s="1655"/>
      <c r="H229" s="1655"/>
      <c r="I229" s="1655"/>
      <c r="J229" s="1656"/>
    </row>
    <row r="230" spans="1:10" hidden="1">
      <c r="A230" s="1670"/>
      <c r="B230" s="1704"/>
      <c r="C230" s="1655"/>
      <c r="D230" s="1655"/>
      <c r="E230" s="1655"/>
      <c r="F230" s="1655"/>
      <c r="G230" s="1655"/>
      <c r="H230" s="1655"/>
      <c r="I230" s="1655"/>
      <c r="J230" s="1656"/>
    </row>
    <row r="231" spans="1:10" hidden="1">
      <c r="A231" s="1698">
        <f>A225+0.01</f>
        <v>2.1199999999999997</v>
      </c>
      <c r="B231" s="2731" t="s">
        <v>396</v>
      </c>
      <c r="C231" s="2732"/>
      <c r="D231" s="2732"/>
      <c r="E231" s="2732"/>
      <c r="F231" s="2732"/>
      <c r="G231" s="2732"/>
      <c r="H231" s="2732"/>
      <c r="I231" s="2732"/>
      <c r="J231" s="2733"/>
    </row>
    <row r="232" spans="1:10" hidden="1">
      <c r="A232" s="1670"/>
      <c r="B232" s="2721"/>
      <c r="C232" s="2722"/>
      <c r="D232" s="2722"/>
      <c r="E232" s="2722"/>
      <c r="F232" s="2722"/>
      <c r="G232" s="2722"/>
      <c r="H232" s="2722"/>
      <c r="I232" s="2722"/>
      <c r="J232" s="2723"/>
    </row>
    <row r="233" spans="1:10" ht="99.75" hidden="1" customHeight="1">
      <c r="A233" s="1670"/>
      <c r="B233" s="2721" t="s">
        <v>398</v>
      </c>
      <c r="C233" s="2722"/>
      <c r="D233" s="2722"/>
      <c r="E233" s="2722"/>
      <c r="F233" s="2722"/>
      <c r="G233" s="2722"/>
      <c r="H233" s="2722"/>
      <c r="I233" s="2722"/>
      <c r="J233" s="2723"/>
    </row>
    <row r="234" spans="1:10" hidden="1">
      <c r="A234" s="1670"/>
      <c r="B234" s="2721"/>
      <c r="C234" s="2722"/>
      <c r="D234" s="2722"/>
      <c r="E234" s="2722"/>
      <c r="F234" s="2722"/>
      <c r="G234" s="2722"/>
      <c r="H234" s="2722"/>
      <c r="I234" s="2722"/>
      <c r="J234" s="2723"/>
    </row>
    <row r="235" spans="1:10" hidden="1">
      <c r="A235" s="1698">
        <f>A231+0.01</f>
        <v>2.1299999999999994</v>
      </c>
      <c r="B235" s="2731" t="s">
        <v>399</v>
      </c>
      <c r="C235" s="2732"/>
      <c r="D235" s="2732"/>
      <c r="E235" s="2732"/>
      <c r="F235" s="2732"/>
      <c r="G235" s="2732"/>
      <c r="H235" s="2732"/>
      <c r="I235" s="2732"/>
      <c r="J235" s="2733"/>
    </row>
    <row r="236" spans="1:10" hidden="1">
      <c r="A236" s="1698"/>
      <c r="B236" s="2721"/>
      <c r="C236" s="2722"/>
      <c r="D236" s="2722"/>
      <c r="E236" s="2722"/>
      <c r="F236" s="2722"/>
      <c r="G236" s="2722"/>
      <c r="H236" s="2722"/>
      <c r="I236" s="2722"/>
      <c r="J236" s="2723"/>
    </row>
    <row r="237" spans="1:10" ht="30.75" hidden="1" customHeight="1">
      <c r="A237" s="1698"/>
      <c r="B237" s="2721" t="s">
        <v>400</v>
      </c>
      <c r="C237" s="2722"/>
      <c r="D237" s="2722"/>
      <c r="E237" s="2722"/>
      <c r="F237" s="2722"/>
      <c r="G237" s="2722"/>
      <c r="H237" s="2722"/>
      <c r="I237" s="2722"/>
      <c r="J237" s="2723"/>
    </row>
    <row r="238" spans="1:10" ht="409.6" hidden="1" thickBot="1">
      <c r="A238" s="1673"/>
      <c r="B238" s="1674" t="s">
        <v>402</v>
      </c>
      <c r="C238" s="1665"/>
      <c r="D238" s="1665"/>
      <c r="E238" s="1665"/>
      <c r="F238" s="1665"/>
      <c r="G238" s="1665"/>
      <c r="H238" s="1665"/>
      <c r="I238" s="1665"/>
      <c r="J238" s="1666"/>
    </row>
    <row r="239" spans="1:10" hidden="1">
      <c r="A239" s="1740"/>
      <c r="B239" s="1655"/>
      <c r="C239" s="1665"/>
      <c r="D239" s="1665"/>
      <c r="E239" s="1665"/>
      <c r="F239" s="1665"/>
      <c r="G239" s="1665"/>
      <c r="H239" s="1665"/>
      <c r="I239" s="1665"/>
      <c r="J239" s="1666"/>
    </row>
    <row r="240" spans="1:10" hidden="1">
      <c r="A240" s="2727"/>
      <c r="B240" s="2728"/>
      <c r="C240" s="1665"/>
      <c r="D240" s="1665"/>
      <c r="E240" s="1665"/>
      <c r="F240" s="1665"/>
      <c r="G240" s="1665"/>
      <c r="H240" s="1665"/>
      <c r="I240" s="1665"/>
      <c r="J240" s="1666"/>
    </row>
    <row r="241" spans="1:10" hidden="1">
      <c r="A241" s="2727"/>
      <c r="B241" s="2728"/>
      <c r="C241" s="1665"/>
      <c r="D241" s="1665"/>
      <c r="E241" s="1665"/>
      <c r="F241" s="1665"/>
      <c r="G241" s="1665"/>
      <c r="H241" s="1665"/>
      <c r="I241" s="1665"/>
      <c r="J241" s="1666"/>
    </row>
    <row r="242" spans="1:10" hidden="1">
      <c r="A242" s="2727" t="s">
        <v>316</v>
      </c>
      <c r="B242" s="2728"/>
      <c r="C242" s="1665"/>
      <c r="D242" s="1665"/>
      <c r="E242" s="1665"/>
      <c r="F242" s="1665"/>
      <c r="G242" s="1665"/>
      <c r="H242" s="1665"/>
      <c r="I242" s="1665"/>
      <c r="J242" s="1666"/>
    </row>
    <row r="243" spans="1:10" hidden="1">
      <c r="A243" s="1737"/>
      <c r="B243" s="1655"/>
      <c r="C243" s="1665"/>
      <c r="D243" s="1665"/>
      <c r="E243" s="1665"/>
      <c r="F243" s="1665"/>
      <c r="G243" s="1665"/>
      <c r="H243" s="1665"/>
      <c r="I243" s="1665"/>
      <c r="J243" s="1666"/>
    </row>
    <row r="244" spans="1:10" ht="81" hidden="1">
      <c r="A244" s="1737" t="s">
        <v>329</v>
      </c>
      <c r="B244" s="1655"/>
      <c r="C244" s="1665"/>
      <c r="D244" s="1665"/>
      <c r="E244" s="1665"/>
      <c r="F244" s="1665"/>
      <c r="G244" s="1665"/>
      <c r="H244" s="1665"/>
      <c r="I244" s="1665"/>
      <c r="J244" s="1666"/>
    </row>
    <row r="245" spans="1:10" hidden="1">
      <c r="A245" s="2409"/>
      <c r="B245" s="1655"/>
      <c r="C245" s="1665"/>
      <c r="D245" s="1665"/>
      <c r="E245" s="1665"/>
      <c r="F245" s="1665"/>
      <c r="G245" s="1665"/>
      <c r="H245" s="1665"/>
      <c r="I245" s="1665"/>
      <c r="J245" s="1666"/>
    </row>
    <row r="246" spans="1:10" ht="32.4" hidden="1">
      <c r="A246" s="1679" t="s">
        <v>309</v>
      </c>
      <c r="B246" s="1680" t="s">
        <v>1</v>
      </c>
      <c r="C246" s="1665"/>
      <c r="D246" s="1665"/>
      <c r="E246" s="1665"/>
      <c r="F246" s="1665"/>
      <c r="G246" s="1665"/>
      <c r="H246" s="1665"/>
      <c r="I246" s="1665"/>
      <c r="J246" s="1666"/>
    </row>
    <row r="247" spans="1:10" hidden="1">
      <c r="A247" s="1681"/>
      <c r="B247" s="1682"/>
      <c r="C247" s="1665"/>
      <c r="D247" s="1665"/>
      <c r="E247" s="1665"/>
      <c r="F247" s="1665"/>
      <c r="G247" s="1665"/>
      <c r="H247" s="1665"/>
      <c r="I247" s="1665"/>
      <c r="J247" s="1666"/>
    </row>
    <row r="248" spans="1:10" ht="138.6" hidden="1" customHeight="1">
      <c r="A248" s="1670"/>
      <c r="B248" s="1656" t="s">
        <v>403</v>
      </c>
      <c r="C248" s="1665"/>
      <c r="D248" s="1665"/>
      <c r="E248" s="1665"/>
      <c r="F248" s="1665"/>
      <c r="G248" s="1665"/>
      <c r="H248" s="1665"/>
      <c r="I248" s="1665"/>
      <c r="J248" s="1666"/>
    </row>
    <row r="249" spans="1:10" hidden="1">
      <c r="A249" s="1670"/>
      <c r="B249" s="1656"/>
      <c r="C249" s="1665"/>
      <c r="D249" s="1665"/>
      <c r="E249" s="1665"/>
      <c r="F249" s="1665"/>
      <c r="G249" s="1665"/>
      <c r="H249" s="1665"/>
      <c r="I249" s="1665"/>
      <c r="J249" s="1666"/>
    </row>
    <row r="250" spans="1:10" hidden="1">
      <c r="A250" s="1698">
        <v>2.1800000000000002</v>
      </c>
      <c r="B250" s="1696" t="s">
        <v>404</v>
      </c>
      <c r="C250" s="1665"/>
      <c r="D250" s="1665"/>
      <c r="E250" s="1665"/>
      <c r="F250" s="1665"/>
      <c r="G250" s="1665"/>
      <c r="H250" s="1665"/>
      <c r="I250" s="1665"/>
      <c r="J250" s="1666"/>
    </row>
    <row r="251" spans="1:10" hidden="1">
      <c r="A251" s="1670"/>
      <c r="B251" s="1696"/>
      <c r="C251" s="1665"/>
      <c r="D251" s="1665"/>
      <c r="E251" s="1665"/>
      <c r="F251" s="1665"/>
      <c r="G251" s="1665"/>
      <c r="H251" s="1665"/>
      <c r="I251" s="1665"/>
      <c r="J251" s="1666"/>
    </row>
    <row r="252" spans="1:10" ht="187.35" hidden="1" customHeight="1">
      <c r="A252" s="1670"/>
      <c r="B252" s="1656" t="s">
        <v>406</v>
      </c>
      <c r="C252" s="1665"/>
      <c r="D252" s="1665"/>
      <c r="E252" s="1665"/>
      <c r="F252" s="1665"/>
      <c r="G252" s="1665"/>
      <c r="H252" s="1665"/>
      <c r="I252" s="1665"/>
      <c r="J252" s="1666"/>
    </row>
    <row r="253" spans="1:10" ht="14.25" customHeight="1" thickBot="1">
      <c r="A253" s="1673"/>
      <c r="B253" s="2342"/>
      <c r="C253" s="2418"/>
      <c r="D253" s="2418"/>
      <c r="E253" s="2418"/>
      <c r="F253" s="2418"/>
      <c r="G253" s="2418"/>
      <c r="H253" s="2418"/>
      <c r="I253" s="2418"/>
      <c r="J253" s="2419"/>
    </row>
    <row r="254" spans="1:10" s="1695" customFormat="1">
      <c r="A254" s="2420">
        <f>A198+0.01</f>
        <v>2.11</v>
      </c>
      <c r="B254" s="2778" t="s">
        <v>3</v>
      </c>
      <c r="C254" s="2779"/>
      <c r="D254" s="2779"/>
      <c r="E254" s="2779"/>
      <c r="F254" s="2779"/>
      <c r="G254" s="2779"/>
      <c r="H254" s="2779"/>
      <c r="I254" s="2779"/>
      <c r="J254" s="2780"/>
    </row>
    <row r="255" spans="1:10" s="1695" customFormat="1">
      <c r="A255" s="1670"/>
      <c r="B255" s="2721"/>
      <c r="C255" s="2722"/>
      <c r="D255" s="2722"/>
      <c r="E255" s="2722"/>
      <c r="F255" s="2722"/>
      <c r="G255" s="2722"/>
      <c r="H255" s="2722"/>
      <c r="I255" s="2722"/>
      <c r="J255" s="2723"/>
    </row>
    <row r="256" spans="1:10" ht="215.85" customHeight="1" thickBot="1">
      <c r="A256" s="1670"/>
      <c r="B256" s="2721" t="s">
        <v>408</v>
      </c>
      <c r="C256" s="2722"/>
      <c r="D256" s="2722"/>
      <c r="E256" s="2722"/>
      <c r="F256" s="2722"/>
      <c r="G256" s="2722"/>
      <c r="H256" s="2722"/>
      <c r="I256" s="2722"/>
      <c r="J256" s="2723"/>
    </row>
    <row r="257" spans="1:10" hidden="1">
      <c r="A257" s="2734"/>
      <c r="B257" s="2732"/>
      <c r="C257" s="2732"/>
      <c r="D257" s="2732"/>
      <c r="E257" s="2732"/>
      <c r="F257" s="2732"/>
      <c r="G257" s="2732"/>
      <c r="H257" s="2732"/>
      <c r="I257" s="2731"/>
      <c r="J257" s="2733"/>
    </row>
    <row r="258" spans="1:10" hidden="1">
      <c r="A258" s="2734"/>
      <c r="B258" s="2732"/>
      <c r="C258" s="2732"/>
      <c r="D258" s="2732"/>
      <c r="E258" s="2732"/>
      <c r="F258" s="2732"/>
      <c r="G258" s="2732"/>
      <c r="H258" s="2732"/>
      <c r="I258" s="2731"/>
      <c r="J258" s="2733"/>
    </row>
    <row r="259" spans="1:10" hidden="1">
      <c r="A259" s="2734" t="s">
        <v>316</v>
      </c>
      <c r="B259" s="2732"/>
      <c r="C259" s="2732"/>
      <c r="D259" s="2732"/>
      <c r="E259" s="2732"/>
      <c r="F259" s="2732"/>
      <c r="G259" s="2732"/>
      <c r="H259" s="2732"/>
      <c r="I259" s="2731"/>
      <c r="J259" s="2733"/>
    </row>
    <row r="260" spans="1:10" hidden="1">
      <c r="A260" s="2734" t="s">
        <v>329</v>
      </c>
      <c r="B260" s="2732"/>
      <c r="C260" s="2732"/>
      <c r="D260" s="2732"/>
      <c r="E260" s="2732"/>
      <c r="F260" s="2732"/>
      <c r="G260" s="2732"/>
      <c r="H260" s="2732"/>
      <c r="I260" s="2731"/>
      <c r="J260" s="2733"/>
    </row>
    <row r="261" spans="1:10" hidden="1">
      <c r="A261" s="2734"/>
      <c r="B261" s="2732"/>
      <c r="C261" s="2732"/>
      <c r="D261" s="2732"/>
      <c r="E261" s="2732"/>
      <c r="F261" s="2732"/>
      <c r="G261" s="2732"/>
      <c r="H261" s="2732"/>
      <c r="I261" s="2731"/>
      <c r="J261" s="2733"/>
    </row>
    <row r="262" spans="1:10" ht="32.4" hidden="1">
      <c r="A262" s="1679" t="s">
        <v>309</v>
      </c>
      <c r="B262" s="1680" t="s">
        <v>1</v>
      </c>
      <c r="C262" s="1665"/>
      <c r="D262" s="1665"/>
      <c r="E262" s="1665"/>
      <c r="F262" s="1665"/>
      <c r="G262" s="1665"/>
      <c r="H262" s="1665"/>
      <c r="I262" s="1665"/>
      <c r="J262" s="1666"/>
    </row>
    <row r="263" spans="1:10" hidden="1">
      <c r="A263" s="1683"/>
      <c r="B263" s="1656"/>
      <c r="C263" s="1665"/>
      <c r="D263" s="1665"/>
      <c r="E263" s="1665"/>
      <c r="F263" s="1665"/>
      <c r="G263" s="1665"/>
      <c r="H263" s="1665"/>
      <c r="I263" s="1665"/>
      <c r="J263" s="1666"/>
    </row>
    <row r="264" spans="1:10" customFormat="1" ht="14.4">
      <c r="A264" s="2460"/>
      <c r="B264" s="2319"/>
      <c r="C264" s="2319"/>
      <c r="D264" s="2319"/>
      <c r="E264" s="2319"/>
      <c r="F264" s="2319"/>
      <c r="G264" s="2319"/>
      <c r="H264" s="2319"/>
      <c r="I264" s="2319"/>
      <c r="J264" s="1620"/>
    </row>
    <row r="265" spans="1:10" ht="12.75" customHeight="1">
      <c r="A265" s="1683"/>
      <c r="B265" s="1655"/>
      <c r="C265" s="1665"/>
      <c r="D265" s="1665"/>
      <c r="E265" s="1665"/>
      <c r="F265" s="1665"/>
      <c r="G265" s="1665"/>
      <c r="H265" s="1665"/>
      <c r="I265" s="1665"/>
      <c r="J265" s="1666"/>
    </row>
    <row r="266" spans="1:10">
      <c r="A266" s="1715">
        <f>A254+0.01</f>
        <v>2.1199999999999997</v>
      </c>
      <c r="B266" s="2732" t="s">
        <v>409</v>
      </c>
      <c r="C266" s="2732"/>
      <c r="D266" s="2732"/>
      <c r="E266" s="2732"/>
      <c r="F266" s="2732"/>
      <c r="G266" s="2732"/>
      <c r="H266" s="2732"/>
      <c r="I266" s="2732"/>
      <c r="J266" s="2733"/>
    </row>
    <row r="267" spans="1:10" s="1695" customFormat="1">
      <c r="A267" s="1715"/>
      <c r="B267" s="2722"/>
      <c r="C267" s="2722"/>
      <c r="D267" s="2722"/>
      <c r="E267" s="1716"/>
      <c r="F267" s="1716"/>
      <c r="G267" s="1716"/>
      <c r="H267" s="1716"/>
      <c r="I267" s="1716"/>
      <c r="J267" s="1717"/>
    </row>
    <row r="268" spans="1:10" ht="38.1" customHeight="1">
      <c r="A268" s="1670"/>
      <c r="B268" s="2721" t="s">
        <v>3186</v>
      </c>
      <c r="C268" s="2722"/>
      <c r="D268" s="2722"/>
      <c r="E268" s="2722"/>
      <c r="F268" s="2722"/>
      <c r="G268" s="2722"/>
      <c r="H268" s="2722"/>
      <c r="I268" s="2722"/>
      <c r="J268" s="2723"/>
    </row>
    <row r="269" spans="1:10" ht="207.75" customHeight="1">
      <c r="A269" s="1670"/>
      <c r="B269" s="2721" t="s">
        <v>412</v>
      </c>
      <c r="C269" s="2722"/>
      <c r="D269" s="2722"/>
      <c r="E269" s="2722"/>
      <c r="F269" s="2722"/>
      <c r="G269" s="2722"/>
      <c r="H269" s="2722"/>
      <c r="I269" s="2722"/>
      <c r="J269" s="2723"/>
    </row>
    <row r="270" spans="1:10" ht="153" hidden="1" customHeight="1">
      <c r="A270" s="1670"/>
      <c r="B270" s="2721" t="s">
        <v>412</v>
      </c>
      <c r="C270" s="2722"/>
      <c r="D270" s="2722"/>
      <c r="E270" s="2722"/>
      <c r="F270" s="2722"/>
      <c r="G270" s="2722"/>
      <c r="H270" s="2722"/>
      <c r="I270" s="2722"/>
      <c r="J270" s="2723"/>
    </row>
    <row r="271" spans="1:10" ht="35.85" customHeight="1">
      <c r="A271" s="1670"/>
      <c r="B271" s="2735" t="s">
        <v>413</v>
      </c>
      <c r="C271" s="2736"/>
      <c r="D271" s="2736"/>
      <c r="E271" s="2736"/>
      <c r="F271" s="2736"/>
      <c r="G271" s="2736"/>
      <c r="H271" s="2736"/>
      <c r="I271" s="2736"/>
      <c r="J271" s="2737"/>
    </row>
    <row r="272" spans="1:10">
      <c r="A272" s="1670"/>
      <c r="B272" s="2721"/>
      <c r="C272" s="2722"/>
      <c r="D272" s="2722"/>
      <c r="E272" s="2722"/>
      <c r="F272" s="2722"/>
      <c r="G272" s="2722"/>
      <c r="H272" s="2722"/>
      <c r="I272" s="2722"/>
      <c r="J272" s="2723"/>
    </row>
    <row r="273" spans="1:10" s="1695" customFormat="1" ht="97.2" hidden="1">
      <c r="A273" s="1698">
        <v>2.21</v>
      </c>
      <c r="B273" s="1696" t="s">
        <v>414</v>
      </c>
      <c r="C273" s="1716"/>
      <c r="D273" s="1716"/>
      <c r="E273" s="1716"/>
      <c r="F273" s="1716"/>
      <c r="G273" s="1716"/>
      <c r="H273" s="1716"/>
      <c r="I273" s="1716"/>
      <c r="J273" s="1717"/>
    </row>
    <row r="274" spans="1:10" s="1695" customFormat="1" hidden="1">
      <c r="A274" s="1670"/>
      <c r="B274" s="1696"/>
      <c r="C274" s="1716"/>
      <c r="D274" s="1716"/>
      <c r="E274" s="1716"/>
      <c r="F274" s="1716"/>
      <c r="G274" s="1716"/>
      <c r="H274" s="1716"/>
      <c r="I274" s="1716"/>
      <c r="J274" s="1717"/>
    </row>
    <row r="275" spans="1:10" ht="95.1" hidden="1" customHeight="1">
      <c r="A275" s="1670"/>
      <c r="B275" s="1656" t="s">
        <v>416</v>
      </c>
      <c r="C275" s="1665"/>
      <c r="D275" s="1665"/>
      <c r="E275" s="1665"/>
      <c r="F275" s="1665"/>
      <c r="G275" s="1665"/>
      <c r="H275" s="1665"/>
      <c r="I275" s="1665"/>
      <c r="J275" s="1666"/>
    </row>
    <row r="276" spans="1:10" hidden="1">
      <c r="A276" s="1670"/>
      <c r="B276" s="1656"/>
      <c r="C276" s="1665"/>
      <c r="D276" s="1665"/>
      <c r="E276" s="1665"/>
      <c r="F276" s="1665"/>
      <c r="G276" s="1665"/>
      <c r="H276" s="1665"/>
      <c r="I276" s="1665"/>
      <c r="J276" s="1666"/>
    </row>
    <row r="277" spans="1:10" s="1695" customFormat="1" ht="81" hidden="1">
      <c r="A277" s="1698">
        <v>2.2200000000000002</v>
      </c>
      <c r="B277" s="1696" t="s">
        <v>417</v>
      </c>
      <c r="C277" s="1716"/>
      <c r="D277" s="1716"/>
      <c r="E277" s="1716"/>
      <c r="F277" s="1716"/>
      <c r="G277" s="1716"/>
      <c r="H277" s="1716"/>
      <c r="I277" s="1716"/>
      <c r="J277" s="1717"/>
    </row>
    <row r="278" spans="1:10" s="1695" customFormat="1" hidden="1">
      <c r="A278" s="1670"/>
      <c r="B278" s="1696"/>
      <c r="C278" s="1716"/>
      <c r="D278" s="1716"/>
      <c r="E278" s="1716"/>
      <c r="F278" s="1716"/>
      <c r="G278" s="1716"/>
      <c r="H278" s="1716"/>
      <c r="I278" s="1716"/>
      <c r="J278" s="1717"/>
    </row>
    <row r="279" spans="1:10" ht="59.85" hidden="1" customHeight="1">
      <c r="A279" s="1670"/>
      <c r="B279" s="1656" t="s">
        <v>419</v>
      </c>
      <c r="C279" s="1665"/>
      <c r="D279" s="1665"/>
      <c r="E279" s="1665"/>
      <c r="F279" s="1665"/>
      <c r="G279" s="1665"/>
      <c r="H279" s="1665"/>
      <c r="I279" s="1665"/>
      <c r="J279" s="1666"/>
    </row>
    <row r="280" spans="1:10" ht="16.8" hidden="1" thickBot="1">
      <c r="A280" s="1673"/>
      <c r="B280" s="1674"/>
      <c r="C280" s="1665"/>
      <c r="D280" s="1665"/>
      <c r="E280" s="1665"/>
      <c r="F280" s="1665"/>
      <c r="G280" s="1665"/>
      <c r="H280" s="1665"/>
      <c r="I280" s="1665"/>
      <c r="J280" s="1666"/>
    </row>
    <row r="281" spans="1:10" hidden="1">
      <c r="A281" s="1740"/>
      <c r="B281" s="1655"/>
      <c r="C281" s="1665"/>
      <c r="D281" s="1665"/>
      <c r="E281" s="1665"/>
      <c r="F281" s="1665"/>
      <c r="G281" s="1665"/>
      <c r="H281" s="1665"/>
      <c r="I281" s="1665"/>
      <c r="J281" s="1666"/>
    </row>
    <row r="282" spans="1:10" hidden="1">
      <c r="A282" s="2727"/>
      <c r="B282" s="2728"/>
      <c r="C282" s="1665"/>
      <c r="D282" s="1665"/>
      <c r="E282" s="1665"/>
      <c r="F282" s="1665"/>
      <c r="G282" s="1665"/>
      <c r="H282" s="1665"/>
      <c r="I282" s="1665"/>
      <c r="J282" s="1666"/>
    </row>
    <row r="283" spans="1:10" hidden="1">
      <c r="A283" s="2727"/>
      <c r="B283" s="2728"/>
      <c r="C283" s="1665"/>
      <c r="D283" s="1665"/>
      <c r="E283" s="1665"/>
      <c r="F283" s="1665"/>
      <c r="G283" s="1665"/>
      <c r="H283" s="1665"/>
      <c r="I283" s="1665"/>
      <c r="J283" s="1666"/>
    </row>
    <row r="284" spans="1:10" hidden="1">
      <c r="A284" s="2727" t="s">
        <v>316</v>
      </c>
      <c r="B284" s="2728"/>
      <c r="C284" s="1665"/>
      <c r="D284" s="1665"/>
      <c r="E284" s="1665"/>
      <c r="F284" s="1665"/>
      <c r="G284" s="1665"/>
      <c r="H284" s="1665"/>
      <c r="I284" s="1665"/>
      <c r="J284" s="1666"/>
    </row>
    <row r="285" spans="1:10" hidden="1">
      <c r="A285" s="1737"/>
      <c r="B285" s="1655"/>
      <c r="C285" s="1665"/>
      <c r="D285" s="1665"/>
      <c r="E285" s="1665"/>
      <c r="F285" s="1665"/>
      <c r="G285" s="1665"/>
      <c r="H285" s="1665"/>
      <c r="I285" s="1665"/>
      <c r="J285" s="1666"/>
    </row>
    <row r="286" spans="1:10" ht="81" hidden="1">
      <c r="A286" s="1737" t="s">
        <v>329</v>
      </c>
      <c r="B286" s="1655"/>
      <c r="C286" s="1665"/>
      <c r="D286" s="1665"/>
      <c r="E286" s="1665"/>
      <c r="F286" s="1665"/>
      <c r="G286" s="1665"/>
      <c r="H286" s="1665"/>
      <c r="I286" s="1665"/>
      <c r="J286" s="1666"/>
    </row>
    <row r="287" spans="1:10" hidden="1">
      <c r="A287" s="2409"/>
      <c r="B287" s="1655"/>
      <c r="C287" s="1665"/>
      <c r="D287" s="1665"/>
      <c r="E287" s="1665"/>
      <c r="F287" s="1665"/>
      <c r="G287" s="1665"/>
      <c r="H287" s="1665"/>
      <c r="I287" s="1665"/>
      <c r="J287" s="1666"/>
    </row>
    <row r="288" spans="1:10" ht="32.4" hidden="1">
      <c r="A288" s="1679" t="s">
        <v>309</v>
      </c>
      <c r="B288" s="1680" t="s">
        <v>1</v>
      </c>
      <c r="C288" s="1665"/>
      <c r="D288" s="1665"/>
      <c r="E288" s="1665"/>
      <c r="F288" s="1665"/>
      <c r="G288" s="1665"/>
      <c r="H288" s="1665"/>
      <c r="I288" s="1665"/>
      <c r="J288" s="1666"/>
    </row>
    <row r="289" spans="1:14" hidden="1">
      <c r="A289" s="1681"/>
      <c r="B289" s="1682"/>
      <c r="C289" s="1665"/>
      <c r="D289" s="1665"/>
      <c r="E289" s="1665"/>
      <c r="F289" s="1665"/>
      <c r="G289" s="1665"/>
      <c r="H289" s="1665"/>
      <c r="I289" s="1665"/>
      <c r="J289" s="1666"/>
    </row>
    <row r="290" spans="1:14" s="1695" customFormat="1" ht="64.8" hidden="1">
      <c r="A290" s="1698">
        <v>2.23</v>
      </c>
      <c r="B290" s="1696" t="s">
        <v>420</v>
      </c>
      <c r="C290" s="1716"/>
      <c r="D290" s="1716"/>
      <c r="E290" s="1716"/>
      <c r="F290" s="1716"/>
      <c r="G290" s="1716"/>
      <c r="H290" s="1716"/>
      <c r="I290" s="1716"/>
      <c r="J290" s="1717"/>
    </row>
    <row r="291" spans="1:14" s="1695" customFormat="1" hidden="1">
      <c r="A291" s="1670"/>
      <c r="B291" s="1696"/>
      <c r="C291" s="1716"/>
      <c r="D291" s="1716"/>
      <c r="E291" s="1716"/>
      <c r="F291" s="1716"/>
      <c r="G291" s="1716"/>
      <c r="H291" s="1716"/>
      <c r="I291" s="1716"/>
      <c r="J291" s="1717"/>
    </row>
    <row r="292" spans="1:14" ht="108" hidden="1" customHeight="1">
      <c r="A292" s="1670"/>
      <c r="B292" s="1656" t="s">
        <v>422</v>
      </c>
      <c r="C292" s="1665"/>
      <c r="D292" s="1665"/>
      <c r="E292" s="1665"/>
      <c r="F292" s="1665"/>
      <c r="G292" s="1665"/>
      <c r="H292" s="1665"/>
      <c r="I292" s="1665"/>
      <c r="J292" s="1666"/>
    </row>
    <row r="293" spans="1:14" hidden="1">
      <c r="A293" s="1670"/>
      <c r="B293" s="1656"/>
      <c r="C293" s="1665"/>
      <c r="D293" s="1665"/>
      <c r="E293" s="1665"/>
      <c r="F293" s="1665"/>
      <c r="G293" s="1665"/>
      <c r="H293" s="1665"/>
      <c r="I293" s="1665"/>
      <c r="J293" s="1666"/>
    </row>
    <row r="294" spans="1:14" s="1695" customFormat="1">
      <c r="A294" s="1698">
        <f>A266+0.01</f>
        <v>2.1299999999999994</v>
      </c>
      <c r="B294" s="2732" t="s">
        <v>423</v>
      </c>
      <c r="C294" s="2732"/>
      <c r="D294" s="2732"/>
      <c r="E294" s="2732"/>
      <c r="F294" s="2732"/>
      <c r="G294" s="2732"/>
      <c r="H294" s="2732"/>
      <c r="I294" s="2732"/>
      <c r="J294" s="2733"/>
      <c r="N294" s="1695">
        <v>509236</v>
      </c>
    </row>
    <row r="295" spans="1:14" s="1695" customFormat="1">
      <c r="A295" s="1670"/>
      <c r="B295" s="2722"/>
      <c r="C295" s="2722"/>
      <c r="D295" s="2722"/>
      <c r="E295" s="2722"/>
      <c r="F295" s="2722"/>
      <c r="G295" s="2722"/>
      <c r="H295" s="2722"/>
      <c r="I295" s="2722"/>
      <c r="J295" s="2723"/>
      <c r="N295" s="1695">
        <v>130000</v>
      </c>
    </row>
    <row r="296" spans="1:14" ht="56.85" customHeight="1">
      <c r="A296" s="1670"/>
      <c r="B296" s="2722" t="s">
        <v>425</v>
      </c>
      <c r="C296" s="2722"/>
      <c r="D296" s="2722"/>
      <c r="E296" s="2722"/>
      <c r="F296" s="2722"/>
      <c r="G296" s="2722"/>
      <c r="H296" s="2722"/>
      <c r="I296" s="2722"/>
      <c r="J296" s="2723"/>
      <c r="N296" s="1290">
        <f>N294-N295</f>
        <v>379236</v>
      </c>
    </row>
    <row r="297" spans="1:14" ht="18.600000000000001" customHeight="1">
      <c r="A297" s="1670"/>
      <c r="B297" s="1655"/>
      <c r="C297" s="1655"/>
      <c r="D297" s="1655"/>
      <c r="E297" s="1655"/>
      <c r="F297" s="1655"/>
      <c r="G297" s="1655"/>
      <c r="H297" s="1655"/>
      <c r="I297" s="1655"/>
      <c r="J297" s="1656"/>
    </row>
    <row r="298" spans="1:14">
      <c r="A298" s="1670"/>
      <c r="B298" s="2722" t="s">
        <v>3187</v>
      </c>
      <c r="C298" s="2722"/>
      <c r="D298" s="2722"/>
      <c r="E298" s="2722"/>
      <c r="F298" s="2722"/>
      <c r="G298" s="2722"/>
      <c r="H298" s="2722"/>
      <c r="I298" s="2722"/>
      <c r="J298" s="2723"/>
    </row>
    <row r="299" spans="1:14" s="1695" customFormat="1" ht="64.8" hidden="1">
      <c r="A299" s="2410">
        <v>2.25</v>
      </c>
      <c r="B299" s="2483" t="s">
        <v>313</v>
      </c>
      <c r="C299" s="1716"/>
      <c r="D299" s="1716"/>
      <c r="E299" s="1716"/>
      <c r="F299" s="1716"/>
      <c r="G299" s="1716"/>
      <c r="H299" s="1716"/>
      <c r="I299" s="1716"/>
      <c r="J299" s="1717"/>
    </row>
    <row r="300" spans="1:14" s="1695" customFormat="1" hidden="1">
      <c r="A300" s="1740"/>
      <c r="B300" s="2483"/>
      <c r="C300" s="1716"/>
      <c r="D300" s="1716"/>
      <c r="E300" s="1716"/>
      <c r="F300" s="1716"/>
      <c r="G300" s="1716"/>
      <c r="H300" s="1716"/>
      <c r="I300" s="1716"/>
      <c r="J300" s="1717"/>
    </row>
    <row r="301" spans="1:14" ht="70.349999999999994" hidden="1" customHeight="1">
      <c r="A301" s="1740"/>
      <c r="B301" s="1655" t="s">
        <v>427</v>
      </c>
      <c r="C301" s="1665"/>
      <c r="D301" s="1665"/>
      <c r="E301" s="1665"/>
      <c r="F301" s="1665"/>
      <c r="G301" s="1665"/>
      <c r="H301" s="1665"/>
      <c r="I301" s="1665"/>
      <c r="J301" s="1666"/>
    </row>
    <row r="302" spans="1:14" ht="409.6" hidden="1">
      <c r="A302" s="1740"/>
      <c r="B302" s="1655" t="s">
        <v>428</v>
      </c>
      <c r="C302" s="1665"/>
      <c r="D302" s="1665"/>
      <c r="E302" s="1665"/>
      <c r="F302" s="1665"/>
      <c r="G302" s="1665"/>
      <c r="H302" s="1665"/>
      <c r="I302" s="1665"/>
      <c r="J302" s="1666"/>
    </row>
    <row r="303" spans="1:14" hidden="1">
      <c r="A303" s="1740"/>
      <c r="B303" s="1655"/>
      <c r="C303" s="1665"/>
      <c r="D303" s="1665"/>
      <c r="E303" s="1665"/>
      <c r="F303" s="1665"/>
      <c r="G303" s="1665"/>
      <c r="H303" s="1665"/>
      <c r="I303" s="1665"/>
      <c r="J303" s="1666"/>
    </row>
    <row r="304" spans="1:14" ht="48.6" hidden="1">
      <c r="A304" s="1740">
        <v>2.2599999999999998</v>
      </c>
      <c r="B304" s="2483" t="s">
        <v>429</v>
      </c>
      <c r="C304" s="1665"/>
      <c r="D304" s="1665"/>
      <c r="E304" s="1665"/>
      <c r="F304" s="1665"/>
      <c r="G304" s="1665"/>
      <c r="H304" s="1665"/>
      <c r="I304" s="1665"/>
      <c r="J304" s="1666"/>
    </row>
    <row r="305" spans="1:10" hidden="1">
      <c r="A305" s="1740"/>
      <c r="B305" s="1655"/>
      <c r="C305" s="1665"/>
      <c r="D305" s="1665"/>
      <c r="E305" s="1665"/>
      <c r="F305" s="1665"/>
      <c r="G305" s="1665"/>
      <c r="H305" s="1665"/>
      <c r="I305" s="1665"/>
      <c r="J305" s="1666"/>
    </row>
    <row r="306" spans="1:10" ht="201.6" hidden="1" customHeight="1">
      <c r="A306" s="1740"/>
      <c r="B306" s="1655" t="s">
        <v>430</v>
      </c>
      <c r="C306" s="1665"/>
      <c r="D306" s="1665"/>
      <c r="E306" s="1665"/>
      <c r="F306" s="1665"/>
      <c r="G306" s="1665"/>
      <c r="H306" s="1665"/>
      <c r="I306" s="1665"/>
      <c r="J306" s="1666"/>
    </row>
    <row r="307" spans="1:10" hidden="1">
      <c r="A307" s="1740"/>
      <c r="B307" s="1655"/>
      <c r="C307" s="1665"/>
      <c r="D307" s="1665"/>
      <c r="E307" s="1665"/>
      <c r="F307" s="1665"/>
      <c r="G307" s="1665"/>
      <c r="H307" s="1665"/>
      <c r="I307" s="1665"/>
      <c r="J307" s="1666"/>
    </row>
    <row r="308" spans="1:10" hidden="1">
      <c r="A308" s="1740"/>
      <c r="B308" s="1655"/>
      <c r="C308" s="1665"/>
      <c r="D308" s="1665"/>
      <c r="E308" s="1665"/>
      <c r="F308" s="1665"/>
      <c r="G308" s="1665"/>
      <c r="H308" s="1665"/>
      <c r="I308" s="1665"/>
      <c r="J308" s="1666"/>
    </row>
    <row r="309" spans="1:10" hidden="1">
      <c r="A309" s="2727"/>
      <c r="B309" s="2728"/>
      <c r="C309" s="1665"/>
      <c r="D309" s="1665"/>
      <c r="E309" s="1665"/>
      <c r="F309" s="1665"/>
      <c r="G309" s="1665"/>
      <c r="H309" s="1665"/>
      <c r="I309" s="1665"/>
      <c r="J309" s="1666"/>
    </row>
    <row r="310" spans="1:10" hidden="1">
      <c r="A310" s="2727"/>
      <c r="B310" s="2728"/>
      <c r="C310" s="1665"/>
      <c r="D310" s="1665"/>
      <c r="E310" s="1665"/>
      <c r="F310" s="1665"/>
      <c r="G310" s="1665"/>
      <c r="H310" s="1665"/>
      <c r="I310" s="1665"/>
      <c r="J310" s="1666"/>
    </row>
    <row r="311" spans="1:10" hidden="1">
      <c r="A311" s="2727" t="s">
        <v>316</v>
      </c>
      <c r="B311" s="2728"/>
      <c r="C311" s="1665"/>
      <c r="D311" s="1665"/>
      <c r="E311" s="1665"/>
      <c r="F311" s="1665"/>
      <c r="G311" s="1665"/>
      <c r="H311" s="1665"/>
      <c r="I311" s="1665"/>
      <c r="J311" s="1666"/>
    </row>
    <row r="312" spans="1:10" hidden="1">
      <c r="A312" s="1737"/>
      <c r="B312" s="1655"/>
      <c r="C312" s="1665"/>
      <c r="D312" s="1665"/>
      <c r="E312" s="1665"/>
      <c r="F312" s="1665"/>
      <c r="G312" s="1665"/>
      <c r="H312" s="1665"/>
      <c r="I312" s="1665"/>
      <c r="J312" s="1666"/>
    </row>
    <row r="313" spans="1:10" ht="81" hidden="1">
      <c r="A313" s="1737" t="s">
        <v>329</v>
      </c>
      <c r="B313" s="1655"/>
      <c r="C313" s="1665"/>
      <c r="D313" s="1665"/>
      <c r="E313" s="1665"/>
      <c r="F313" s="1665"/>
      <c r="G313" s="1665"/>
      <c r="H313" s="1665"/>
      <c r="I313" s="1665"/>
      <c r="J313" s="1666"/>
    </row>
    <row r="314" spans="1:10" hidden="1">
      <c r="A314" s="2409"/>
      <c r="B314" s="1655"/>
      <c r="C314" s="1665"/>
      <c r="D314" s="1665"/>
      <c r="E314" s="1665"/>
      <c r="F314" s="1665"/>
      <c r="G314" s="1665"/>
      <c r="H314" s="1665"/>
      <c r="I314" s="1665"/>
      <c r="J314" s="1666"/>
    </row>
    <row r="315" spans="1:10" ht="32.4" hidden="1">
      <c r="A315" s="1735" t="s">
        <v>309</v>
      </c>
      <c r="B315" s="2483" t="s">
        <v>1</v>
      </c>
      <c r="C315" s="1665"/>
      <c r="D315" s="1665"/>
      <c r="E315" s="1665"/>
      <c r="F315" s="1665"/>
      <c r="G315" s="1665"/>
      <c r="H315" s="1665"/>
      <c r="I315" s="1665"/>
      <c r="J315" s="1666"/>
    </row>
    <row r="316" spans="1:10" hidden="1">
      <c r="A316" s="2409"/>
      <c r="B316" s="1655"/>
      <c r="C316" s="1665"/>
      <c r="D316" s="1665"/>
      <c r="E316" s="1665"/>
      <c r="F316" s="1665"/>
      <c r="G316" s="1665"/>
      <c r="H316" s="1665"/>
      <c r="I316" s="1665"/>
      <c r="J316" s="1666"/>
    </row>
    <row r="317" spans="1:10" ht="64.8" hidden="1">
      <c r="A317" s="2410">
        <v>2.27</v>
      </c>
      <c r="B317" s="2483" t="s">
        <v>431</v>
      </c>
      <c r="C317" s="1665"/>
      <c r="D317" s="1665"/>
      <c r="E317" s="1665"/>
      <c r="F317" s="1665"/>
      <c r="G317" s="1665"/>
      <c r="H317" s="1665"/>
      <c r="I317" s="1665"/>
      <c r="J317" s="1666"/>
    </row>
    <row r="318" spans="1:10" hidden="1">
      <c r="A318" s="1740"/>
      <c r="B318" s="2483"/>
      <c r="C318" s="1665"/>
      <c r="D318" s="1665"/>
      <c r="E318" s="1665"/>
      <c r="F318" s="1665"/>
      <c r="G318" s="1665"/>
      <c r="H318" s="1665"/>
      <c r="I318" s="1665"/>
      <c r="J318" s="1666"/>
    </row>
    <row r="319" spans="1:10" ht="140.1" hidden="1" customHeight="1">
      <c r="A319" s="1740"/>
      <c r="B319" s="1655" t="s">
        <v>432</v>
      </c>
      <c r="C319" s="1665"/>
      <c r="D319" s="1665"/>
      <c r="E319" s="1665"/>
      <c r="F319" s="1665"/>
      <c r="G319" s="1665"/>
      <c r="H319" s="1665"/>
      <c r="I319" s="1665"/>
      <c r="J319" s="1666"/>
    </row>
    <row r="320" spans="1:10" ht="18" hidden="1" customHeight="1">
      <c r="A320" s="2410">
        <f>A294+0.01</f>
        <v>2.1399999999999992</v>
      </c>
      <c r="B320" s="2732" t="s">
        <v>433</v>
      </c>
      <c r="C320" s="2732"/>
      <c r="D320" s="2732"/>
      <c r="E320" s="2732"/>
      <c r="F320" s="2732"/>
      <c r="G320" s="2732"/>
      <c r="H320" s="2732"/>
      <c r="I320" s="2732"/>
      <c r="J320" s="2733"/>
    </row>
    <row r="321" spans="1:10" ht="6" hidden="1" customHeight="1">
      <c r="A321" s="1740"/>
      <c r="B321" s="2722"/>
      <c r="C321" s="2722"/>
      <c r="D321" s="2722"/>
      <c r="E321" s="2722"/>
      <c r="F321" s="2722"/>
      <c r="G321" s="2722"/>
      <c r="H321" s="2722"/>
      <c r="I321" s="2722"/>
      <c r="J321" s="2723"/>
    </row>
    <row r="322" spans="1:10" ht="14.1" hidden="1" customHeight="1">
      <c r="A322" s="1740"/>
      <c r="B322" s="2722" t="s">
        <v>434</v>
      </c>
      <c r="C322" s="2722"/>
      <c r="D322" s="2722"/>
      <c r="E322" s="2722"/>
      <c r="F322" s="2722"/>
      <c r="G322" s="2722"/>
      <c r="H322" s="2722"/>
      <c r="I322" s="2722"/>
      <c r="J322" s="2723"/>
    </row>
    <row r="323" spans="1:10" hidden="1">
      <c r="A323" s="2410">
        <v>2.2799999999999998</v>
      </c>
      <c r="B323" s="2722" t="s">
        <v>435</v>
      </c>
      <c r="C323" s="2722"/>
      <c r="D323" s="2722"/>
      <c r="E323" s="2722"/>
      <c r="F323" s="2722"/>
      <c r="G323" s="2722"/>
      <c r="H323" s="2722"/>
      <c r="I323" s="2722"/>
      <c r="J323" s="2723"/>
    </row>
    <row r="324" spans="1:10" hidden="1">
      <c r="A324" s="1740"/>
      <c r="B324" s="2722"/>
      <c r="C324" s="2722"/>
      <c r="D324" s="2722"/>
      <c r="E324" s="2722"/>
      <c r="F324" s="2722"/>
      <c r="G324" s="2722"/>
      <c r="H324" s="2722"/>
      <c r="I324" s="2722"/>
      <c r="J324" s="2723"/>
    </row>
    <row r="325" spans="1:10" ht="60.6" hidden="1" customHeight="1">
      <c r="A325" s="1740"/>
      <c r="B325" s="2722" t="s">
        <v>436</v>
      </c>
      <c r="C325" s="2722"/>
      <c r="D325" s="2722"/>
      <c r="E325" s="2722"/>
      <c r="F325" s="2722"/>
      <c r="G325" s="2722"/>
      <c r="H325" s="2722"/>
      <c r="I325" s="2722"/>
      <c r="J325" s="2723"/>
    </row>
    <row r="326" spans="1:10" hidden="1">
      <c r="A326" s="1740"/>
      <c r="B326" s="2722"/>
      <c r="C326" s="2722"/>
      <c r="D326" s="2722"/>
      <c r="E326" s="2722"/>
      <c r="F326" s="2722"/>
      <c r="G326" s="2722"/>
      <c r="H326" s="2722"/>
      <c r="I326" s="2722"/>
      <c r="J326" s="2723"/>
    </row>
    <row r="327" spans="1:10" ht="48.6" hidden="1">
      <c r="A327" s="2411">
        <v>2.29</v>
      </c>
      <c r="B327" s="2484" t="s">
        <v>437</v>
      </c>
      <c r="J327" s="1342"/>
    </row>
    <row r="328" spans="1:10" hidden="1">
      <c r="A328" s="2412"/>
      <c r="B328" s="1727"/>
      <c r="J328" s="1342"/>
    </row>
    <row r="329" spans="1:10" ht="30.6" hidden="1" customHeight="1">
      <c r="A329" s="2412"/>
      <c r="B329" s="2508" t="s">
        <v>438</v>
      </c>
      <c r="J329" s="1342"/>
    </row>
    <row r="330" spans="1:10" hidden="1">
      <c r="A330" s="2412"/>
      <c r="B330" s="1727"/>
      <c r="J330" s="1342"/>
    </row>
    <row r="331" spans="1:10" ht="64.8" hidden="1">
      <c r="A331" s="2413" t="s">
        <v>439</v>
      </c>
      <c r="B331" s="2484" t="s">
        <v>440</v>
      </c>
      <c r="J331" s="1342"/>
    </row>
    <row r="332" spans="1:10" hidden="1">
      <c r="A332" s="2412"/>
      <c r="B332" s="1727"/>
      <c r="J332" s="1342"/>
    </row>
    <row r="333" spans="1:10" ht="409.6" hidden="1">
      <c r="A333" s="2412"/>
      <c r="B333" s="2508" t="s">
        <v>441</v>
      </c>
      <c r="J333" s="1342"/>
    </row>
    <row r="334" spans="1:10">
      <c r="A334" s="1707"/>
      <c r="B334" s="2508"/>
      <c r="J334" s="1342"/>
    </row>
    <row r="335" spans="1:10" ht="42" customHeight="1">
      <c r="A335" s="1707"/>
      <c r="B335" s="1730" t="s">
        <v>3029</v>
      </c>
      <c r="C335" s="1745" t="s">
        <v>3188</v>
      </c>
      <c r="D335" s="1746" t="s">
        <v>3189</v>
      </c>
      <c r="E335" s="1745" t="s">
        <v>3190</v>
      </c>
      <c r="J335" s="1342"/>
    </row>
    <row r="336" spans="1:10" ht="36.75" customHeight="1">
      <c r="A336" s="2414"/>
      <c r="B336" s="2336">
        <v>1</v>
      </c>
      <c r="C336" s="2337" t="s">
        <v>3191</v>
      </c>
      <c r="D336" s="2338">
        <v>509236</v>
      </c>
      <c r="E336" s="2338">
        <v>130000</v>
      </c>
      <c r="J336" s="1342"/>
    </row>
    <row r="337" spans="1:10" ht="16.8" thickBot="1">
      <c r="A337" s="2415"/>
      <c r="B337" s="2416"/>
      <c r="C337" s="2340"/>
      <c r="D337" s="2340"/>
      <c r="E337" s="2340"/>
      <c r="F337" s="2340"/>
      <c r="G337" s="2340"/>
      <c r="H337" s="2340"/>
      <c r="I337" s="2340"/>
      <c r="J337" s="1731"/>
    </row>
    <row r="344" spans="1:10">
      <c r="B344" s="1659"/>
    </row>
    <row r="345" spans="1:10">
      <c r="B345" s="1659"/>
    </row>
    <row r="346" spans="1:10">
      <c r="B346" s="1659"/>
    </row>
    <row r="347" spans="1:10">
      <c r="B347" s="1659"/>
    </row>
    <row r="348" spans="1:10">
      <c r="B348" s="1659"/>
    </row>
    <row r="349" spans="1:10">
      <c r="B349" s="1659"/>
    </row>
  </sheetData>
  <mergeCells count="139">
    <mergeCell ref="B322:J322"/>
    <mergeCell ref="B323:J323"/>
    <mergeCell ref="B324:J324"/>
    <mergeCell ref="B325:J325"/>
    <mergeCell ref="B326:J326"/>
    <mergeCell ref="A309:B309"/>
    <mergeCell ref="A310:B310"/>
    <mergeCell ref="A311:B311"/>
    <mergeCell ref="B320:J320"/>
    <mergeCell ref="B321:J321"/>
    <mergeCell ref="A284:B284"/>
    <mergeCell ref="B294:J294"/>
    <mergeCell ref="B295:J295"/>
    <mergeCell ref="B296:J296"/>
    <mergeCell ref="B298:J298"/>
    <mergeCell ref="B269:J269"/>
    <mergeCell ref="B270:J270"/>
    <mergeCell ref="B271:J271"/>
    <mergeCell ref="B272:J272"/>
    <mergeCell ref="A282:B282"/>
    <mergeCell ref="A283:B283"/>
    <mergeCell ref="A261:H261"/>
    <mergeCell ref="I261:J261"/>
    <mergeCell ref="B266:J266"/>
    <mergeCell ref="B267:D267"/>
    <mergeCell ref="B268:J268"/>
    <mergeCell ref="A258:H258"/>
    <mergeCell ref="I258:J258"/>
    <mergeCell ref="A259:H259"/>
    <mergeCell ref="I259:J259"/>
    <mergeCell ref="A260:H260"/>
    <mergeCell ref="I260:J260"/>
    <mergeCell ref="A242:B242"/>
    <mergeCell ref="B254:J254"/>
    <mergeCell ref="B255:J255"/>
    <mergeCell ref="B256:J256"/>
    <mergeCell ref="A257:H257"/>
    <mergeCell ref="I257:J257"/>
    <mergeCell ref="B234:J234"/>
    <mergeCell ref="B235:J235"/>
    <mergeCell ref="B236:J236"/>
    <mergeCell ref="B237:J237"/>
    <mergeCell ref="A240:B240"/>
    <mergeCell ref="A241:B241"/>
    <mergeCell ref="B224:J224"/>
    <mergeCell ref="B225:J225"/>
    <mergeCell ref="B227:J227"/>
    <mergeCell ref="B231:J231"/>
    <mergeCell ref="B232:J232"/>
    <mergeCell ref="B233:J233"/>
    <mergeCell ref="B205:J205"/>
    <mergeCell ref="A208:B208"/>
    <mergeCell ref="A209:B209"/>
    <mergeCell ref="B198:J198"/>
    <mergeCell ref="B199:J199"/>
    <mergeCell ref="B200:J200"/>
    <mergeCell ref="B201:J201"/>
    <mergeCell ref="B202:J202"/>
    <mergeCell ref="B203:J203"/>
    <mergeCell ref="B204:J204"/>
    <mergeCell ref="A124:B124"/>
    <mergeCell ref="A125:B125"/>
    <mergeCell ref="A126:B126"/>
    <mergeCell ref="B185:J185"/>
    <mergeCell ref="B187:J187"/>
    <mergeCell ref="B105:J105"/>
    <mergeCell ref="B106:J106"/>
    <mergeCell ref="B107:J107"/>
    <mergeCell ref="B108:J108"/>
    <mergeCell ref="B109:J109"/>
    <mergeCell ref="B91:J91"/>
    <mergeCell ref="B93:J93"/>
    <mergeCell ref="B94:J94"/>
    <mergeCell ref="A96:B96"/>
    <mergeCell ref="A97:B97"/>
    <mergeCell ref="A98:B98"/>
    <mergeCell ref="B85:J85"/>
    <mergeCell ref="B86:J86"/>
    <mergeCell ref="B87:J87"/>
    <mergeCell ref="B88:J88"/>
    <mergeCell ref="B89:J89"/>
    <mergeCell ref="B90:J90"/>
    <mergeCell ref="B79:J79"/>
    <mergeCell ref="B80:J80"/>
    <mergeCell ref="B81:J81"/>
    <mergeCell ref="B82:J82"/>
    <mergeCell ref="B83:J83"/>
    <mergeCell ref="B84:J84"/>
    <mergeCell ref="B73:J73"/>
    <mergeCell ref="B74:J74"/>
    <mergeCell ref="B75:J75"/>
    <mergeCell ref="B76:J76"/>
    <mergeCell ref="B77:J77"/>
    <mergeCell ref="B78:J78"/>
    <mergeCell ref="B58:J58"/>
    <mergeCell ref="B59:J59"/>
    <mergeCell ref="B60:J60"/>
    <mergeCell ref="B61:J61"/>
    <mergeCell ref="B63:J63"/>
    <mergeCell ref="B52:J52"/>
    <mergeCell ref="B53:J53"/>
    <mergeCell ref="B54:J54"/>
    <mergeCell ref="B55:J55"/>
    <mergeCell ref="B56:J56"/>
    <mergeCell ref="B57:J57"/>
    <mergeCell ref="B43:J43"/>
    <mergeCell ref="B44:J44"/>
    <mergeCell ref="B45:J45"/>
    <mergeCell ref="B46:J46"/>
    <mergeCell ref="B48:J48"/>
    <mergeCell ref="B50:J50"/>
    <mergeCell ref="A33:B33"/>
    <mergeCell ref="B40:J40"/>
    <mergeCell ref="B41:J41"/>
    <mergeCell ref="B42:J42"/>
    <mergeCell ref="B24:J24"/>
    <mergeCell ref="B25:J25"/>
    <mergeCell ref="B26:J26"/>
    <mergeCell ref="B27:J27"/>
    <mergeCell ref="B28:J28"/>
    <mergeCell ref="A31:B31"/>
    <mergeCell ref="B22:J22"/>
    <mergeCell ref="B23:J23"/>
    <mergeCell ref="B9:J9"/>
    <mergeCell ref="B10:J10"/>
    <mergeCell ref="B12:J12"/>
    <mergeCell ref="B13:J13"/>
    <mergeCell ref="B14:J14"/>
    <mergeCell ref="B15:J15"/>
    <mergeCell ref="A32:B32"/>
    <mergeCell ref="A2:J2"/>
    <mergeCell ref="A3:J3"/>
    <mergeCell ref="A4:J4"/>
    <mergeCell ref="B6:J7"/>
    <mergeCell ref="B8:J8"/>
    <mergeCell ref="B16:J16"/>
    <mergeCell ref="B17:J17"/>
    <mergeCell ref="B18:J18"/>
    <mergeCell ref="B21:J21"/>
  </mergeCells>
  <printOptions horizontalCentered="1" verticalCentered="1"/>
  <pageMargins left="0" right="0" top="0" bottom="0" header="0" footer="0"/>
  <pageSetup paperSize="9" scale="65" fitToWidth="0" orientation="portrait" r:id="rId1"/>
  <rowBreaks count="2" manualBreakCount="2">
    <brk id="50" max="9" man="1"/>
    <brk id="253"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58"/>
  <sheetViews>
    <sheetView workbookViewId="0">
      <selection activeCell="I21" sqref="I21"/>
    </sheetView>
  </sheetViews>
  <sheetFormatPr defaultColWidth="9" defaultRowHeight="14.4"/>
  <cols>
    <col min="1" max="1" width="28.5546875" bestFit="1" customWidth="1"/>
    <col min="2" max="2" width="12" bestFit="1" customWidth="1"/>
    <col min="3" max="3" width="12.44140625" bestFit="1" customWidth="1"/>
    <col min="4" max="4" width="37.44140625" bestFit="1" customWidth="1"/>
    <col min="5" max="5" width="12" bestFit="1" customWidth="1"/>
    <col min="6" max="6" width="12.44140625" bestFit="1" customWidth="1"/>
    <col min="9" max="9" width="16.44140625" bestFit="1" customWidth="1"/>
  </cols>
  <sheetData>
    <row r="1" spans="1:9" ht="15.6">
      <c r="A1" s="2699" t="s">
        <v>1844</v>
      </c>
      <c r="B1" s="2699"/>
      <c r="C1" s="2699"/>
      <c r="D1" s="195"/>
      <c r="E1" s="195"/>
      <c r="F1" s="195"/>
    </row>
    <row r="2" spans="1:9" ht="15.6">
      <c r="A2" s="2699" t="s">
        <v>2714</v>
      </c>
      <c r="B2" s="2699"/>
      <c r="C2" s="2699"/>
      <c r="D2" s="195"/>
      <c r="E2" s="195"/>
      <c r="F2" s="195"/>
    </row>
    <row r="3" spans="1:9">
      <c r="A3" s="2700" t="s">
        <v>2517</v>
      </c>
      <c r="B3" s="2700"/>
      <c r="C3" s="2700"/>
      <c r="D3" s="195"/>
      <c r="E3" s="195"/>
      <c r="F3" s="195"/>
    </row>
    <row r="4" spans="1:9">
      <c r="A4" s="1052" t="s">
        <v>82</v>
      </c>
      <c r="B4" s="2908" t="s">
        <v>1844</v>
      </c>
      <c r="C4" s="2908"/>
      <c r="D4" s="1052" t="s">
        <v>82</v>
      </c>
      <c r="E4" s="2908" t="s">
        <v>1844</v>
      </c>
      <c r="F4" s="2908"/>
    </row>
    <row r="5" spans="1:9">
      <c r="A5" s="1113" t="s">
        <v>2715</v>
      </c>
      <c r="B5" s="2907" t="s">
        <v>2924</v>
      </c>
      <c r="C5" s="2907"/>
      <c r="D5" s="1113" t="s">
        <v>1135</v>
      </c>
      <c r="E5" s="2907" t="s">
        <v>2924</v>
      </c>
      <c r="F5" s="2907"/>
    </row>
    <row r="6" spans="1:9">
      <c r="A6" s="1" t="s">
        <v>84</v>
      </c>
      <c r="B6" s="96"/>
      <c r="C6" s="1114">
        <v>7147460</v>
      </c>
      <c r="D6" s="1115" t="s">
        <v>39</v>
      </c>
      <c r="E6" s="96"/>
      <c r="F6" s="193">
        <v>54365518.259999998</v>
      </c>
    </row>
    <row r="7" spans="1:9">
      <c r="A7" s="13" t="s">
        <v>85</v>
      </c>
      <c r="B7" s="93">
        <v>7147460</v>
      </c>
      <c r="C7" s="1116"/>
      <c r="D7" s="1119" t="s">
        <v>92</v>
      </c>
      <c r="E7" s="104">
        <v>868251</v>
      </c>
      <c r="F7" s="115"/>
    </row>
    <row r="8" spans="1:9">
      <c r="A8" s="1" t="s">
        <v>2716</v>
      </c>
      <c r="B8" s="96"/>
      <c r="C8" s="1116"/>
      <c r="D8" s="1119" t="s">
        <v>2472</v>
      </c>
      <c r="E8" s="96"/>
      <c r="F8" s="115"/>
    </row>
    <row r="9" spans="1:9">
      <c r="A9" s="1" t="s">
        <v>86</v>
      </c>
      <c r="B9" s="96"/>
      <c r="C9" s="1118">
        <v>17134887.41</v>
      </c>
      <c r="D9" s="1119" t="s">
        <v>93</v>
      </c>
      <c r="E9" s="104">
        <v>882128.8</v>
      </c>
      <c r="F9" s="115"/>
    </row>
    <row r="10" spans="1:9">
      <c r="A10" s="14" t="s">
        <v>87</v>
      </c>
      <c r="B10" s="96"/>
      <c r="C10" s="1116"/>
      <c r="D10" s="1119" t="s">
        <v>94</v>
      </c>
      <c r="E10" s="104">
        <v>34086.35</v>
      </c>
      <c r="F10" s="115"/>
    </row>
    <row r="11" spans="1:9">
      <c r="A11" s="14" t="s">
        <v>88</v>
      </c>
      <c r="B11" s="96"/>
      <c r="C11" s="1116"/>
      <c r="D11" s="1119" t="s">
        <v>95</v>
      </c>
      <c r="E11" s="96"/>
      <c r="F11" s="115"/>
    </row>
    <row r="12" spans="1:9">
      <c r="A12" s="14" t="s">
        <v>2717</v>
      </c>
      <c r="B12" s="96"/>
      <c r="C12" s="1116"/>
      <c r="D12" s="1119" t="s">
        <v>83</v>
      </c>
      <c r="E12" s="104">
        <v>48499894.630000003</v>
      </c>
      <c r="F12" s="115"/>
      <c r="I12" s="1137">
        <f>F6-Dep_Co!K26</f>
        <v>46145691.754609682</v>
      </c>
    </row>
    <row r="13" spans="1:9">
      <c r="A13" s="14" t="s">
        <v>89</v>
      </c>
      <c r="B13" s="104">
        <v>16729475.27</v>
      </c>
      <c r="C13" s="1116"/>
      <c r="D13" s="1119" t="s">
        <v>942</v>
      </c>
      <c r="E13" s="93">
        <v>4081157.48</v>
      </c>
      <c r="F13" s="115"/>
    </row>
    <row r="14" spans="1:9">
      <c r="A14" s="14" t="s">
        <v>2718</v>
      </c>
      <c r="B14" s="96"/>
      <c r="C14" s="1116"/>
      <c r="D14" s="1120" t="s">
        <v>96</v>
      </c>
      <c r="E14" s="96"/>
      <c r="F14" s="193">
        <v>95381639.219999999</v>
      </c>
    </row>
    <row r="15" spans="1:9">
      <c r="A15" s="13" t="s">
        <v>2719</v>
      </c>
      <c r="B15" s="96"/>
      <c r="C15" s="1116"/>
      <c r="D15" s="1117" t="s">
        <v>2726</v>
      </c>
      <c r="E15" s="96"/>
      <c r="F15" s="115"/>
    </row>
    <row r="16" spans="1:9">
      <c r="A16" s="13" t="s">
        <v>2013</v>
      </c>
      <c r="B16" s="96"/>
      <c r="C16" s="1116"/>
      <c r="D16" s="1117" t="s">
        <v>2727</v>
      </c>
      <c r="E16" s="96"/>
      <c r="F16" s="115"/>
    </row>
    <row r="17" spans="1:6">
      <c r="A17" s="13" t="s">
        <v>1177</v>
      </c>
      <c r="B17" s="96"/>
      <c r="C17" s="1116"/>
      <c r="D17" s="1117" t="s">
        <v>97</v>
      </c>
      <c r="E17" s="104">
        <v>22168775</v>
      </c>
      <c r="F17" s="115"/>
    </row>
    <row r="18" spans="1:6">
      <c r="A18" s="13" t="s">
        <v>2014</v>
      </c>
      <c r="B18" s="96"/>
      <c r="C18" s="1116"/>
      <c r="D18" s="1117" t="s">
        <v>98</v>
      </c>
      <c r="E18" s="104">
        <v>58880460.619999997</v>
      </c>
      <c r="F18" s="115"/>
    </row>
    <row r="19" spans="1:6">
      <c r="A19" s="13" t="s">
        <v>1062</v>
      </c>
      <c r="B19" s="104">
        <v>78862</v>
      </c>
      <c r="C19" s="1116"/>
      <c r="D19" s="1117" t="s">
        <v>69</v>
      </c>
      <c r="E19" s="104">
        <v>203185.75</v>
      </c>
      <c r="F19" s="115"/>
    </row>
    <row r="20" spans="1:6">
      <c r="A20" s="13" t="s">
        <v>2720</v>
      </c>
      <c r="B20" s="96"/>
      <c r="C20" s="1116"/>
      <c r="D20" s="1117" t="s">
        <v>70</v>
      </c>
      <c r="E20" s="104">
        <v>6855741.8499999996</v>
      </c>
      <c r="F20" s="115"/>
    </row>
    <row r="21" spans="1:6">
      <c r="A21" s="13" t="s">
        <v>2015</v>
      </c>
      <c r="B21" s="96"/>
      <c r="C21" s="1116"/>
      <c r="D21" s="1119" t="s">
        <v>99</v>
      </c>
      <c r="E21" s="104">
        <v>7273476</v>
      </c>
      <c r="F21" s="115"/>
    </row>
    <row r="22" spans="1:6">
      <c r="A22" s="13" t="s">
        <v>91</v>
      </c>
      <c r="B22" s="104">
        <v>294347</v>
      </c>
      <c r="C22" s="1116"/>
      <c r="D22" s="1119" t="s">
        <v>1077</v>
      </c>
      <c r="E22" s="108"/>
      <c r="F22" s="115"/>
    </row>
    <row r="23" spans="1:6">
      <c r="A23" s="13" t="s">
        <v>1063</v>
      </c>
      <c r="B23" s="93">
        <v>32203.14</v>
      </c>
      <c r="C23" s="1116"/>
      <c r="D23" s="1120" t="s">
        <v>100</v>
      </c>
      <c r="E23" s="96"/>
      <c r="F23" s="193">
        <v>7983555.8600000003</v>
      </c>
    </row>
    <row r="24" spans="1:6">
      <c r="A24" s="1" t="s">
        <v>125</v>
      </c>
      <c r="B24" s="96"/>
      <c r="C24" s="1118">
        <v>10969670.960000001</v>
      </c>
      <c r="D24" s="1119" t="s">
        <v>2036</v>
      </c>
      <c r="E24" s="96"/>
      <c r="F24" s="115"/>
    </row>
    <row r="25" spans="1:6">
      <c r="A25" s="13" t="s">
        <v>126</v>
      </c>
      <c r="B25" s="104">
        <v>30000</v>
      </c>
      <c r="C25" s="1116"/>
      <c r="D25" s="1119" t="s">
        <v>2037</v>
      </c>
      <c r="E25" s="96"/>
      <c r="F25" s="115"/>
    </row>
    <row r="26" spans="1:6">
      <c r="A26" s="13" t="s">
        <v>127</v>
      </c>
      <c r="B26" s="104">
        <v>230500</v>
      </c>
      <c r="C26" s="1116"/>
      <c r="D26" s="1119" t="s">
        <v>1502</v>
      </c>
      <c r="E26" s="96"/>
      <c r="F26" s="115"/>
    </row>
    <row r="27" spans="1:6">
      <c r="A27" s="13" t="s">
        <v>128</v>
      </c>
      <c r="B27" s="104">
        <v>10589170.960000001</v>
      </c>
      <c r="C27" s="1116"/>
      <c r="D27" s="1119" t="s">
        <v>2730</v>
      </c>
      <c r="E27" s="96"/>
      <c r="F27" s="115"/>
    </row>
    <row r="28" spans="1:6">
      <c r="A28" s="13" t="s">
        <v>129</v>
      </c>
      <c r="B28" s="93">
        <v>120000</v>
      </c>
      <c r="C28" s="1116"/>
      <c r="D28" s="1119" t="s">
        <v>2731</v>
      </c>
      <c r="E28" s="96"/>
      <c r="F28" s="115"/>
    </row>
    <row r="29" spans="1:6">
      <c r="A29" s="1" t="s">
        <v>130</v>
      </c>
      <c r="B29" s="96"/>
      <c r="C29" s="1118">
        <v>1517336.22</v>
      </c>
      <c r="D29" s="1119" t="s">
        <v>822</v>
      </c>
      <c r="E29" s="104">
        <v>-201</v>
      </c>
      <c r="F29" s="115"/>
    </row>
    <row r="30" spans="1:6">
      <c r="A30" s="13" t="s">
        <v>130</v>
      </c>
      <c r="B30" s="93">
        <v>1517336.22</v>
      </c>
      <c r="C30" s="1116"/>
      <c r="D30" s="1119" t="s">
        <v>2732</v>
      </c>
      <c r="E30" s="96"/>
      <c r="F30" s="115"/>
    </row>
    <row r="31" spans="1:6">
      <c r="A31" s="1" t="s">
        <v>131</v>
      </c>
      <c r="B31" s="96"/>
      <c r="C31" s="1118">
        <v>4389286</v>
      </c>
      <c r="D31" s="1119" t="s">
        <v>2733</v>
      </c>
      <c r="E31" s="96"/>
      <c r="F31" s="115"/>
    </row>
    <row r="32" spans="1:6">
      <c r="A32" s="13" t="s">
        <v>1225</v>
      </c>
      <c r="B32" s="104">
        <v>4431105</v>
      </c>
      <c r="C32" s="1116"/>
      <c r="D32" s="1119" t="s">
        <v>1246</v>
      </c>
      <c r="E32" s="104">
        <v>-34050</v>
      </c>
      <c r="F32" s="115"/>
    </row>
    <row r="33" spans="1:6">
      <c r="A33" s="13" t="s">
        <v>2721</v>
      </c>
      <c r="B33" s="96"/>
      <c r="C33" s="1116"/>
      <c r="D33" s="1119" t="s">
        <v>1245</v>
      </c>
      <c r="E33" s="104">
        <v>-1544</v>
      </c>
      <c r="F33" s="115"/>
    </row>
    <row r="34" spans="1:6">
      <c r="A34" s="13" t="s">
        <v>2722</v>
      </c>
      <c r="B34" s="96"/>
      <c r="C34" s="1116"/>
      <c r="D34" s="1119" t="s">
        <v>2734</v>
      </c>
      <c r="E34" s="96"/>
      <c r="F34" s="115"/>
    </row>
    <row r="35" spans="1:6">
      <c r="A35" s="13" t="s">
        <v>2723</v>
      </c>
      <c r="B35" s="96"/>
      <c r="C35" s="1116"/>
      <c r="D35" s="1119" t="s">
        <v>2735</v>
      </c>
      <c r="E35" s="96"/>
      <c r="F35" s="115"/>
    </row>
    <row r="36" spans="1:6">
      <c r="A36" s="13" t="s">
        <v>2724</v>
      </c>
      <c r="B36" s="96"/>
      <c r="C36" s="1116"/>
      <c r="D36" s="1119" t="s">
        <v>2736</v>
      </c>
      <c r="E36" s="96"/>
      <c r="F36" s="115"/>
    </row>
    <row r="37" spans="1:6">
      <c r="A37" s="13" t="s">
        <v>2725</v>
      </c>
      <c r="B37" s="96"/>
      <c r="C37" s="1116"/>
      <c r="D37" s="1119" t="s">
        <v>823</v>
      </c>
      <c r="E37" s="104">
        <v>-2</v>
      </c>
      <c r="F37" s="115"/>
    </row>
    <row r="38" spans="1:6">
      <c r="A38" s="13" t="s">
        <v>1536</v>
      </c>
      <c r="B38" s="104">
        <v>-4127</v>
      </c>
      <c r="C38" s="1116"/>
      <c r="D38" s="1119" t="s">
        <v>2738</v>
      </c>
      <c r="E38" s="96"/>
      <c r="F38" s="115"/>
    </row>
    <row r="39" spans="1:6">
      <c r="A39" s="13" t="s">
        <v>1224</v>
      </c>
      <c r="B39" s="93">
        <v>-37692</v>
      </c>
      <c r="C39" s="1116"/>
      <c r="D39" s="1119" t="s">
        <v>2740</v>
      </c>
      <c r="E39" s="96"/>
      <c r="F39" s="115"/>
    </row>
    <row r="40" spans="1:6">
      <c r="A40" s="1" t="s">
        <v>1754</v>
      </c>
      <c r="B40" s="96"/>
      <c r="C40" s="1118">
        <v>7512922.96</v>
      </c>
      <c r="D40" s="1119" t="s">
        <v>1503</v>
      </c>
      <c r="E40" s="96"/>
      <c r="F40" s="115"/>
    </row>
    <row r="41" spans="1:6">
      <c r="A41" s="13" t="s">
        <v>1755</v>
      </c>
      <c r="B41" s="104">
        <v>3735472.01</v>
      </c>
      <c r="C41" s="1116"/>
      <c r="D41" s="1119" t="s">
        <v>2743</v>
      </c>
      <c r="E41" s="96"/>
      <c r="F41" s="115"/>
    </row>
    <row r="42" spans="1:6">
      <c r="A42" s="13" t="s">
        <v>1756</v>
      </c>
      <c r="B42" s="104">
        <v>1607210.01</v>
      </c>
      <c r="C42" s="1116"/>
      <c r="D42" s="1119" t="s">
        <v>2744</v>
      </c>
      <c r="E42" s="96"/>
      <c r="F42" s="115"/>
    </row>
    <row r="43" spans="1:6">
      <c r="A43" s="13" t="s">
        <v>1757</v>
      </c>
      <c r="B43" s="104">
        <v>345891.13</v>
      </c>
      <c r="C43" s="1116"/>
      <c r="D43" s="1119" t="s">
        <v>2038</v>
      </c>
      <c r="E43" s="104">
        <v>2500</v>
      </c>
      <c r="F43" s="115"/>
    </row>
    <row r="44" spans="1:6">
      <c r="A44" s="13" t="s">
        <v>1758</v>
      </c>
      <c r="B44" s="104">
        <v>262664.13</v>
      </c>
      <c r="C44" s="1116"/>
      <c r="D44" s="1119" t="s">
        <v>2039</v>
      </c>
      <c r="E44" s="96"/>
      <c r="F44" s="115"/>
    </row>
    <row r="45" spans="1:6">
      <c r="A45" s="13" t="s">
        <v>1754</v>
      </c>
      <c r="B45" s="104">
        <v>-41631236</v>
      </c>
      <c r="C45" s="1116"/>
      <c r="D45" s="1119" t="s">
        <v>2745</v>
      </c>
      <c r="E45" s="96"/>
      <c r="F45" s="115"/>
    </row>
    <row r="46" spans="1:6">
      <c r="A46" s="13" t="s">
        <v>1759</v>
      </c>
      <c r="B46" s="104">
        <v>4764980.45</v>
      </c>
      <c r="C46" s="1116"/>
      <c r="D46" s="1119" t="s">
        <v>2040</v>
      </c>
      <c r="E46" s="104">
        <v>1300</v>
      </c>
      <c r="F46" s="115"/>
    </row>
    <row r="47" spans="1:6">
      <c r="A47" s="13" t="s">
        <v>1760</v>
      </c>
      <c r="B47" s="104">
        <v>4517586.7699999996</v>
      </c>
      <c r="C47" s="1116"/>
      <c r="D47" s="1119" t="s">
        <v>2747</v>
      </c>
      <c r="E47" s="96"/>
      <c r="F47" s="115"/>
    </row>
    <row r="48" spans="1:6">
      <c r="A48" s="13" t="s">
        <v>2728</v>
      </c>
      <c r="B48" s="96"/>
      <c r="C48" s="1116"/>
      <c r="D48" s="1119" t="s">
        <v>2041</v>
      </c>
      <c r="E48" s="96"/>
      <c r="F48" s="115"/>
    </row>
    <row r="49" spans="1:6">
      <c r="A49" s="13" t="s">
        <v>2729</v>
      </c>
      <c r="B49" s="96"/>
      <c r="C49" s="1116"/>
      <c r="D49" s="1119" t="s">
        <v>1504</v>
      </c>
      <c r="E49" s="96"/>
      <c r="F49" s="115"/>
    </row>
    <row r="50" spans="1:6">
      <c r="A50" s="13" t="s">
        <v>1761</v>
      </c>
      <c r="B50" s="104">
        <v>1591245.42</v>
      </c>
      <c r="C50" s="1116"/>
      <c r="D50" s="1119" t="s">
        <v>824</v>
      </c>
      <c r="E50" s="104">
        <v>-800</v>
      </c>
      <c r="F50" s="115"/>
    </row>
    <row r="51" spans="1:6">
      <c r="A51" s="13" t="s">
        <v>1762</v>
      </c>
      <c r="B51" s="104">
        <v>1725807.42</v>
      </c>
      <c r="C51" s="1116"/>
      <c r="D51" s="1119" t="s">
        <v>2749</v>
      </c>
      <c r="E51" s="96"/>
      <c r="F51" s="115"/>
    </row>
    <row r="52" spans="1:6">
      <c r="A52" s="13" t="s">
        <v>1763</v>
      </c>
      <c r="B52" s="104">
        <v>1027159.67</v>
      </c>
      <c r="C52" s="1116"/>
      <c r="D52" s="1119" t="s">
        <v>1839</v>
      </c>
      <c r="E52" s="104">
        <v>23043</v>
      </c>
      <c r="F52" s="115"/>
    </row>
    <row r="53" spans="1:6">
      <c r="A53" s="13" t="s">
        <v>1764</v>
      </c>
      <c r="B53" s="104">
        <v>947299.67</v>
      </c>
      <c r="C53" s="1116"/>
      <c r="D53" s="1119" t="s">
        <v>2751</v>
      </c>
      <c r="E53" s="96"/>
      <c r="F53" s="115"/>
    </row>
    <row r="54" spans="1:6">
      <c r="A54" s="13" t="s">
        <v>1765</v>
      </c>
      <c r="B54" s="104">
        <v>279269.46999999997</v>
      </c>
      <c r="C54" s="1116"/>
      <c r="D54" s="1119" t="s">
        <v>2752</v>
      </c>
      <c r="E54" s="96"/>
      <c r="F54" s="115"/>
    </row>
    <row r="55" spans="1:6">
      <c r="A55" s="13" t="s">
        <v>1766</v>
      </c>
      <c r="B55" s="104">
        <v>165466.47</v>
      </c>
      <c r="C55" s="1116"/>
      <c r="D55" s="1119" t="s">
        <v>2753</v>
      </c>
      <c r="E55" s="96"/>
      <c r="F55" s="115"/>
    </row>
    <row r="56" spans="1:6">
      <c r="A56" s="13" t="s">
        <v>1767</v>
      </c>
      <c r="B56" s="104">
        <v>872480.59</v>
      </c>
      <c r="C56" s="1116"/>
      <c r="D56" s="1119" t="s">
        <v>825</v>
      </c>
      <c r="E56" s="104">
        <v>2727</v>
      </c>
      <c r="F56" s="115"/>
    </row>
    <row r="57" spans="1:6">
      <c r="A57" s="13" t="s">
        <v>1768</v>
      </c>
      <c r="B57" s="104">
        <v>621845.59</v>
      </c>
      <c r="C57" s="1116"/>
      <c r="D57" s="1119" t="s">
        <v>826</v>
      </c>
      <c r="E57" s="96"/>
      <c r="F57" s="115"/>
    </row>
    <row r="58" spans="1:6">
      <c r="A58" s="13" t="s">
        <v>2638</v>
      </c>
      <c r="B58" s="104">
        <v>372817.42</v>
      </c>
      <c r="C58" s="1116"/>
      <c r="D58" s="1119" t="s">
        <v>2754</v>
      </c>
      <c r="E58" s="96"/>
      <c r="F58" s="115"/>
    </row>
    <row r="59" spans="1:6">
      <c r="A59" s="13" t="s">
        <v>2639</v>
      </c>
      <c r="B59" s="104">
        <v>519470.42</v>
      </c>
      <c r="C59" s="1116"/>
      <c r="D59" s="1119" t="s">
        <v>827</v>
      </c>
      <c r="E59" s="96"/>
      <c r="F59" s="115"/>
    </row>
    <row r="60" spans="1:6">
      <c r="A60" s="13" t="s">
        <v>1769</v>
      </c>
      <c r="B60" s="104">
        <v>307632.08</v>
      </c>
      <c r="C60" s="1116"/>
      <c r="D60" s="1119" t="s">
        <v>828</v>
      </c>
      <c r="E60" s="96"/>
      <c r="F60" s="115"/>
    </row>
    <row r="61" spans="1:6">
      <c r="A61" s="13" t="s">
        <v>1770</v>
      </c>
      <c r="B61" s="104">
        <v>262850.08</v>
      </c>
      <c r="C61" s="1116"/>
      <c r="D61" s="1119" t="s">
        <v>2755</v>
      </c>
      <c r="E61" s="96"/>
      <c r="F61" s="115"/>
    </row>
    <row r="62" spans="1:6">
      <c r="A62" s="13" t="s">
        <v>1771</v>
      </c>
      <c r="B62" s="104">
        <v>3446592.84</v>
      </c>
      <c r="C62" s="1116"/>
      <c r="D62" s="1119" t="s">
        <v>2756</v>
      </c>
      <c r="E62" s="96"/>
      <c r="F62" s="115"/>
    </row>
    <row r="63" spans="1:6">
      <c r="A63" s="13" t="s">
        <v>1772</v>
      </c>
      <c r="B63" s="104">
        <v>3232180.84</v>
      </c>
      <c r="C63" s="1116"/>
      <c r="D63" s="1119" t="s">
        <v>2757</v>
      </c>
      <c r="E63" s="96"/>
      <c r="F63" s="115"/>
    </row>
    <row r="64" spans="1:6">
      <c r="A64" s="13" t="s">
        <v>1773</v>
      </c>
      <c r="B64" s="104">
        <v>8709091.2200000007</v>
      </c>
      <c r="C64" s="1116"/>
      <c r="D64" s="1119" t="s">
        <v>2758</v>
      </c>
      <c r="E64" s="96"/>
      <c r="F64" s="115"/>
    </row>
    <row r="65" spans="1:6">
      <c r="A65" s="13" t="s">
        <v>1774</v>
      </c>
      <c r="B65" s="104">
        <v>9386742.9800000004</v>
      </c>
      <c r="C65" s="1116"/>
      <c r="D65" s="1119" t="s">
        <v>2759</v>
      </c>
      <c r="E65" s="96"/>
      <c r="F65" s="115"/>
    </row>
    <row r="66" spans="1:6">
      <c r="A66" s="13" t="s">
        <v>1775</v>
      </c>
      <c r="B66" s="104">
        <v>257645.64</v>
      </c>
      <c r="C66" s="1116"/>
      <c r="D66" s="1119" t="s">
        <v>2760</v>
      </c>
      <c r="E66" s="96"/>
      <c r="F66" s="115"/>
    </row>
    <row r="67" spans="1:6">
      <c r="A67" s="13" t="s">
        <v>1776</v>
      </c>
      <c r="B67" s="104">
        <v>184756.64</v>
      </c>
      <c r="C67" s="1116"/>
      <c r="D67" s="1119" t="s">
        <v>829</v>
      </c>
      <c r="E67" s="96"/>
      <c r="F67" s="115"/>
    </row>
    <row r="68" spans="1:6">
      <c r="A68" s="13" t="s">
        <v>2737</v>
      </c>
      <c r="B68" s="96"/>
      <c r="C68" s="1116"/>
      <c r="D68" s="1119" t="s">
        <v>1078</v>
      </c>
      <c r="E68" s="104">
        <v>45000</v>
      </c>
      <c r="F68" s="115"/>
    </row>
    <row r="69" spans="1:6">
      <c r="A69" s="13" t="s">
        <v>2739</v>
      </c>
      <c r="B69" s="96"/>
      <c r="C69" s="1116"/>
      <c r="D69" s="1119" t="s">
        <v>2761</v>
      </c>
      <c r="E69" s="96"/>
      <c r="F69" s="115"/>
    </row>
    <row r="70" spans="1:6">
      <c r="A70" s="13" t="s">
        <v>2741</v>
      </c>
      <c r="B70" s="96"/>
      <c r="C70" s="1116"/>
      <c r="D70" s="1119" t="s">
        <v>2042</v>
      </c>
      <c r="E70" s="96"/>
      <c r="F70" s="115"/>
    </row>
    <row r="71" spans="1:6">
      <c r="A71" s="13" t="s">
        <v>2742</v>
      </c>
      <c r="B71" s="108"/>
      <c r="C71" s="1116"/>
      <c r="D71" s="1119" t="s">
        <v>1733</v>
      </c>
      <c r="E71" s="96"/>
      <c r="F71" s="115"/>
    </row>
    <row r="72" spans="1:6">
      <c r="A72" s="1" t="s">
        <v>151</v>
      </c>
      <c r="B72" s="96"/>
      <c r="C72" s="1118">
        <v>258033560.06</v>
      </c>
      <c r="D72" s="1119" t="s">
        <v>2762</v>
      </c>
      <c r="E72" s="96"/>
      <c r="F72" s="115"/>
    </row>
    <row r="73" spans="1:6">
      <c r="A73" s="13" t="s">
        <v>152</v>
      </c>
      <c r="B73" s="104">
        <v>-108998765</v>
      </c>
      <c r="C73" s="1116"/>
      <c r="D73" s="1119" t="s">
        <v>2763</v>
      </c>
      <c r="E73" s="96"/>
      <c r="F73" s="115"/>
    </row>
    <row r="74" spans="1:6">
      <c r="A74" s="13" t="s">
        <v>153</v>
      </c>
      <c r="B74" s="104">
        <v>-18382929</v>
      </c>
      <c r="C74" s="1116"/>
      <c r="D74" s="1119" t="s">
        <v>2764</v>
      </c>
      <c r="E74" s="96"/>
      <c r="F74" s="115"/>
    </row>
    <row r="75" spans="1:6">
      <c r="A75" s="13" t="s">
        <v>154</v>
      </c>
      <c r="B75" s="104">
        <v>44374031.420000002</v>
      </c>
      <c r="C75" s="1116"/>
      <c r="D75" s="1119" t="s">
        <v>1734</v>
      </c>
      <c r="E75" s="96"/>
      <c r="F75" s="115"/>
    </row>
    <row r="76" spans="1:6">
      <c r="A76" s="13" t="s">
        <v>155</v>
      </c>
      <c r="B76" s="93">
        <v>341041222.63999999</v>
      </c>
      <c r="C76" s="1116"/>
      <c r="D76" s="1119" t="s">
        <v>1244</v>
      </c>
      <c r="E76" s="96"/>
      <c r="F76" s="115"/>
    </row>
    <row r="77" spans="1:6">
      <c r="A77" s="1" t="s">
        <v>2746</v>
      </c>
      <c r="B77" s="96"/>
      <c r="C77" s="1116"/>
      <c r="D77" s="1119" t="s">
        <v>2178</v>
      </c>
      <c r="E77" s="104">
        <v>579004.5</v>
      </c>
      <c r="F77" s="115"/>
    </row>
    <row r="78" spans="1:6">
      <c r="A78" s="1" t="s">
        <v>156</v>
      </c>
      <c r="B78" s="96"/>
      <c r="C78" s="1116"/>
      <c r="D78" s="1119" t="s">
        <v>830</v>
      </c>
      <c r="E78" s="104">
        <v>9410.25</v>
      </c>
      <c r="F78" s="115"/>
    </row>
    <row r="79" spans="1:6">
      <c r="A79" s="14" t="s">
        <v>157</v>
      </c>
      <c r="B79" s="108"/>
      <c r="C79" s="1116"/>
      <c r="D79" s="1119" t="s">
        <v>2765</v>
      </c>
      <c r="E79" s="96"/>
      <c r="F79" s="115"/>
    </row>
    <row r="80" spans="1:6">
      <c r="A80" s="1" t="s">
        <v>74</v>
      </c>
      <c r="B80" s="96"/>
      <c r="C80" s="1118">
        <v>14513616.08</v>
      </c>
      <c r="D80" s="1119" t="s">
        <v>2179</v>
      </c>
      <c r="E80" s="96"/>
      <c r="F80" s="115"/>
    </row>
    <row r="81" spans="1:6">
      <c r="A81" s="13" t="s">
        <v>2748</v>
      </c>
      <c r="B81" s="104">
        <v>5.71</v>
      </c>
      <c r="C81" s="1116"/>
      <c r="D81" s="1119" t="s">
        <v>2043</v>
      </c>
      <c r="E81" s="96"/>
      <c r="F81" s="115"/>
    </row>
    <row r="82" spans="1:6">
      <c r="A82" s="13" t="s">
        <v>2750</v>
      </c>
      <c r="B82" s="93">
        <v>14513610.369999999</v>
      </c>
      <c r="C82" s="1116"/>
      <c r="D82" s="1119" t="s">
        <v>831</v>
      </c>
      <c r="E82" s="96"/>
      <c r="F82" s="115"/>
    </row>
    <row r="83" spans="1:6">
      <c r="A83" s="195"/>
      <c r="B83" s="195"/>
      <c r="C83" s="195"/>
      <c r="D83" s="1119" t="s">
        <v>2766</v>
      </c>
      <c r="E83" s="96"/>
      <c r="F83" s="115"/>
    </row>
    <row r="84" spans="1:6">
      <c r="A84" s="195"/>
      <c r="B84" s="195"/>
      <c r="C84" s="195"/>
      <c r="D84" s="1119" t="s">
        <v>832</v>
      </c>
      <c r="E84" s="96"/>
      <c r="F84" s="115"/>
    </row>
    <row r="85" spans="1:6">
      <c r="A85" s="195"/>
      <c r="B85" s="195"/>
      <c r="C85" s="195"/>
      <c r="D85" s="1119" t="s">
        <v>1079</v>
      </c>
      <c r="E85" s="96"/>
      <c r="F85" s="115"/>
    </row>
    <row r="86" spans="1:6">
      <c r="A86" s="195"/>
      <c r="B86" s="195"/>
      <c r="C86" s="195"/>
      <c r="D86" s="1119" t="s">
        <v>2767</v>
      </c>
      <c r="E86" s="96"/>
      <c r="F86" s="115"/>
    </row>
    <row r="87" spans="1:6">
      <c r="A87" s="195"/>
      <c r="B87" s="195"/>
      <c r="C87" s="195"/>
      <c r="D87" s="1119" t="s">
        <v>2768</v>
      </c>
      <c r="E87" s="96"/>
      <c r="F87" s="115"/>
    </row>
    <row r="88" spans="1:6">
      <c r="A88" s="195"/>
      <c r="B88" s="195"/>
      <c r="C88" s="195"/>
      <c r="D88" s="1119" t="s">
        <v>2769</v>
      </c>
      <c r="E88" s="96"/>
      <c r="F88" s="115"/>
    </row>
    <row r="89" spans="1:6">
      <c r="A89" s="195"/>
      <c r="B89" s="195"/>
      <c r="C89" s="195"/>
      <c r="D89" s="1119" t="s">
        <v>1505</v>
      </c>
      <c r="E89" s="104">
        <v>5875</v>
      </c>
      <c r="F89" s="115"/>
    </row>
    <row r="90" spans="1:6">
      <c r="A90" s="195"/>
      <c r="B90" s="195"/>
      <c r="C90" s="195"/>
      <c r="D90" s="1119" t="s">
        <v>833</v>
      </c>
      <c r="E90" s="104">
        <v>6924</v>
      </c>
      <c r="F90" s="115"/>
    </row>
    <row r="91" spans="1:6">
      <c r="A91" s="195"/>
      <c r="B91" s="195"/>
      <c r="C91" s="195"/>
      <c r="D91" s="1119" t="s">
        <v>1506</v>
      </c>
      <c r="E91" s="104">
        <v>-41010</v>
      </c>
      <c r="F91" s="115"/>
    </row>
    <row r="92" spans="1:6">
      <c r="A92" s="195"/>
      <c r="B92" s="195"/>
      <c r="C92" s="195"/>
      <c r="D92" s="1119" t="s">
        <v>834</v>
      </c>
      <c r="E92" s="96"/>
      <c r="F92" s="115"/>
    </row>
    <row r="93" spans="1:6">
      <c r="A93" s="195"/>
      <c r="B93" s="195"/>
      <c r="C93" s="195"/>
      <c r="D93" s="1119" t="s">
        <v>2180</v>
      </c>
      <c r="E93" s="104">
        <v>312318</v>
      </c>
      <c r="F93" s="115"/>
    </row>
    <row r="94" spans="1:6">
      <c r="A94" s="195"/>
      <c r="B94" s="195"/>
      <c r="C94" s="195"/>
      <c r="D94" s="1119" t="s">
        <v>1507</v>
      </c>
      <c r="E94" s="96"/>
      <c r="F94" s="115"/>
    </row>
    <row r="95" spans="1:6">
      <c r="A95" s="195"/>
      <c r="B95" s="195"/>
      <c r="C95" s="195"/>
      <c r="D95" s="1119" t="s">
        <v>2623</v>
      </c>
      <c r="E95" s="104">
        <v>278364</v>
      </c>
      <c r="F95" s="115"/>
    </row>
    <row r="96" spans="1:6">
      <c r="A96" s="195"/>
      <c r="B96" s="195"/>
      <c r="C96" s="195"/>
      <c r="D96" s="1119" t="s">
        <v>2770</v>
      </c>
      <c r="E96" s="96"/>
      <c r="F96" s="115"/>
    </row>
    <row r="97" spans="1:6">
      <c r="A97" s="195"/>
      <c r="B97" s="195"/>
      <c r="C97" s="195"/>
      <c r="D97" s="1119" t="s">
        <v>1080</v>
      </c>
      <c r="E97" s="96"/>
      <c r="F97" s="115"/>
    </row>
    <row r="98" spans="1:6">
      <c r="A98" s="195"/>
      <c r="B98" s="195"/>
      <c r="C98" s="195"/>
      <c r="D98" s="1119" t="s">
        <v>2771</v>
      </c>
      <c r="E98" s="96"/>
      <c r="F98" s="115"/>
    </row>
    <row r="99" spans="1:6">
      <c r="A99" s="195"/>
      <c r="B99" s="195"/>
      <c r="C99" s="195"/>
      <c r="D99" s="1119" t="s">
        <v>2772</v>
      </c>
      <c r="E99" s="96"/>
      <c r="F99" s="115"/>
    </row>
    <row r="100" spans="1:6">
      <c r="A100" s="195"/>
      <c r="B100" s="195"/>
      <c r="C100" s="195"/>
      <c r="D100" s="1119" t="s">
        <v>2773</v>
      </c>
      <c r="E100" s="96"/>
      <c r="F100" s="115"/>
    </row>
    <row r="101" spans="1:6">
      <c r="A101" s="195"/>
      <c r="B101" s="195"/>
      <c r="C101" s="195"/>
      <c r="D101" s="1119" t="s">
        <v>2774</v>
      </c>
      <c r="E101" s="96"/>
      <c r="F101" s="115"/>
    </row>
    <row r="102" spans="1:6">
      <c r="A102" s="195"/>
      <c r="B102" s="195"/>
      <c r="C102" s="195"/>
      <c r="D102" s="1119" t="s">
        <v>2775</v>
      </c>
      <c r="E102" s="96"/>
      <c r="F102" s="115"/>
    </row>
    <row r="103" spans="1:6">
      <c r="A103" s="195"/>
      <c r="B103" s="195"/>
      <c r="C103" s="195"/>
      <c r="D103" s="1119" t="s">
        <v>2776</v>
      </c>
      <c r="E103" s="96"/>
      <c r="F103" s="115"/>
    </row>
    <row r="104" spans="1:6">
      <c r="A104" s="195"/>
      <c r="B104" s="195"/>
      <c r="C104" s="195"/>
      <c r="D104" s="1119" t="s">
        <v>1081</v>
      </c>
      <c r="E104" s="96"/>
      <c r="F104" s="115"/>
    </row>
    <row r="105" spans="1:6">
      <c r="A105" s="195"/>
      <c r="B105" s="195"/>
      <c r="C105" s="195"/>
      <c r="D105" s="1119" t="s">
        <v>2777</v>
      </c>
      <c r="E105" s="96"/>
      <c r="F105" s="115"/>
    </row>
    <row r="106" spans="1:6">
      <c r="A106" s="195"/>
      <c r="B106" s="195"/>
      <c r="C106" s="195"/>
      <c r="D106" s="1119" t="s">
        <v>835</v>
      </c>
      <c r="E106" s="104">
        <v>-2000</v>
      </c>
      <c r="F106" s="115"/>
    </row>
    <row r="107" spans="1:6">
      <c r="A107" s="195"/>
      <c r="B107" s="195"/>
      <c r="C107" s="195"/>
      <c r="D107" s="1119" t="s">
        <v>2778</v>
      </c>
      <c r="E107" s="96"/>
      <c r="F107" s="115"/>
    </row>
    <row r="108" spans="1:6">
      <c r="A108" s="195"/>
      <c r="B108" s="195"/>
      <c r="C108" s="195"/>
      <c r="D108" s="1119" t="s">
        <v>2044</v>
      </c>
      <c r="E108" s="96"/>
      <c r="F108" s="115"/>
    </row>
    <row r="109" spans="1:6">
      <c r="A109" s="195"/>
      <c r="B109" s="195"/>
      <c r="C109" s="195"/>
      <c r="D109" s="1119" t="s">
        <v>2045</v>
      </c>
      <c r="E109" s="96"/>
      <c r="F109" s="115"/>
    </row>
    <row r="110" spans="1:6">
      <c r="A110" s="195"/>
      <c r="B110" s="195"/>
      <c r="C110" s="195"/>
      <c r="D110" s="1119" t="s">
        <v>2779</v>
      </c>
      <c r="E110" s="96"/>
      <c r="F110" s="115"/>
    </row>
    <row r="111" spans="1:6">
      <c r="A111" s="195"/>
      <c r="B111" s="195"/>
      <c r="C111" s="195"/>
      <c r="D111" s="1119" t="s">
        <v>1737</v>
      </c>
      <c r="E111" s="104">
        <v>-65855</v>
      </c>
      <c r="F111" s="115"/>
    </row>
    <row r="112" spans="1:6">
      <c r="A112" s="195"/>
      <c r="B112" s="195"/>
      <c r="C112" s="195"/>
      <c r="D112" s="1119" t="s">
        <v>1508</v>
      </c>
      <c r="E112" s="96"/>
      <c r="F112" s="115"/>
    </row>
    <row r="113" spans="1:6">
      <c r="A113" s="195"/>
      <c r="B113" s="195"/>
      <c r="C113" s="195"/>
      <c r="D113" s="1119" t="s">
        <v>2624</v>
      </c>
      <c r="E113" s="104">
        <v>149114</v>
      </c>
      <c r="F113" s="115"/>
    </row>
    <row r="114" spans="1:6">
      <c r="A114" s="195"/>
      <c r="B114" s="195"/>
      <c r="C114" s="195"/>
      <c r="D114" s="1119" t="s">
        <v>1509</v>
      </c>
      <c r="E114" s="96"/>
      <c r="F114" s="115"/>
    </row>
    <row r="115" spans="1:6">
      <c r="A115" s="195"/>
      <c r="B115" s="195"/>
      <c r="C115" s="195"/>
      <c r="D115" s="1119" t="s">
        <v>1082</v>
      </c>
      <c r="E115" s="96"/>
      <c r="F115" s="115"/>
    </row>
    <row r="116" spans="1:6">
      <c r="A116" s="195"/>
      <c r="B116" s="195"/>
      <c r="C116" s="195"/>
      <c r="D116" s="1119" t="s">
        <v>2780</v>
      </c>
      <c r="E116" s="96"/>
      <c r="F116" s="115"/>
    </row>
    <row r="117" spans="1:6">
      <c r="A117" s="195"/>
      <c r="B117" s="195"/>
      <c r="C117" s="195"/>
      <c r="D117" s="1119" t="s">
        <v>2781</v>
      </c>
      <c r="E117" s="96"/>
      <c r="F117" s="115"/>
    </row>
    <row r="118" spans="1:6">
      <c r="A118" s="195"/>
      <c r="B118" s="195"/>
      <c r="C118" s="195"/>
      <c r="D118" s="1119" t="s">
        <v>1510</v>
      </c>
      <c r="E118" s="96"/>
      <c r="F118" s="115"/>
    </row>
    <row r="119" spans="1:6">
      <c r="A119" s="195"/>
      <c r="B119" s="195"/>
      <c r="C119" s="195"/>
      <c r="D119" s="1119" t="s">
        <v>2625</v>
      </c>
      <c r="E119" s="104">
        <v>96404</v>
      </c>
      <c r="F119" s="115"/>
    </row>
    <row r="120" spans="1:6">
      <c r="A120" s="195"/>
      <c r="B120" s="195"/>
      <c r="C120" s="195"/>
      <c r="D120" s="1119" t="s">
        <v>2626</v>
      </c>
      <c r="E120" s="104">
        <v>81429</v>
      </c>
      <c r="F120" s="115"/>
    </row>
    <row r="121" spans="1:6">
      <c r="A121" s="195"/>
      <c r="B121" s="195"/>
      <c r="C121" s="195"/>
      <c r="D121" s="1119" t="s">
        <v>2627</v>
      </c>
      <c r="E121" s="104">
        <v>85013</v>
      </c>
      <c r="F121" s="115"/>
    </row>
    <row r="122" spans="1:6">
      <c r="A122" s="195"/>
      <c r="B122" s="195"/>
      <c r="C122" s="195"/>
      <c r="D122" s="1119" t="s">
        <v>2782</v>
      </c>
      <c r="E122" s="96"/>
      <c r="F122" s="115"/>
    </row>
    <row r="123" spans="1:6">
      <c r="A123" s="195"/>
      <c r="B123" s="195"/>
      <c r="C123" s="195"/>
      <c r="D123" s="1119" t="s">
        <v>2783</v>
      </c>
      <c r="E123" s="96"/>
      <c r="F123" s="115"/>
    </row>
    <row r="124" spans="1:6">
      <c r="A124" s="195"/>
      <c r="B124" s="195"/>
      <c r="C124" s="195"/>
      <c r="D124" s="1119" t="s">
        <v>2784</v>
      </c>
      <c r="E124" s="96"/>
      <c r="F124" s="115"/>
    </row>
    <row r="125" spans="1:6">
      <c r="A125" s="195"/>
      <c r="B125" s="195"/>
      <c r="C125" s="195"/>
      <c r="D125" s="1119" t="s">
        <v>1511</v>
      </c>
      <c r="E125" s="96"/>
      <c r="F125" s="115"/>
    </row>
    <row r="126" spans="1:6">
      <c r="A126" s="195"/>
      <c r="B126" s="195"/>
      <c r="C126" s="195"/>
      <c r="D126" s="1119" t="s">
        <v>2046</v>
      </c>
      <c r="E126" s="104">
        <v>300</v>
      </c>
      <c r="F126" s="115"/>
    </row>
    <row r="127" spans="1:6">
      <c r="A127" s="195"/>
      <c r="B127" s="195"/>
      <c r="C127" s="195"/>
      <c r="D127" s="1119" t="s">
        <v>1840</v>
      </c>
      <c r="E127" s="96"/>
      <c r="F127" s="115"/>
    </row>
    <row r="128" spans="1:6">
      <c r="A128" s="195"/>
      <c r="B128" s="195"/>
      <c r="C128" s="195"/>
      <c r="D128" s="1119" t="s">
        <v>2047</v>
      </c>
      <c r="E128" s="104">
        <v>178674.69</v>
      </c>
      <c r="F128" s="115"/>
    </row>
    <row r="129" spans="1:6">
      <c r="A129" s="195"/>
      <c r="B129" s="195"/>
      <c r="C129" s="195"/>
      <c r="D129" s="1119" t="s">
        <v>2628</v>
      </c>
      <c r="E129" s="104">
        <v>27000</v>
      </c>
      <c r="F129" s="115"/>
    </row>
    <row r="130" spans="1:6">
      <c r="A130" s="195"/>
      <c r="B130" s="195"/>
      <c r="C130" s="195"/>
      <c r="D130" s="1119" t="s">
        <v>2785</v>
      </c>
      <c r="E130" s="96"/>
      <c r="F130" s="115"/>
    </row>
    <row r="131" spans="1:6">
      <c r="A131" s="195"/>
      <c r="B131" s="195"/>
      <c r="C131" s="195"/>
      <c r="D131" s="1119" t="s">
        <v>2786</v>
      </c>
      <c r="E131" s="96"/>
      <c r="F131" s="115"/>
    </row>
    <row r="132" spans="1:6">
      <c r="A132" s="195"/>
      <c r="B132" s="195"/>
      <c r="C132" s="195"/>
      <c r="D132" s="1119" t="s">
        <v>2181</v>
      </c>
      <c r="E132" s="104">
        <v>209363.61</v>
      </c>
      <c r="F132" s="115"/>
    </row>
    <row r="133" spans="1:6">
      <c r="A133" s="195"/>
      <c r="B133" s="195"/>
      <c r="C133" s="195"/>
      <c r="D133" s="1119" t="s">
        <v>836</v>
      </c>
      <c r="E133" s="104">
        <v>88647</v>
      </c>
      <c r="F133" s="115"/>
    </row>
    <row r="134" spans="1:6">
      <c r="A134" s="195"/>
      <c r="B134" s="195"/>
      <c r="C134" s="195"/>
      <c r="D134" s="1119" t="s">
        <v>1243</v>
      </c>
      <c r="E134" s="104">
        <v>32269</v>
      </c>
      <c r="F134" s="115"/>
    </row>
    <row r="135" spans="1:6">
      <c r="A135" s="195"/>
      <c r="B135" s="195"/>
      <c r="C135" s="195"/>
      <c r="D135" s="1119" t="s">
        <v>1083</v>
      </c>
      <c r="E135" s="96"/>
      <c r="F135" s="115"/>
    </row>
    <row r="136" spans="1:6">
      <c r="A136" s="195"/>
      <c r="B136" s="195"/>
      <c r="C136" s="195"/>
      <c r="D136" s="1119" t="s">
        <v>1242</v>
      </c>
      <c r="E136" s="96"/>
      <c r="F136" s="115"/>
    </row>
    <row r="137" spans="1:6">
      <c r="A137" s="195"/>
      <c r="B137" s="195"/>
      <c r="C137" s="195"/>
      <c r="D137" s="1119" t="s">
        <v>2048</v>
      </c>
      <c r="E137" s="104">
        <v>-3000</v>
      </c>
      <c r="F137" s="115"/>
    </row>
    <row r="138" spans="1:6">
      <c r="A138" s="195"/>
      <c r="B138" s="195"/>
      <c r="C138" s="195"/>
      <c r="D138" s="1119" t="s">
        <v>2787</v>
      </c>
      <c r="E138" s="96"/>
      <c r="F138" s="115"/>
    </row>
    <row r="139" spans="1:6">
      <c r="A139" s="195"/>
      <c r="B139" s="195"/>
      <c r="C139" s="195"/>
      <c r="D139" s="1119" t="s">
        <v>2788</v>
      </c>
      <c r="E139" s="96"/>
      <c r="F139" s="115"/>
    </row>
    <row r="140" spans="1:6">
      <c r="A140" s="195"/>
      <c r="B140" s="195"/>
      <c r="C140" s="195"/>
      <c r="D140" s="1119" t="s">
        <v>1512</v>
      </c>
      <c r="E140" s="96"/>
      <c r="F140" s="115"/>
    </row>
    <row r="141" spans="1:6">
      <c r="A141" s="195"/>
      <c r="B141" s="195"/>
      <c r="C141" s="195"/>
      <c r="D141" s="1119" t="s">
        <v>2789</v>
      </c>
      <c r="E141" s="96"/>
      <c r="F141" s="115"/>
    </row>
    <row r="142" spans="1:6">
      <c r="A142" s="195"/>
      <c r="B142" s="195"/>
      <c r="C142" s="195"/>
      <c r="D142" s="1119" t="s">
        <v>837</v>
      </c>
      <c r="E142" s="104">
        <v>75</v>
      </c>
      <c r="F142" s="115"/>
    </row>
    <row r="143" spans="1:6">
      <c r="A143" s="195"/>
      <c r="B143" s="195"/>
      <c r="C143" s="195"/>
      <c r="D143" s="1119" t="s">
        <v>838</v>
      </c>
      <c r="E143" s="104">
        <v>5578</v>
      </c>
      <c r="F143" s="115"/>
    </row>
    <row r="144" spans="1:6">
      <c r="A144" s="195"/>
      <c r="B144" s="195"/>
      <c r="C144" s="195"/>
      <c r="D144" s="1119" t="s">
        <v>2790</v>
      </c>
      <c r="E144" s="96"/>
      <c r="F144" s="115"/>
    </row>
    <row r="145" spans="1:6">
      <c r="A145" s="195"/>
      <c r="B145" s="195"/>
      <c r="C145" s="195"/>
      <c r="D145" s="1119" t="s">
        <v>839</v>
      </c>
      <c r="E145" s="104">
        <v>22244</v>
      </c>
      <c r="F145" s="115"/>
    </row>
    <row r="146" spans="1:6">
      <c r="A146" s="195"/>
      <c r="B146" s="195"/>
      <c r="C146" s="195"/>
      <c r="D146" s="1119" t="s">
        <v>2791</v>
      </c>
      <c r="E146" s="96"/>
      <c r="F146" s="115"/>
    </row>
    <row r="147" spans="1:6">
      <c r="A147" s="195"/>
      <c r="B147" s="195"/>
      <c r="C147" s="195"/>
      <c r="D147" s="1119" t="s">
        <v>1084</v>
      </c>
      <c r="E147" s="96"/>
      <c r="F147" s="115"/>
    </row>
    <row r="148" spans="1:6">
      <c r="A148" s="195"/>
      <c r="B148" s="195"/>
      <c r="C148" s="195"/>
      <c r="D148" s="1119" t="s">
        <v>2792</v>
      </c>
      <c r="E148" s="96"/>
      <c r="F148" s="115"/>
    </row>
    <row r="149" spans="1:6">
      <c r="A149" s="195"/>
      <c r="B149" s="195"/>
      <c r="C149" s="195"/>
      <c r="D149" s="1119" t="s">
        <v>2793</v>
      </c>
      <c r="E149" s="96"/>
      <c r="F149" s="115"/>
    </row>
    <row r="150" spans="1:6">
      <c r="A150" s="195"/>
      <c r="B150" s="195"/>
      <c r="C150" s="195"/>
      <c r="D150" s="1119" t="s">
        <v>2794</v>
      </c>
      <c r="E150" s="96"/>
      <c r="F150" s="115"/>
    </row>
    <row r="151" spans="1:6">
      <c r="A151" s="195"/>
      <c r="B151" s="195"/>
      <c r="C151" s="195"/>
      <c r="D151" s="1119" t="s">
        <v>840</v>
      </c>
      <c r="E151" s="104">
        <v>18095</v>
      </c>
      <c r="F151" s="115"/>
    </row>
    <row r="152" spans="1:6">
      <c r="A152" s="195"/>
      <c r="B152" s="195"/>
      <c r="C152" s="195"/>
      <c r="D152" s="1119" t="s">
        <v>841</v>
      </c>
      <c r="E152" s="104">
        <v>31056</v>
      </c>
      <c r="F152" s="115"/>
    </row>
    <row r="153" spans="1:6">
      <c r="A153" s="195"/>
      <c r="B153" s="195"/>
      <c r="C153" s="195"/>
      <c r="D153" s="1119" t="s">
        <v>842</v>
      </c>
      <c r="E153" s="104">
        <v>27512</v>
      </c>
      <c r="F153" s="115"/>
    </row>
    <row r="154" spans="1:6">
      <c r="A154" s="195"/>
      <c r="B154" s="195"/>
      <c r="C154" s="195"/>
      <c r="D154" s="1119" t="s">
        <v>843</v>
      </c>
      <c r="E154" s="104">
        <v>-2000</v>
      </c>
      <c r="F154" s="115"/>
    </row>
    <row r="155" spans="1:6">
      <c r="A155" s="195"/>
      <c r="B155" s="195"/>
      <c r="C155" s="195"/>
      <c r="D155" s="1119" t="s">
        <v>2795</v>
      </c>
      <c r="E155" s="96"/>
      <c r="F155" s="115"/>
    </row>
    <row r="156" spans="1:6">
      <c r="A156" s="195"/>
      <c r="B156" s="195"/>
      <c r="C156" s="195"/>
      <c r="D156" s="1119" t="s">
        <v>2796</v>
      </c>
      <c r="E156" s="96"/>
      <c r="F156" s="115"/>
    </row>
    <row r="157" spans="1:6">
      <c r="A157" s="195"/>
      <c r="B157" s="195"/>
      <c r="C157" s="195"/>
      <c r="D157" s="1119" t="s">
        <v>2797</v>
      </c>
      <c r="E157" s="96"/>
      <c r="F157" s="115"/>
    </row>
    <row r="158" spans="1:6">
      <c r="A158" s="195"/>
      <c r="B158" s="195"/>
      <c r="C158" s="195"/>
      <c r="D158" s="1119" t="s">
        <v>2798</v>
      </c>
      <c r="E158" s="96"/>
      <c r="F158" s="115"/>
    </row>
    <row r="159" spans="1:6">
      <c r="A159" s="195"/>
      <c r="B159" s="195"/>
      <c r="C159" s="195"/>
      <c r="D159" s="1119" t="s">
        <v>2629</v>
      </c>
      <c r="E159" s="104">
        <v>1054352</v>
      </c>
      <c r="F159" s="115"/>
    </row>
    <row r="160" spans="1:6">
      <c r="A160" s="195"/>
      <c r="B160" s="195"/>
      <c r="C160" s="195"/>
      <c r="D160" s="1119" t="s">
        <v>2630</v>
      </c>
      <c r="E160" s="104">
        <v>367927</v>
      </c>
      <c r="F160" s="115"/>
    </row>
    <row r="161" spans="1:6">
      <c r="A161" s="195"/>
      <c r="B161" s="195"/>
      <c r="C161" s="195"/>
      <c r="D161" s="1119" t="s">
        <v>2049</v>
      </c>
      <c r="E161" s="96"/>
      <c r="F161" s="115"/>
    </row>
    <row r="162" spans="1:6">
      <c r="A162" s="195"/>
      <c r="B162" s="195"/>
      <c r="C162" s="195"/>
      <c r="D162" s="1119" t="s">
        <v>1085</v>
      </c>
      <c r="E162" s="96"/>
      <c r="F162" s="115"/>
    </row>
    <row r="163" spans="1:6">
      <c r="A163" s="195"/>
      <c r="B163" s="195"/>
      <c r="C163" s="195"/>
      <c r="D163" s="1119" t="s">
        <v>1241</v>
      </c>
      <c r="E163" s="96"/>
      <c r="F163" s="115"/>
    </row>
    <row r="164" spans="1:6">
      <c r="A164" s="195"/>
      <c r="B164" s="195"/>
      <c r="C164" s="195"/>
      <c r="D164" s="1119" t="s">
        <v>844</v>
      </c>
      <c r="E164" s="104">
        <v>-2100</v>
      </c>
      <c r="F164" s="115"/>
    </row>
    <row r="165" spans="1:6">
      <c r="A165" s="195"/>
      <c r="B165" s="195"/>
      <c r="C165" s="195"/>
      <c r="D165" s="1119" t="s">
        <v>1841</v>
      </c>
      <c r="E165" s="104">
        <v>23239</v>
      </c>
      <c r="F165" s="115"/>
    </row>
    <row r="166" spans="1:6">
      <c r="A166" s="195"/>
      <c r="B166" s="195"/>
      <c r="C166" s="195"/>
      <c r="D166" s="1119" t="s">
        <v>2799</v>
      </c>
      <c r="E166" s="96"/>
      <c r="F166" s="115"/>
    </row>
    <row r="167" spans="1:6">
      <c r="A167" s="195"/>
      <c r="B167" s="195"/>
      <c r="C167" s="195"/>
      <c r="D167" s="1119" t="s">
        <v>845</v>
      </c>
      <c r="E167" s="104">
        <v>-5745</v>
      </c>
      <c r="F167" s="115"/>
    </row>
    <row r="168" spans="1:6">
      <c r="A168" s="195"/>
      <c r="B168" s="195"/>
      <c r="C168" s="195"/>
      <c r="D168" s="1119" t="s">
        <v>1513</v>
      </c>
      <c r="E168" s="96"/>
      <c r="F168" s="115"/>
    </row>
    <row r="169" spans="1:6">
      <c r="A169" s="195"/>
      <c r="B169" s="195"/>
      <c r="C169" s="195"/>
      <c r="D169" s="1119" t="s">
        <v>2800</v>
      </c>
      <c r="E169" s="96"/>
      <c r="F169" s="115"/>
    </row>
    <row r="170" spans="1:6">
      <c r="A170" s="195"/>
      <c r="B170" s="195"/>
      <c r="C170" s="195"/>
      <c r="D170" s="1119" t="s">
        <v>2801</v>
      </c>
      <c r="E170" s="96"/>
      <c r="F170" s="115"/>
    </row>
    <row r="171" spans="1:6">
      <c r="A171" s="195"/>
      <c r="B171" s="195"/>
      <c r="C171" s="195"/>
      <c r="D171" s="1119" t="s">
        <v>2802</v>
      </c>
      <c r="E171" s="96"/>
      <c r="F171" s="115"/>
    </row>
    <row r="172" spans="1:6">
      <c r="A172" s="195"/>
      <c r="B172" s="195"/>
      <c r="C172" s="195"/>
      <c r="D172" s="1119" t="s">
        <v>1738</v>
      </c>
      <c r="E172" s="96"/>
      <c r="F172" s="115"/>
    </row>
    <row r="173" spans="1:6">
      <c r="A173" s="195"/>
      <c r="B173" s="195"/>
      <c r="C173" s="195"/>
      <c r="D173" s="1119" t="s">
        <v>2803</v>
      </c>
      <c r="E173" s="96"/>
      <c r="F173" s="115"/>
    </row>
    <row r="174" spans="1:6">
      <c r="A174" s="195"/>
      <c r="B174" s="195"/>
      <c r="C174" s="195"/>
      <c r="D174" s="1119" t="s">
        <v>2804</v>
      </c>
      <c r="E174" s="96"/>
      <c r="F174" s="115"/>
    </row>
    <row r="175" spans="1:6">
      <c r="A175" s="195"/>
      <c r="B175" s="195"/>
      <c r="C175" s="195"/>
      <c r="D175" s="1119" t="s">
        <v>2805</v>
      </c>
      <c r="E175" s="96"/>
      <c r="F175" s="115"/>
    </row>
    <row r="176" spans="1:6">
      <c r="A176" s="195"/>
      <c r="B176" s="195"/>
      <c r="C176" s="195"/>
      <c r="D176" s="1119" t="s">
        <v>2806</v>
      </c>
      <c r="E176" s="96"/>
      <c r="F176" s="115"/>
    </row>
    <row r="177" spans="1:6">
      <c r="A177" s="195"/>
      <c r="B177" s="195"/>
      <c r="C177" s="195"/>
      <c r="D177" s="1119" t="s">
        <v>1514</v>
      </c>
      <c r="E177" s="96"/>
      <c r="F177" s="115"/>
    </row>
    <row r="178" spans="1:6">
      <c r="A178" s="195"/>
      <c r="B178" s="195"/>
      <c r="C178" s="195"/>
      <c r="D178" s="1119" t="s">
        <v>2807</v>
      </c>
      <c r="E178" s="96"/>
      <c r="F178" s="115"/>
    </row>
    <row r="179" spans="1:6">
      <c r="A179" s="195"/>
      <c r="B179" s="195"/>
      <c r="C179" s="195"/>
      <c r="D179" s="1119" t="s">
        <v>2808</v>
      </c>
      <c r="E179" s="96"/>
      <c r="F179" s="115"/>
    </row>
    <row r="180" spans="1:6">
      <c r="A180" s="195"/>
      <c r="B180" s="195"/>
      <c r="C180" s="195"/>
      <c r="D180" s="1119" t="s">
        <v>2809</v>
      </c>
      <c r="E180" s="96"/>
      <c r="F180" s="115"/>
    </row>
    <row r="181" spans="1:6">
      <c r="A181" s="195"/>
      <c r="B181" s="195"/>
      <c r="C181" s="195"/>
      <c r="D181" s="1119" t="s">
        <v>2810</v>
      </c>
      <c r="E181" s="96"/>
      <c r="F181" s="115"/>
    </row>
    <row r="182" spans="1:6">
      <c r="A182" s="195"/>
      <c r="B182" s="195"/>
      <c r="C182" s="195"/>
      <c r="D182" s="1119" t="s">
        <v>2811</v>
      </c>
      <c r="E182" s="96"/>
      <c r="F182" s="115"/>
    </row>
    <row r="183" spans="1:6">
      <c r="A183" s="195"/>
      <c r="B183" s="195"/>
      <c r="C183" s="195"/>
      <c r="D183" s="1119" t="s">
        <v>2812</v>
      </c>
      <c r="E183" s="96"/>
      <c r="F183" s="115"/>
    </row>
    <row r="184" spans="1:6">
      <c r="A184" s="195"/>
      <c r="B184" s="195"/>
      <c r="C184" s="195"/>
      <c r="D184" s="1119" t="s">
        <v>2813</v>
      </c>
      <c r="E184" s="96"/>
      <c r="F184" s="115"/>
    </row>
    <row r="185" spans="1:6">
      <c r="A185" s="195"/>
      <c r="B185" s="195"/>
      <c r="C185" s="195"/>
      <c r="D185" s="1119" t="s">
        <v>2814</v>
      </c>
      <c r="E185" s="96"/>
      <c r="F185" s="115"/>
    </row>
    <row r="186" spans="1:6">
      <c r="A186" s="195"/>
      <c r="B186" s="195"/>
      <c r="C186" s="195"/>
      <c r="D186" s="1119" t="s">
        <v>2815</v>
      </c>
      <c r="E186" s="96"/>
      <c r="F186" s="115"/>
    </row>
    <row r="187" spans="1:6">
      <c r="A187" s="195"/>
      <c r="B187" s="195"/>
      <c r="C187" s="195"/>
      <c r="D187" s="1119" t="s">
        <v>2816</v>
      </c>
      <c r="E187" s="96"/>
      <c r="F187" s="115"/>
    </row>
    <row r="188" spans="1:6">
      <c r="A188" s="195"/>
      <c r="B188" s="195"/>
      <c r="C188" s="195"/>
      <c r="D188" s="1119" t="s">
        <v>2817</v>
      </c>
      <c r="E188" s="96"/>
      <c r="F188" s="115"/>
    </row>
    <row r="189" spans="1:6">
      <c r="A189" s="195"/>
      <c r="B189" s="195"/>
      <c r="C189" s="195"/>
      <c r="D189" s="1119" t="s">
        <v>2818</v>
      </c>
      <c r="E189" s="96"/>
      <c r="F189" s="115"/>
    </row>
    <row r="190" spans="1:6">
      <c r="A190" s="195"/>
      <c r="B190" s="195"/>
      <c r="C190" s="195"/>
      <c r="D190" s="1119" t="s">
        <v>2819</v>
      </c>
      <c r="E190" s="96"/>
      <c r="F190" s="115"/>
    </row>
    <row r="191" spans="1:6">
      <c r="A191" s="195"/>
      <c r="B191" s="195"/>
      <c r="C191" s="195"/>
      <c r="D191" s="1119" t="s">
        <v>2820</v>
      </c>
      <c r="E191" s="96"/>
      <c r="F191" s="115"/>
    </row>
    <row r="192" spans="1:6">
      <c r="A192" s="195"/>
      <c r="B192" s="195"/>
      <c r="C192" s="195"/>
      <c r="D192" s="1119" t="s">
        <v>2821</v>
      </c>
      <c r="E192" s="96"/>
      <c r="F192" s="115"/>
    </row>
    <row r="193" spans="1:6">
      <c r="A193" s="195"/>
      <c r="B193" s="195"/>
      <c r="C193" s="195"/>
      <c r="D193" s="1119" t="s">
        <v>2822</v>
      </c>
      <c r="E193" s="96"/>
      <c r="F193" s="115"/>
    </row>
    <row r="194" spans="1:6">
      <c r="A194" s="195"/>
      <c r="B194" s="195"/>
      <c r="C194" s="195"/>
      <c r="D194" s="1119" t="s">
        <v>2823</v>
      </c>
      <c r="E194" s="96"/>
      <c r="F194" s="115"/>
    </row>
    <row r="195" spans="1:6">
      <c r="A195" s="195"/>
      <c r="B195" s="195"/>
      <c r="C195" s="195"/>
      <c r="D195" s="1119" t="s">
        <v>2824</v>
      </c>
      <c r="E195" s="96"/>
      <c r="F195" s="115"/>
    </row>
    <row r="196" spans="1:6">
      <c r="A196" s="195"/>
      <c r="B196" s="195"/>
      <c r="C196" s="195"/>
      <c r="D196" s="1119" t="s">
        <v>2825</v>
      </c>
      <c r="E196" s="96"/>
      <c r="F196" s="115"/>
    </row>
    <row r="197" spans="1:6">
      <c r="A197" s="195"/>
      <c r="B197" s="195"/>
      <c r="C197" s="195"/>
      <c r="D197" s="1119" t="s">
        <v>2826</v>
      </c>
      <c r="E197" s="96"/>
      <c r="F197" s="115"/>
    </row>
    <row r="198" spans="1:6">
      <c r="A198" s="195"/>
      <c r="B198" s="195"/>
      <c r="C198" s="195"/>
      <c r="D198" s="1119" t="s">
        <v>2827</v>
      </c>
      <c r="E198" s="96"/>
      <c r="F198" s="115"/>
    </row>
    <row r="199" spans="1:6">
      <c r="A199" s="195"/>
      <c r="B199" s="195"/>
      <c r="C199" s="195"/>
      <c r="D199" s="1119" t="s">
        <v>2828</v>
      </c>
      <c r="E199" s="96"/>
      <c r="F199" s="115"/>
    </row>
    <row r="200" spans="1:6">
      <c r="A200" s="195"/>
      <c r="B200" s="195"/>
      <c r="C200" s="195"/>
      <c r="D200" s="1119" t="s">
        <v>2829</v>
      </c>
      <c r="E200" s="96"/>
      <c r="F200" s="115"/>
    </row>
    <row r="201" spans="1:6">
      <c r="A201" s="195"/>
      <c r="B201" s="195"/>
      <c r="C201" s="195"/>
      <c r="D201" s="1119" t="s">
        <v>1515</v>
      </c>
      <c r="E201" s="96"/>
      <c r="F201" s="115"/>
    </row>
    <row r="202" spans="1:6">
      <c r="A202" s="195"/>
      <c r="B202" s="195"/>
      <c r="C202" s="195"/>
      <c r="D202" s="1119" t="s">
        <v>2830</v>
      </c>
      <c r="E202" s="96"/>
      <c r="F202" s="115"/>
    </row>
    <row r="203" spans="1:6">
      <c r="A203" s="195"/>
      <c r="B203" s="195"/>
      <c r="C203" s="195"/>
      <c r="D203" s="1119" t="s">
        <v>2831</v>
      </c>
      <c r="E203" s="96"/>
      <c r="F203" s="115"/>
    </row>
    <row r="204" spans="1:6">
      <c r="A204" s="195"/>
      <c r="B204" s="195"/>
      <c r="C204" s="195"/>
      <c r="D204" s="1119" t="s">
        <v>846</v>
      </c>
      <c r="E204" s="104">
        <v>3188</v>
      </c>
      <c r="F204" s="115"/>
    </row>
    <row r="205" spans="1:6">
      <c r="A205" s="195"/>
      <c r="B205" s="195"/>
      <c r="C205" s="195"/>
      <c r="D205" s="1119" t="s">
        <v>847</v>
      </c>
      <c r="E205" s="96"/>
      <c r="F205" s="115"/>
    </row>
    <row r="206" spans="1:6">
      <c r="A206" s="195"/>
      <c r="B206" s="195"/>
      <c r="C206" s="195"/>
      <c r="D206" s="1119" t="s">
        <v>1516</v>
      </c>
      <c r="E206" s="104">
        <v>-60</v>
      </c>
      <c r="F206" s="115"/>
    </row>
    <row r="207" spans="1:6">
      <c r="A207" s="195"/>
      <c r="B207" s="195"/>
      <c r="C207" s="195"/>
      <c r="D207" s="1119" t="s">
        <v>2832</v>
      </c>
      <c r="E207" s="96"/>
      <c r="F207" s="115"/>
    </row>
    <row r="208" spans="1:6">
      <c r="A208" s="195"/>
      <c r="B208" s="195"/>
      <c r="C208" s="195"/>
      <c r="D208" s="1119" t="s">
        <v>941</v>
      </c>
      <c r="E208" s="104">
        <v>3752</v>
      </c>
      <c r="F208" s="115"/>
    </row>
    <row r="209" spans="1:6">
      <c r="A209" s="195"/>
      <c r="B209" s="195"/>
      <c r="C209" s="195"/>
      <c r="D209" s="1119" t="s">
        <v>2050</v>
      </c>
      <c r="E209" s="96"/>
      <c r="F209" s="115"/>
    </row>
    <row r="210" spans="1:6">
      <c r="A210" s="195"/>
      <c r="B210" s="195"/>
      <c r="C210" s="195"/>
      <c r="D210" s="1119" t="s">
        <v>2182</v>
      </c>
      <c r="E210" s="104">
        <v>53725.55</v>
      </c>
      <c r="F210" s="115"/>
    </row>
    <row r="211" spans="1:6">
      <c r="A211" s="195"/>
      <c r="B211" s="195"/>
      <c r="C211" s="195"/>
      <c r="D211" s="1119" t="s">
        <v>848</v>
      </c>
      <c r="E211" s="96"/>
      <c r="F211" s="115"/>
    </row>
    <row r="212" spans="1:6">
      <c r="A212" s="195"/>
      <c r="B212" s="195"/>
      <c r="C212" s="195"/>
      <c r="D212" s="1119" t="s">
        <v>2631</v>
      </c>
      <c r="E212" s="104">
        <v>309993</v>
      </c>
      <c r="F212" s="115"/>
    </row>
    <row r="213" spans="1:6">
      <c r="A213" s="195"/>
      <c r="B213" s="195"/>
      <c r="C213" s="195"/>
      <c r="D213" s="1119" t="s">
        <v>2202</v>
      </c>
      <c r="E213" s="104">
        <v>-13</v>
      </c>
      <c r="F213" s="115"/>
    </row>
    <row r="214" spans="1:6">
      <c r="A214" s="195"/>
      <c r="B214" s="195"/>
      <c r="C214" s="195"/>
      <c r="D214" s="1119" t="s">
        <v>1517</v>
      </c>
      <c r="E214" s="104">
        <v>29772</v>
      </c>
      <c r="F214" s="115"/>
    </row>
    <row r="215" spans="1:6">
      <c r="A215" s="195"/>
      <c r="B215" s="195"/>
      <c r="C215" s="195"/>
      <c r="D215" s="1119" t="s">
        <v>2833</v>
      </c>
      <c r="E215" s="96"/>
      <c r="F215" s="115"/>
    </row>
    <row r="216" spans="1:6">
      <c r="A216" s="195"/>
      <c r="B216" s="195"/>
      <c r="C216" s="195"/>
      <c r="D216" s="1119" t="s">
        <v>849</v>
      </c>
      <c r="E216" s="104">
        <v>-1000</v>
      </c>
      <c r="F216" s="115"/>
    </row>
    <row r="217" spans="1:6">
      <c r="A217" s="195"/>
      <c r="B217" s="195"/>
      <c r="C217" s="195"/>
      <c r="D217" s="1119" t="s">
        <v>850</v>
      </c>
      <c r="E217" s="104">
        <v>2950</v>
      </c>
      <c r="F217" s="115"/>
    </row>
    <row r="218" spans="1:6">
      <c r="A218" s="195"/>
      <c r="B218" s="195"/>
      <c r="C218" s="195"/>
      <c r="D218" s="1119" t="s">
        <v>2834</v>
      </c>
      <c r="E218" s="96"/>
      <c r="F218" s="115"/>
    </row>
    <row r="219" spans="1:6">
      <c r="A219" s="195"/>
      <c r="B219" s="195"/>
      <c r="C219" s="195"/>
      <c r="D219" s="1119" t="s">
        <v>2835</v>
      </c>
      <c r="E219" s="96"/>
      <c r="F219" s="115"/>
    </row>
    <row r="220" spans="1:6">
      <c r="A220" s="195"/>
      <c r="B220" s="195"/>
      <c r="C220" s="195"/>
      <c r="D220" s="1119" t="s">
        <v>2183</v>
      </c>
      <c r="E220" s="104">
        <v>47479</v>
      </c>
      <c r="F220" s="115"/>
    </row>
    <row r="221" spans="1:6">
      <c r="A221" s="195"/>
      <c r="B221" s="195"/>
      <c r="C221" s="195"/>
      <c r="D221" s="1119" t="s">
        <v>1739</v>
      </c>
      <c r="E221" s="104">
        <v>5501</v>
      </c>
      <c r="F221" s="115"/>
    </row>
    <row r="222" spans="1:6">
      <c r="A222" s="195"/>
      <c r="B222" s="195"/>
      <c r="C222" s="195"/>
      <c r="D222" s="1119" t="s">
        <v>2836</v>
      </c>
      <c r="E222" s="96"/>
      <c r="F222" s="115"/>
    </row>
    <row r="223" spans="1:6">
      <c r="A223" s="195"/>
      <c r="B223" s="195"/>
      <c r="C223" s="195"/>
      <c r="D223" s="1119" t="s">
        <v>1518</v>
      </c>
      <c r="E223" s="96"/>
      <c r="F223" s="115"/>
    </row>
    <row r="224" spans="1:6">
      <c r="A224" s="195"/>
      <c r="B224" s="195"/>
      <c r="C224" s="195"/>
      <c r="D224" s="1119" t="s">
        <v>1240</v>
      </c>
      <c r="E224" s="104">
        <v>15054</v>
      </c>
      <c r="F224" s="115"/>
    </row>
    <row r="225" spans="1:6">
      <c r="A225" s="195"/>
      <c r="B225" s="195"/>
      <c r="C225" s="195"/>
      <c r="D225" s="1119" t="s">
        <v>2837</v>
      </c>
      <c r="E225" s="96"/>
      <c r="F225" s="115"/>
    </row>
    <row r="226" spans="1:6">
      <c r="A226" s="195"/>
      <c r="B226" s="195"/>
      <c r="C226" s="195"/>
      <c r="D226" s="1119" t="s">
        <v>2838</v>
      </c>
      <c r="E226" s="96"/>
      <c r="F226" s="115"/>
    </row>
    <row r="227" spans="1:6">
      <c r="A227" s="195"/>
      <c r="B227" s="195"/>
      <c r="C227" s="195"/>
      <c r="D227" s="1119" t="s">
        <v>2839</v>
      </c>
      <c r="E227" s="96"/>
      <c r="F227" s="115"/>
    </row>
    <row r="228" spans="1:6">
      <c r="A228" s="195"/>
      <c r="B228" s="195"/>
      <c r="C228" s="195"/>
      <c r="D228" s="1119" t="s">
        <v>2840</v>
      </c>
      <c r="E228" s="96"/>
      <c r="F228" s="115"/>
    </row>
    <row r="229" spans="1:6">
      <c r="A229" s="195"/>
      <c r="B229" s="195"/>
      <c r="C229" s="195"/>
      <c r="D229" s="1119" t="s">
        <v>2841</v>
      </c>
      <c r="E229" s="96"/>
      <c r="F229" s="115"/>
    </row>
    <row r="230" spans="1:6">
      <c r="A230" s="195"/>
      <c r="B230" s="195"/>
      <c r="C230" s="195"/>
      <c r="D230" s="1119" t="s">
        <v>2842</v>
      </c>
      <c r="E230" s="96"/>
      <c r="F230" s="115"/>
    </row>
    <row r="231" spans="1:6">
      <c r="A231" s="195"/>
      <c r="B231" s="195"/>
      <c r="C231" s="195"/>
      <c r="D231" s="1119" t="s">
        <v>2843</v>
      </c>
      <c r="E231" s="96"/>
      <c r="F231" s="115"/>
    </row>
    <row r="232" spans="1:6">
      <c r="A232" s="195"/>
      <c r="B232" s="195"/>
      <c r="C232" s="195"/>
      <c r="D232" s="1119" t="s">
        <v>2844</v>
      </c>
      <c r="E232" s="96"/>
      <c r="F232" s="115"/>
    </row>
    <row r="233" spans="1:6">
      <c r="A233" s="195"/>
      <c r="B233" s="195"/>
      <c r="C233" s="195"/>
      <c r="D233" s="1119" t="s">
        <v>2845</v>
      </c>
      <c r="E233" s="96"/>
      <c r="F233" s="115"/>
    </row>
    <row r="234" spans="1:6">
      <c r="A234" s="195"/>
      <c r="B234" s="195"/>
      <c r="C234" s="195"/>
      <c r="D234" s="1119" t="s">
        <v>2846</v>
      </c>
      <c r="E234" s="96"/>
      <c r="F234" s="115"/>
    </row>
    <row r="235" spans="1:6">
      <c r="A235" s="195"/>
      <c r="B235" s="195"/>
      <c r="C235" s="195"/>
      <c r="D235" s="1119" t="s">
        <v>2847</v>
      </c>
      <c r="E235" s="96"/>
      <c r="F235" s="115"/>
    </row>
    <row r="236" spans="1:6">
      <c r="A236" s="195"/>
      <c r="B236" s="195"/>
      <c r="C236" s="195"/>
      <c r="D236" s="1119" t="s">
        <v>2848</v>
      </c>
      <c r="E236" s="96"/>
      <c r="F236" s="115"/>
    </row>
    <row r="237" spans="1:6">
      <c r="A237" s="195"/>
      <c r="B237" s="195"/>
      <c r="C237" s="195"/>
      <c r="D237" s="1119" t="s">
        <v>1519</v>
      </c>
      <c r="E237" s="96"/>
      <c r="F237" s="115"/>
    </row>
    <row r="238" spans="1:6">
      <c r="A238" s="195"/>
      <c r="B238" s="195"/>
      <c r="C238" s="195"/>
      <c r="D238" s="1119" t="s">
        <v>851</v>
      </c>
      <c r="E238" s="96"/>
      <c r="F238" s="115"/>
    </row>
    <row r="239" spans="1:6">
      <c r="A239" s="195"/>
      <c r="B239" s="195"/>
      <c r="C239" s="195"/>
      <c r="D239" s="1119" t="s">
        <v>1086</v>
      </c>
      <c r="E239" s="96"/>
      <c r="F239" s="115"/>
    </row>
    <row r="240" spans="1:6">
      <c r="A240" s="195"/>
      <c r="B240" s="195"/>
      <c r="C240" s="195"/>
      <c r="D240" s="1119" t="s">
        <v>852</v>
      </c>
      <c r="E240" s="96"/>
      <c r="F240" s="115"/>
    </row>
    <row r="241" spans="1:6">
      <c r="A241" s="195"/>
      <c r="B241" s="195"/>
      <c r="C241" s="195"/>
      <c r="D241" s="1119" t="s">
        <v>1740</v>
      </c>
      <c r="E241" s="96"/>
      <c r="F241" s="115"/>
    </row>
    <row r="242" spans="1:6">
      <c r="A242" s="195"/>
      <c r="B242" s="195"/>
      <c r="C242" s="195"/>
      <c r="D242" s="1119" t="s">
        <v>2184</v>
      </c>
      <c r="E242" s="104">
        <v>323536</v>
      </c>
      <c r="F242" s="115"/>
    </row>
    <row r="243" spans="1:6">
      <c r="A243" s="195"/>
      <c r="B243" s="195"/>
      <c r="C243" s="195"/>
      <c r="D243" s="1119" t="s">
        <v>853</v>
      </c>
      <c r="E243" s="96"/>
      <c r="F243" s="115"/>
    </row>
    <row r="244" spans="1:6">
      <c r="A244" s="195"/>
      <c r="B244" s="195"/>
      <c r="C244" s="195"/>
      <c r="D244" s="1119" t="s">
        <v>2849</v>
      </c>
      <c r="E244" s="96"/>
      <c r="F244" s="115"/>
    </row>
    <row r="245" spans="1:6">
      <c r="A245" s="195"/>
      <c r="B245" s="195"/>
      <c r="C245" s="195"/>
      <c r="D245" s="1119" t="s">
        <v>2185</v>
      </c>
      <c r="E245" s="104">
        <v>313974.3</v>
      </c>
      <c r="F245" s="115"/>
    </row>
    <row r="246" spans="1:6">
      <c r="A246" s="195"/>
      <c r="B246" s="195"/>
      <c r="C246" s="195"/>
      <c r="D246" s="1119" t="s">
        <v>2186</v>
      </c>
      <c r="E246" s="104">
        <v>404235</v>
      </c>
      <c r="F246" s="115"/>
    </row>
    <row r="247" spans="1:6">
      <c r="A247" s="195"/>
      <c r="B247" s="195"/>
      <c r="C247" s="195"/>
      <c r="D247" s="1119" t="s">
        <v>1087</v>
      </c>
      <c r="E247" s="96"/>
      <c r="F247" s="115"/>
    </row>
    <row r="248" spans="1:6">
      <c r="A248" s="195"/>
      <c r="B248" s="195"/>
      <c r="C248" s="195"/>
      <c r="D248" s="1119" t="s">
        <v>2850</v>
      </c>
      <c r="E248" s="96"/>
      <c r="F248" s="115"/>
    </row>
    <row r="249" spans="1:6">
      <c r="A249" s="195"/>
      <c r="B249" s="195"/>
      <c r="C249" s="195"/>
      <c r="D249" s="1119" t="s">
        <v>854</v>
      </c>
      <c r="E249" s="104">
        <v>-2494</v>
      </c>
      <c r="F249" s="115"/>
    </row>
    <row r="250" spans="1:6">
      <c r="A250" s="195"/>
      <c r="B250" s="195"/>
      <c r="C250" s="195"/>
      <c r="D250" s="1119" t="s">
        <v>2187</v>
      </c>
      <c r="E250" s="104">
        <v>14117</v>
      </c>
      <c r="F250" s="115"/>
    </row>
    <row r="251" spans="1:6">
      <c r="A251" s="195"/>
      <c r="B251" s="195"/>
      <c r="C251" s="195"/>
      <c r="D251" s="1119" t="s">
        <v>2851</v>
      </c>
      <c r="E251" s="96"/>
      <c r="F251" s="115"/>
    </row>
    <row r="252" spans="1:6">
      <c r="A252" s="195"/>
      <c r="B252" s="195"/>
      <c r="C252" s="195"/>
      <c r="D252" s="1119" t="s">
        <v>2852</v>
      </c>
      <c r="E252" s="96"/>
      <c r="F252" s="115"/>
    </row>
    <row r="253" spans="1:6">
      <c r="A253" s="195"/>
      <c r="B253" s="195"/>
      <c r="C253" s="195"/>
      <c r="D253" s="1119" t="s">
        <v>1520</v>
      </c>
      <c r="E253" s="96"/>
      <c r="F253" s="115"/>
    </row>
    <row r="254" spans="1:6">
      <c r="A254" s="195"/>
      <c r="B254" s="195"/>
      <c r="C254" s="195"/>
      <c r="D254" s="1119" t="s">
        <v>1521</v>
      </c>
      <c r="E254" s="104">
        <v>-1577</v>
      </c>
      <c r="F254" s="115"/>
    </row>
    <row r="255" spans="1:6">
      <c r="A255" s="195"/>
      <c r="B255" s="195"/>
      <c r="C255" s="195"/>
      <c r="D255" s="1119" t="s">
        <v>2188</v>
      </c>
      <c r="E255" s="104">
        <v>388615.3</v>
      </c>
      <c r="F255" s="115"/>
    </row>
    <row r="256" spans="1:6">
      <c r="A256" s="195"/>
      <c r="B256" s="195"/>
      <c r="C256" s="195"/>
      <c r="D256" s="1119" t="s">
        <v>1741</v>
      </c>
      <c r="E256" s="96"/>
      <c r="F256" s="115"/>
    </row>
    <row r="257" spans="1:6">
      <c r="A257" s="195"/>
      <c r="B257" s="195"/>
      <c r="C257" s="195"/>
      <c r="D257" s="1119" t="s">
        <v>2853</v>
      </c>
      <c r="E257" s="96"/>
      <c r="F257" s="115"/>
    </row>
    <row r="258" spans="1:6">
      <c r="A258" s="195"/>
      <c r="B258" s="195"/>
      <c r="C258" s="195"/>
      <c r="D258" s="1119" t="s">
        <v>2854</v>
      </c>
      <c r="E258" s="96"/>
      <c r="F258" s="115"/>
    </row>
    <row r="259" spans="1:6">
      <c r="A259" s="195"/>
      <c r="B259" s="195"/>
      <c r="C259" s="195"/>
      <c r="D259" s="1119" t="s">
        <v>2855</v>
      </c>
      <c r="E259" s="96"/>
      <c r="F259" s="115"/>
    </row>
    <row r="260" spans="1:6">
      <c r="A260" s="195"/>
      <c r="B260" s="195"/>
      <c r="C260" s="195"/>
      <c r="D260" s="1119" t="s">
        <v>2856</v>
      </c>
      <c r="E260" s="96"/>
      <c r="F260" s="115"/>
    </row>
    <row r="261" spans="1:6">
      <c r="A261" s="195"/>
      <c r="B261" s="195"/>
      <c r="C261" s="195"/>
      <c r="D261" s="1119" t="s">
        <v>2857</v>
      </c>
      <c r="E261" s="96"/>
      <c r="F261" s="115"/>
    </row>
    <row r="262" spans="1:6">
      <c r="A262" s="195"/>
      <c r="B262" s="195"/>
      <c r="C262" s="195"/>
      <c r="D262" s="1119" t="s">
        <v>1522</v>
      </c>
      <c r="E262" s="96"/>
      <c r="F262" s="115"/>
    </row>
    <row r="263" spans="1:6">
      <c r="A263" s="195"/>
      <c r="B263" s="195"/>
      <c r="C263" s="195"/>
      <c r="D263" s="1119" t="s">
        <v>1523</v>
      </c>
      <c r="E263" s="96"/>
      <c r="F263" s="115"/>
    </row>
    <row r="264" spans="1:6">
      <c r="A264" s="195"/>
      <c r="B264" s="195"/>
      <c r="C264" s="195"/>
      <c r="D264" s="1119" t="s">
        <v>2189</v>
      </c>
      <c r="E264" s="104">
        <v>189757.25</v>
      </c>
      <c r="F264" s="115"/>
    </row>
    <row r="265" spans="1:6">
      <c r="A265" s="195"/>
      <c r="B265" s="195"/>
      <c r="C265" s="195"/>
      <c r="D265" s="1119" t="s">
        <v>2051</v>
      </c>
      <c r="E265" s="96"/>
      <c r="F265" s="115"/>
    </row>
    <row r="266" spans="1:6">
      <c r="A266" s="195"/>
      <c r="B266" s="195"/>
      <c r="C266" s="195"/>
      <c r="D266" s="1119" t="s">
        <v>1742</v>
      </c>
      <c r="E266" s="96"/>
      <c r="F266" s="115"/>
    </row>
    <row r="267" spans="1:6">
      <c r="A267" s="195"/>
      <c r="B267" s="195"/>
      <c r="C267" s="195"/>
      <c r="D267" s="1119" t="s">
        <v>2203</v>
      </c>
      <c r="E267" s="104">
        <v>-15.11</v>
      </c>
      <c r="F267" s="115"/>
    </row>
    <row r="268" spans="1:6">
      <c r="A268" s="195"/>
      <c r="B268" s="195"/>
      <c r="C268" s="195"/>
      <c r="D268" s="1119" t="s">
        <v>2190</v>
      </c>
      <c r="E268" s="104">
        <v>39745</v>
      </c>
      <c r="F268" s="115"/>
    </row>
    <row r="269" spans="1:6">
      <c r="A269" s="195"/>
      <c r="B269" s="195"/>
      <c r="C269" s="195"/>
      <c r="D269" s="1119" t="s">
        <v>2632</v>
      </c>
      <c r="E269" s="104">
        <v>161037</v>
      </c>
      <c r="F269" s="115"/>
    </row>
    <row r="270" spans="1:6">
      <c r="A270" s="195"/>
      <c r="B270" s="195"/>
      <c r="C270" s="195"/>
      <c r="D270" s="1119" t="s">
        <v>1743</v>
      </c>
      <c r="E270" s="104">
        <v>3530</v>
      </c>
      <c r="F270" s="115"/>
    </row>
    <row r="271" spans="1:6">
      <c r="A271" s="195"/>
      <c r="B271" s="195"/>
      <c r="C271" s="195"/>
      <c r="D271" s="1119" t="s">
        <v>1744</v>
      </c>
      <c r="E271" s="96"/>
      <c r="F271" s="115"/>
    </row>
    <row r="272" spans="1:6">
      <c r="A272" s="195"/>
      <c r="B272" s="195"/>
      <c r="C272" s="195"/>
      <c r="D272" s="1119" t="s">
        <v>2052</v>
      </c>
      <c r="E272" s="96"/>
      <c r="F272" s="115"/>
    </row>
    <row r="273" spans="1:6">
      <c r="A273" s="195"/>
      <c r="B273" s="195"/>
      <c r="C273" s="195"/>
      <c r="D273" s="1119" t="s">
        <v>2053</v>
      </c>
      <c r="E273" s="104">
        <v>60597.75</v>
      </c>
      <c r="F273" s="115"/>
    </row>
    <row r="274" spans="1:6">
      <c r="A274" s="195"/>
      <c r="B274" s="195"/>
      <c r="C274" s="195"/>
      <c r="D274" s="1119" t="s">
        <v>2191</v>
      </c>
      <c r="E274" s="104">
        <v>70915.75</v>
      </c>
      <c r="F274" s="115"/>
    </row>
    <row r="275" spans="1:6">
      <c r="A275" s="195"/>
      <c r="B275" s="195"/>
      <c r="C275" s="195"/>
      <c r="D275" s="1119" t="s">
        <v>855</v>
      </c>
      <c r="E275" s="104">
        <v>1372053.7</v>
      </c>
      <c r="F275" s="115"/>
    </row>
    <row r="276" spans="1:6">
      <c r="A276" s="195"/>
      <c r="B276" s="195"/>
      <c r="C276" s="195"/>
      <c r="D276" s="1119" t="s">
        <v>2192</v>
      </c>
      <c r="E276" s="96"/>
      <c r="F276" s="115"/>
    </row>
    <row r="277" spans="1:6">
      <c r="A277" s="195"/>
      <c r="B277" s="195"/>
      <c r="C277" s="195"/>
      <c r="D277" s="1119" t="s">
        <v>1239</v>
      </c>
      <c r="E277" s="104">
        <v>1500</v>
      </c>
      <c r="F277" s="115"/>
    </row>
    <row r="278" spans="1:6">
      <c r="A278" s="195"/>
      <c r="B278" s="195"/>
      <c r="C278" s="195"/>
      <c r="D278" s="1119" t="s">
        <v>2858</v>
      </c>
      <c r="E278" s="96"/>
      <c r="F278" s="115"/>
    </row>
    <row r="279" spans="1:6">
      <c r="A279" s="195"/>
      <c r="B279" s="195"/>
      <c r="C279" s="195"/>
      <c r="D279" s="1119" t="s">
        <v>256</v>
      </c>
      <c r="E279" s="104">
        <v>266917058.90000001</v>
      </c>
      <c r="F279" s="115"/>
    </row>
    <row r="280" spans="1:6">
      <c r="A280" s="195"/>
      <c r="B280" s="195"/>
      <c r="C280" s="195"/>
      <c r="D280" s="1119" t="s">
        <v>856</v>
      </c>
      <c r="E280" s="104">
        <v>-5611609.7999999998</v>
      </c>
      <c r="F280" s="115"/>
    </row>
    <row r="281" spans="1:6">
      <c r="A281" s="195"/>
      <c r="B281" s="195"/>
      <c r="C281" s="195"/>
      <c r="D281" s="1119" t="s">
        <v>857</v>
      </c>
      <c r="E281" s="104">
        <v>-177104349.30000001</v>
      </c>
      <c r="F281" s="115"/>
    </row>
    <row r="282" spans="1:6">
      <c r="A282" s="195"/>
      <c r="B282" s="195"/>
      <c r="C282" s="195"/>
      <c r="D282" s="1119" t="s">
        <v>858</v>
      </c>
      <c r="E282" s="104">
        <v>-84201099.799999997</v>
      </c>
      <c r="F282" s="115"/>
    </row>
    <row r="283" spans="1:6">
      <c r="A283" s="195"/>
      <c r="B283" s="195"/>
      <c r="C283" s="195"/>
      <c r="D283" s="1119" t="s">
        <v>1524</v>
      </c>
      <c r="E283" s="96"/>
      <c r="F283" s="115"/>
    </row>
    <row r="284" spans="1:6">
      <c r="A284" s="195"/>
      <c r="B284" s="195"/>
      <c r="C284" s="195"/>
      <c r="D284" s="1119" t="s">
        <v>2859</v>
      </c>
      <c r="E284" s="96"/>
      <c r="F284" s="115"/>
    </row>
    <row r="285" spans="1:6">
      <c r="A285" s="195"/>
      <c r="B285" s="195"/>
      <c r="C285" s="195"/>
      <c r="D285" s="1119" t="s">
        <v>1525</v>
      </c>
      <c r="E285" s="96"/>
      <c r="F285" s="115"/>
    </row>
    <row r="286" spans="1:6">
      <c r="A286" s="195"/>
      <c r="B286" s="195"/>
      <c r="C286" s="195"/>
      <c r="D286" s="1119" t="s">
        <v>859</v>
      </c>
      <c r="E286" s="104">
        <v>10812</v>
      </c>
      <c r="F286" s="115"/>
    </row>
    <row r="287" spans="1:6">
      <c r="A287" s="195"/>
      <c r="B287" s="195"/>
      <c r="C287" s="195"/>
      <c r="D287" s="1119" t="s">
        <v>860</v>
      </c>
      <c r="E287" s="104">
        <v>6042</v>
      </c>
      <c r="F287" s="115"/>
    </row>
    <row r="288" spans="1:6">
      <c r="A288" s="195"/>
      <c r="B288" s="195"/>
      <c r="C288" s="195"/>
      <c r="D288" s="1119" t="s">
        <v>1526</v>
      </c>
      <c r="E288" s="96"/>
      <c r="F288" s="115"/>
    </row>
    <row r="289" spans="1:6">
      <c r="A289" s="195"/>
      <c r="B289" s="195"/>
      <c r="C289" s="195"/>
      <c r="D289" s="1119" t="s">
        <v>2860</v>
      </c>
      <c r="E289" s="96"/>
      <c r="F289" s="115"/>
    </row>
    <row r="290" spans="1:6">
      <c r="A290" s="195"/>
      <c r="B290" s="195"/>
      <c r="C290" s="195"/>
      <c r="D290" s="1119" t="s">
        <v>1088</v>
      </c>
      <c r="E290" s="96"/>
      <c r="F290" s="115"/>
    </row>
    <row r="291" spans="1:6">
      <c r="A291" s="195"/>
      <c r="B291" s="195"/>
      <c r="C291" s="195"/>
      <c r="D291" s="1119" t="s">
        <v>2861</v>
      </c>
      <c r="E291" s="96"/>
      <c r="F291" s="115"/>
    </row>
    <row r="292" spans="1:6">
      <c r="A292" s="195"/>
      <c r="B292" s="195"/>
      <c r="C292" s="195"/>
      <c r="D292" s="1119" t="s">
        <v>1745</v>
      </c>
      <c r="E292" s="96"/>
      <c r="F292" s="115"/>
    </row>
    <row r="293" spans="1:6">
      <c r="A293" s="195"/>
      <c r="B293" s="195"/>
      <c r="C293" s="195"/>
      <c r="D293" s="1119" t="s">
        <v>861</v>
      </c>
      <c r="E293" s="104">
        <v>-6589</v>
      </c>
      <c r="F293" s="115"/>
    </row>
    <row r="294" spans="1:6">
      <c r="A294" s="195"/>
      <c r="B294" s="195"/>
      <c r="C294" s="195"/>
      <c r="D294" s="1119" t="s">
        <v>2862</v>
      </c>
      <c r="E294" s="96"/>
      <c r="F294" s="115"/>
    </row>
    <row r="295" spans="1:6">
      <c r="A295" s="195"/>
      <c r="B295" s="195"/>
      <c r="C295" s="195"/>
      <c r="D295" s="1119" t="s">
        <v>2863</v>
      </c>
      <c r="E295" s="96"/>
      <c r="F295" s="115"/>
    </row>
    <row r="296" spans="1:6">
      <c r="A296" s="195"/>
      <c r="B296" s="195"/>
      <c r="C296" s="195"/>
      <c r="D296" s="1119" t="s">
        <v>1238</v>
      </c>
      <c r="E296" s="96"/>
      <c r="F296" s="115"/>
    </row>
    <row r="297" spans="1:6">
      <c r="A297" s="195"/>
      <c r="B297" s="195"/>
      <c r="C297" s="195"/>
      <c r="D297" s="1119" t="s">
        <v>2864</v>
      </c>
      <c r="E297" s="96"/>
      <c r="F297" s="115"/>
    </row>
    <row r="298" spans="1:6">
      <c r="A298" s="195"/>
      <c r="B298" s="195"/>
      <c r="C298" s="195"/>
      <c r="D298" s="1119" t="s">
        <v>2054</v>
      </c>
      <c r="E298" s="96"/>
      <c r="F298" s="115"/>
    </row>
    <row r="299" spans="1:6">
      <c r="A299" s="195"/>
      <c r="B299" s="195"/>
      <c r="C299" s="195"/>
      <c r="D299" s="1119" t="s">
        <v>1527</v>
      </c>
      <c r="E299" s="96"/>
      <c r="F299" s="115"/>
    </row>
    <row r="300" spans="1:6">
      <c r="A300" s="195"/>
      <c r="B300" s="195"/>
      <c r="C300" s="195"/>
      <c r="D300" s="1119" t="s">
        <v>1528</v>
      </c>
      <c r="E300" s="96"/>
      <c r="F300" s="115"/>
    </row>
    <row r="301" spans="1:6">
      <c r="A301" s="195"/>
      <c r="B301" s="195"/>
      <c r="C301" s="195"/>
      <c r="D301" s="1119" t="s">
        <v>2865</v>
      </c>
      <c r="E301" s="96"/>
      <c r="F301" s="115"/>
    </row>
    <row r="302" spans="1:6">
      <c r="A302" s="195"/>
      <c r="B302" s="195"/>
      <c r="C302" s="195"/>
      <c r="D302" s="1119" t="s">
        <v>2866</v>
      </c>
      <c r="E302" s="96"/>
      <c r="F302" s="115"/>
    </row>
    <row r="303" spans="1:6">
      <c r="A303" s="195"/>
      <c r="B303" s="195"/>
      <c r="C303" s="195"/>
      <c r="D303" s="1119" t="s">
        <v>2193</v>
      </c>
      <c r="E303" s="104">
        <v>-1300</v>
      </c>
      <c r="F303" s="115"/>
    </row>
    <row r="304" spans="1:6">
      <c r="A304" s="195"/>
      <c r="B304" s="195"/>
      <c r="C304" s="195"/>
      <c r="D304" s="1119" t="s">
        <v>1529</v>
      </c>
      <c r="E304" s="96"/>
      <c r="F304" s="115"/>
    </row>
    <row r="305" spans="1:6">
      <c r="A305" s="195"/>
      <c r="B305" s="195"/>
      <c r="C305" s="195"/>
      <c r="D305" s="1119" t="s">
        <v>862</v>
      </c>
      <c r="E305" s="96"/>
      <c r="F305" s="115"/>
    </row>
    <row r="306" spans="1:6">
      <c r="A306" s="195"/>
      <c r="B306" s="195"/>
      <c r="C306" s="195"/>
      <c r="D306" s="1119" t="s">
        <v>2867</v>
      </c>
      <c r="E306" s="96"/>
      <c r="F306" s="115"/>
    </row>
    <row r="307" spans="1:6">
      <c r="A307" s="195"/>
      <c r="B307" s="195"/>
      <c r="C307" s="195"/>
      <c r="D307" s="1119" t="s">
        <v>2868</v>
      </c>
      <c r="E307" s="96"/>
      <c r="F307" s="115"/>
    </row>
    <row r="308" spans="1:6">
      <c r="A308" s="195"/>
      <c r="B308" s="195"/>
      <c r="C308" s="195"/>
      <c r="D308" s="1119" t="s">
        <v>1237</v>
      </c>
      <c r="E308" s="104">
        <v>69540</v>
      </c>
      <c r="F308" s="115"/>
    </row>
    <row r="309" spans="1:6">
      <c r="A309" s="195"/>
      <c r="B309" s="195"/>
      <c r="C309" s="195"/>
      <c r="D309" s="1119" t="s">
        <v>863</v>
      </c>
      <c r="E309" s="104">
        <v>6023</v>
      </c>
      <c r="F309" s="115"/>
    </row>
    <row r="310" spans="1:6">
      <c r="A310" s="195"/>
      <c r="B310" s="195"/>
      <c r="C310" s="195"/>
      <c r="D310" s="1119" t="s">
        <v>1089</v>
      </c>
      <c r="E310" s="104">
        <v>40029.199999999997</v>
      </c>
      <c r="F310" s="115"/>
    </row>
    <row r="311" spans="1:6">
      <c r="A311" s="195"/>
      <c r="B311" s="195"/>
      <c r="C311" s="195"/>
      <c r="D311" s="1119" t="s">
        <v>1236</v>
      </c>
      <c r="E311" s="104">
        <v>38444</v>
      </c>
      <c r="F311" s="115"/>
    </row>
    <row r="312" spans="1:6">
      <c r="A312" s="195"/>
      <c r="B312" s="195"/>
      <c r="C312" s="195"/>
      <c r="D312" s="1119" t="s">
        <v>1235</v>
      </c>
      <c r="E312" s="104">
        <v>-2987</v>
      </c>
      <c r="F312" s="115"/>
    </row>
    <row r="313" spans="1:6">
      <c r="A313" s="195"/>
      <c r="B313" s="195"/>
      <c r="C313" s="195"/>
      <c r="D313" s="1119" t="s">
        <v>2869</v>
      </c>
      <c r="E313" s="96"/>
      <c r="F313" s="115"/>
    </row>
    <row r="314" spans="1:6">
      <c r="A314" s="195"/>
      <c r="B314" s="195"/>
      <c r="C314" s="195"/>
      <c r="D314" s="1119" t="s">
        <v>2870</v>
      </c>
      <c r="E314" s="96"/>
      <c r="F314" s="115"/>
    </row>
    <row r="315" spans="1:6">
      <c r="A315" s="195"/>
      <c r="B315" s="195"/>
      <c r="C315" s="195"/>
      <c r="D315" s="1119" t="s">
        <v>864</v>
      </c>
      <c r="E315" s="104">
        <v>19090</v>
      </c>
      <c r="F315" s="115"/>
    </row>
    <row r="316" spans="1:6">
      <c r="A316" s="195"/>
      <c r="B316" s="195"/>
      <c r="C316" s="195"/>
      <c r="D316" s="1119" t="s">
        <v>2194</v>
      </c>
      <c r="E316" s="104">
        <v>310176.12</v>
      </c>
      <c r="F316" s="115"/>
    </row>
    <row r="317" spans="1:6">
      <c r="A317" s="195"/>
      <c r="B317" s="195"/>
      <c r="C317" s="195"/>
      <c r="D317" s="1119" t="s">
        <v>2204</v>
      </c>
      <c r="E317" s="104">
        <v>44631</v>
      </c>
      <c r="F317" s="115"/>
    </row>
    <row r="318" spans="1:6">
      <c r="A318" s="195"/>
      <c r="B318" s="195"/>
      <c r="C318" s="195"/>
      <c r="D318" s="1119" t="s">
        <v>2871</v>
      </c>
      <c r="E318" s="96"/>
      <c r="F318" s="115"/>
    </row>
    <row r="319" spans="1:6">
      <c r="A319" s="195"/>
      <c r="B319" s="195"/>
      <c r="C319" s="195"/>
      <c r="D319" s="1119" t="s">
        <v>2872</v>
      </c>
      <c r="E319" s="96"/>
      <c r="F319" s="115"/>
    </row>
    <row r="320" spans="1:6">
      <c r="A320" s="195"/>
      <c r="B320" s="195"/>
      <c r="C320" s="195"/>
      <c r="D320" s="1119" t="s">
        <v>865</v>
      </c>
      <c r="E320" s="104">
        <v>6188</v>
      </c>
      <c r="F320" s="115"/>
    </row>
    <row r="321" spans="1:6">
      <c r="A321" s="195"/>
      <c r="B321" s="195"/>
      <c r="C321" s="195"/>
      <c r="D321" s="1119" t="s">
        <v>866</v>
      </c>
      <c r="E321" s="104">
        <v>6576</v>
      </c>
      <c r="F321" s="115"/>
    </row>
    <row r="322" spans="1:6">
      <c r="A322" s="195"/>
      <c r="B322" s="195"/>
      <c r="C322" s="195"/>
      <c r="D322" s="1119" t="s">
        <v>867</v>
      </c>
      <c r="E322" s="104">
        <v>486</v>
      </c>
      <c r="F322" s="115"/>
    </row>
    <row r="323" spans="1:6">
      <c r="A323" s="195"/>
      <c r="B323" s="195"/>
      <c r="C323" s="195"/>
      <c r="D323" s="1119" t="s">
        <v>868</v>
      </c>
      <c r="E323" s="104">
        <v>2101</v>
      </c>
      <c r="F323" s="115"/>
    </row>
    <row r="324" spans="1:6">
      <c r="A324" s="195"/>
      <c r="B324" s="195"/>
      <c r="C324" s="195"/>
      <c r="D324" s="1119" t="s">
        <v>2873</v>
      </c>
      <c r="E324" s="96"/>
      <c r="F324" s="115"/>
    </row>
    <row r="325" spans="1:6">
      <c r="A325" s="195"/>
      <c r="B325" s="195"/>
      <c r="C325" s="195"/>
      <c r="D325" s="1119" t="s">
        <v>2874</v>
      </c>
      <c r="E325" s="96"/>
      <c r="F325" s="115"/>
    </row>
    <row r="326" spans="1:6">
      <c r="A326" s="195"/>
      <c r="B326" s="195"/>
      <c r="C326" s="195"/>
      <c r="D326" s="1119" t="s">
        <v>1090</v>
      </c>
      <c r="E326" s="96"/>
      <c r="F326" s="115"/>
    </row>
    <row r="327" spans="1:6">
      <c r="A327" s="195"/>
      <c r="B327" s="195"/>
      <c r="C327" s="195"/>
      <c r="D327" s="1119" t="s">
        <v>2875</v>
      </c>
      <c r="E327" s="96"/>
      <c r="F327" s="115"/>
    </row>
    <row r="328" spans="1:6">
      <c r="A328" s="195"/>
      <c r="B328" s="195"/>
      <c r="C328" s="195"/>
      <c r="D328" s="1119" t="s">
        <v>869</v>
      </c>
      <c r="E328" s="104">
        <v>-300</v>
      </c>
      <c r="F328" s="115"/>
    </row>
    <row r="329" spans="1:6">
      <c r="A329" s="195"/>
      <c r="B329" s="195"/>
      <c r="C329" s="195"/>
      <c r="D329" s="1119" t="s">
        <v>1530</v>
      </c>
      <c r="E329" s="104">
        <v>18273</v>
      </c>
      <c r="F329" s="115"/>
    </row>
    <row r="330" spans="1:6">
      <c r="A330" s="195"/>
      <c r="B330" s="195"/>
      <c r="C330" s="195"/>
      <c r="D330" s="1119" t="s">
        <v>2876</v>
      </c>
      <c r="E330" s="96"/>
      <c r="F330" s="115"/>
    </row>
    <row r="331" spans="1:6">
      <c r="A331" s="195"/>
      <c r="B331" s="195"/>
      <c r="C331" s="195"/>
      <c r="D331" s="1119" t="s">
        <v>2877</v>
      </c>
      <c r="E331" s="96"/>
      <c r="F331" s="115"/>
    </row>
    <row r="332" spans="1:6">
      <c r="A332" s="195"/>
      <c r="B332" s="195"/>
      <c r="C332" s="195"/>
      <c r="D332" s="1119" t="s">
        <v>1531</v>
      </c>
      <c r="E332" s="96"/>
      <c r="F332" s="115"/>
    </row>
    <row r="333" spans="1:6">
      <c r="A333" s="195"/>
      <c r="B333" s="195"/>
      <c r="C333" s="195"/>
      <c r="D333" s="1119" t="s">
        <v>2878</v>
      </c>
      <c r="E333" s="96"/>
      <c r="F333" s="115"/>
    </row>
    <row r="334" spans="1:6">
      <c r="A334" s="195"/>
      <c r="B334" s="195"/>
      <c r="C334" s="195"/>
      <c r="D334" s="1119" t="s">
        <v>2879</v>
      </c>
      <c r="E334" s="96"/>
      <c r="F334" s="115"/>
    </row>
    <row r="335" spans="1:6">
      <c r="A335" s="195"/>
      <c r="B335" s="195"/>
      <c r="C335" s="195"/>
      <c r="D335" s="1119" t="s">
        <v>2880</v>
      </c>
      <c r="E335" s="96"/>
      <c r="F335" s="115"/>
    </row>
    <row r="336" spans="1:6">
      <c r="A336" s="195"/>
      <c r="B336" s="195"/>
      <c r="C336" s="195"/>
      <c r="D336" s="1119" t="s">
        <v>2881</v>
      </c>
      <c r="E336" s="108"/>
      <c r="F336" s="115"/>
    </row>
    <row r="337" spans="1:6">
      <c r="A337" s="195"/>
      <c r="B337" s="195"/>
      <c r="C337" s="195"/>
      <c r="D337" s="1120" t="s">
        <v>2882</v>
      </c>
      <c r="E337" s="96"/>
      <c r="F337" s="115"/>
    </row>
    <row r="338" spans="1:6">
      <c r="A338" s="195"/>
      <c r="B338" s="195"/>
      <c r="C338" s="195"/>
      <c r="D338" s="1120" t="s">
        <v>101</v>
      </c>
      <c r="E338" s="96"/>
      <c r="F338" s="193">
        <v>1769036</v>
      </c>
    </row>
    <row r="339" spans="1:6" hidden="1">
      <c r="A339" s="195"/>
      <c r="B339" s="195"/>
      <c r="C339" s="195"/>
      <c r="D339" s="1119" t="s">
        <v>2195</v>
      </c>
      <c r="E339" s="104">
        <v>10000</v>
      </c>
      <c r="F339" s="115"/>
    </row>
    <row r="340" spans="1:6" hidden="1">
      <c r="A340" s="195"/>
      <c r="B340" s="195"/>
      <c r="C340" s="195"/>
      <c r="D340" s="1119" t="s">
        <v>2196</v>
      </c>
      <c r="E340" s="96"/>
      <c r="F340" s="115"/>
    </row>
    <row r="341" spans="1:6" hidden="1">
      <c r="A341" s="195"/>
      <c r="B341" s="195"/>
      <c r="C341" s="195"/>
      <c r="D341" s="1119" t="s">
        <v>2883</v>
      </c>
      <c r="E341" s="96"/>
      <c r="F341" s="115"/>
    </row>
    <row r="342" spans="1:6" hidden="1">
      <c r="A342" s="195"/>
      <c r="B342" s="195"/>
      <c r="C342" s="195"/>
      <c r="D342" s="1119" t="s">
        <v>870</v>
      </c>
      <c r="E342" s="104">
        <v>2614.5</v>
      </c>
      <c r="F342" s="115"/>
    </row>
    <row r="343" spans="1:6" hidden="1">
      <c r="A343" s="195"/>
      <c r="B343" s="195"/>
      <c r="C343" s="195"/>
      <c r="D343" s="1119" t="s">
        <v>2197</v>
      </c>
      <c r="E343" s="96"/>
      <c r="F343" s="115"/>
    </row>
    <row r="344" spans="1:6" hidden="1">
      <c r="A344" s="195"/>
      <c r="B344" s="195"/>
      <c r="C344" s="195"/>
      <c r="D344" s="1119" t="s">
        <v>2884</v>
      </c>
      <c r="E344" s="96"/>
      <c r="F344" s="115"/>
    </row>
    <row r="345" spans="1:6" hidden="1">
      <c r="A345" s="195"/>
      <c r="B345" s="195"/>
      <c r="C345" s="195"/>
      <c r="D345" s="1119" t="s">
        <v>1091</v>
      </c>
      <c r="E345" s="96"/>
      <c r="F345" s="115"/>
    </row>
    <row r="346" spans="1:6" hidden="1">
      <c r="A346" s="195"/>
      <c r="B346" s="195"/>
      <c r="C346" s="195"/>
      <c r="D346" s="1119" t="s">
        <v>871</v>
      </c>
      <c r="E346" s="104">
        <v>-92.5</v>
      </c>
      <c r="F346" s="115"/>
    </row>
    <row r="347" spans="1:6" hidden="1">
      <c r="A347" s="195"/>
      <c r="B347" s="195"/>
      <c r="C347" s="195"/>
      <c r="D347" s="1119" t="s">
        <v>2885</v>
      </c>
      <c r="E347" s="96"/>
      <c r="F347" s="115"/>
    </row>
    <row r="348" spans="1:6" hidden="1">
      <c r="A348" s="195"/>
      <c r="B348" s="195"/>
      <c r="C348" s="195"/>
      <c r="D348" s="1119" t="s">
        <v>2886</v>
      </c>
      <c r="E348" s="96"/>
      <c r="F348" s="115"/>
    </row>
    <row r="349" spans="1:6" hidden="1">
      <c r="A349" s="195"/>
      <c r="B349" s="195"/>
      <c r="C349" s="195"/>
      <c r="D349" s="1119" t="s">
        <v>2887</v>
      </c>
      <c r="E349" s="96"/>
      <c r="F349" s="115"/>
    </row>
    <row r="350" spans="1:6" hidden="1">
      <c r="A350" s="195"/>
      <c r="B350" s="195"/>
      <c r="C350" s="195"/>
      <c r="D350" s="1119" t="s">
        <v>2888</v>
      </c>
      <c r="E350" s="96"/>
      <c r="F350" s="115"/>
    </row>
    <row r="351" spans="1:6" hidden="1">
      <c r="A351" s="195"/>
      <c r="B351" s="195"/>
      <c r="C351" s="195"/>
      <c r="D351" s="1119" t="s">
        <v>2889</v>
      </c>
      <c r="E351" s="96"/>
      <c r="F351" s="115"/>
    </row>
    <row r="352" spans="1:6" hidden="1">
      <c r="A352" s="195"/>
      <c r="B352" s="195"/>
      <c r="C352" s="195"/>
      <c r="D352" s="1119" t="s">
        <v>2890</v>
      </c>
      <c r="E352" s="96"/>
      <c r="F352" s="115"/>
    </row>
    <row r="353" spans="1:6" hidden="1">
      <c r="A353" s="195"/>
      <c r="B353" s="195"/>
      <c r="C353" s="195"/>
      <c r="D353" s="1119" t="s">
        <v>872</v>
      </c>
      <c r="E353" s="104">
        <v>-95</v>
      </c>
      <c r="F353" s="115"/>
    </row>
    <row r="354" spans="1:6" hidden="1">
      <c r="A354" s="195"/>
      <c r="B354" s="195"/>
      <c r="C354" s="195"/>
      <c r="D354" s="1119" t="s">
        <v>873</v>
      </c>
      <c r="E354" s="104">
        <v>19634</v>
      </c>
      <c r="F354" s="115"/>
    </row>
    <row r="355" spans="1:6" hidden="1">
      <c r="A355" s="195"/>
      <c r="B355" s="195"/>
      <c r="C355" s="195"/>
      <c r="D355" s="1119" t="s">
        <v>2891</v>
      </c>
      <c r="E355" s="96"/>
      <c r="F355" s="115"/>
    </row>
    <row r="356" spans="1:6" hidden="1">
      <c r="A356" s="195"/>
      <c r="B356" s="195"/>
      <c r="C356" s="195"/>
      <c r="D356" s="1119" t="s">
        <v>2198</v>
      </c>
      <c r="E356" s="104">
        <v>3000</v>
      </c>
      <c r="F356" s="115"/>
    </row>
    <row r="357" spans="1:6" hidden="1">
      <c r="A357" s="195"/>
      <c r="B357" s="195"/>
      <c r="C357" s="195"/>
      <c r="D357" s="1119" t="s">
        <v>2892</v>
      </c>
      <c r="E357" s="96"/>
      <c r="F357" s="115"/>
    </row>
    <row r="358" spans="1:6" hidden="1">
      <c r="A358" s="195"/>
      <c r="B358" s="195"/>
      <c r="C358" s="195"/>
      <c r="D358" s="1119" t="s">
        <v>2893</v>
      </c>
      <c r="E358" s="96"/>
      <c r="F358" s="115"/>
    </row>
    <row r="359" spans="1:6" hidden="1">
      <c r="A359" s="195"/>
      <c r="B359" s="195"/>
      <c r="C359" s="195"/>
      <c r="D359" s="1119" t="s">
        <v>2894</v>
      </c>
      <c r="E359" s="96"/>
      <c r="F359" s="115"/>
    </row>
    <row r="360" spans="1:6" hidden="1">
      <c r="A360" s="195"/>
      <c r="B360" s="195"/>
      <c r="C360" s="195"/>
      <c r="D360" s="1119" t="s">
        <v>874</v>
      </c>
      <c r="E360" s="104">
        <v>13643.2</v>
      </c>
      <c r="F360" s="115"/>
    </row>
    <row r="361" spans="1:6" hidden="1">
      <c r="A361" s="195"/>
      <c r="B361" s="195"/>
      <c r="C361" s="195"/>
      <c r="D361" s="1119" t="s">
        <v>875</v>
      </c>
      <c r="E361" s="104">
        <v>908</v>
      </c>
      <c r="F361" s="115"/>
    </row>
    <row r="362" spans="1:6" hidden="1">
      <c r="A362" s="195"/>
      <c r="B362" s="195"/>
      <c r="C362" s="195"/>
      <c r="D362" s="1119" t="s">
        <v>2895</v>
      </c>
      <c r="E362" s="96"/>
      <c r="F362" s="115"/>
    </row>
    <row r="363" spans="1:6" hidden="1">
      <c r="A363" s="195"/>
      <c r="B363" s="195"/>
      <c r="C363" s="195"/>
      <c r="D363" s="1119" t="s">
        <v>2055</v>
      </c>
      <c r="E363" s="96"/>
      <c r="F363" s="115"/>
    </row>
    <row r="364" spans="1:6" hidden="1">
      <c r="A364" s="195"/>
      <c r="B364" s="195"/>
      <c r="C364" s="195"/>
      <c r="D364" s="1119" t="s">
        <v>2633</v>
      </c>
      <c r="E364" s="104">
        <v>725</v>
      </c>
      <c r="F364" s="115"/>
    </row>
    <row r="365" spans="1:6" hidden="1">
      <c r="A365" s="195"/>
      <c r="B365" s="195"/>
      <c r="C365" s="195"/>
      <c r="D365" s="1119" t="s">
        <v>1746</v>
      </c>
      <c r="E365" s="96"/>
      <c r="F365" s="115"/>
    </row>
    <row r="366" spans="1:6" hidden="1">
      <c r="A366" s="195"/>
      <c r="B366" s="195"/>
      <c r="C366" s="195"/>
      <c r="D366" s="1119" t="s">
        <v>1747</v>
      </c>
      <c r="E366" s="104">
        <v>31332</v>
      </c>
      <c r="F366" s="115"/>
    </row>
    <row r="367" spans="1:6" hidden="1">
      <c r="A367" s="195"/>
      <c r="B367" s="195"/>
      <c r="C367" s="195"/>
      <c r="D367" s="1119" t="s">
        <v>2056</v>
      </c>
      <c r="E367" s="96"/>
      <c r="F367" s="115"/>
    </row>
    <row r="368" spans="1:6" hidden="1">
      <c r="A368" s="195"/>
      <c r="B368" s="195"/>
      <c r="C368" s="195"/>
      <c r="D368" s="1119" t="s">
        <v>876</v>
      </c>
      <c r="E368" s="104">
        <v>7628</v>
      </c>
      <c r="F368" s="115"/>
    </row>
    <row r="369" spans="1:6" hidden="1">
      <c r="A369" s="195"/>
      <c r="B369" s="195"/>
      <c r="C369" s="195"/>
      <c r="D369" s="1119" t="s">
        <v>2057</v>
      </c>
      <c r="E369" s="96"/>
      <c r="F369" s="115"/>
    </row>
    <row r="370" spans="1:6" hidden="1">
      <c r="A370" s="195"/>
      <c r="B370" s="195"/>
      <c r="C370" s="195"/>
      <c r="D370" s="1119" t="s">
        <v>2896</v>
      </c>
      <c r="E370" s="96"/>
      <c r="F370" s="115"/>
    </row>
    <row r="371" spans="1:6" hidden="1">
      <c r="A371" s="195"/>
      <c r="B371" s="195"/>
      <c r="C371" s="195"/>
      <c r="D371" s="1119" t="s">
        <v>2199</v>
      </c>
      <c r="E371" s="96"/>
      <c r="F371" s="115"/>
    </row>
    <row r="372" spans="1:6" hidden="1">
      <c r="A372" s="195"/>
      <c r="B372" s="195"/>
      <c r="C372" s="195"/>
      <c r="D372" s="1119" t="s">
        <v>2897</v>
      </c>
      <c r="E372" s="96"/>
      <c r="F372" s="115"/>
    </row>
    <row r="373" spans="1:6" hidden="1">
      <c r="A373" s="195"/>
      <c r="B373" s="195"/>
      <c r="C373" s="195"/>
      <c r="D373" s="1119" t="s">
        <v>2898</v>
      </c>
      <c r="E373" s="96"/>
      <c r="F373" s="115"/>
    </row>
    <row r="374" spans="1:6" hidden="1">
      <c r="A374" s="195"/>
      <c r="B374" s="195"/>
      <c r="C374" s="195"/>
      <c r="D374" s="1119" t="s">
        <v>2058</v>
      </c>
      <c r="E374" s="96"/>
      <c r="F374" s="115"/>
    </row>
    <row r="375" spans="1:6" hidden="1">
      <c r="A375" s="195"/>
      <c r="B375" s="195"/>
      <c r="C375" s="195"/>
      <c r="D375" s="1119" t="s">
        <v>2899</v>
      </c>
      <c r="E375" s="96"/>
      <c r="F375" s="115"/>
    </row>
    <row r="376" spans="1:6" hidden="1">
      <c r="A376" s="195"/>
      <c r="B376" s="195"/>
      <c r="C376" s="195"/>
      <c r="D376" s="1119" t="s">
        <v>877</v>
      </c>
      <c r="E376" s="104">
        <v>184337</v>
      </c>
      <c r="F376" s="115"/>
    </row>
    <row r="377" spans="1:6" hidden="1">
      <c r="A377" s="195"/>
      <c r="B377" s="195"/>
      <c r="C377" s="195"/>
      <c r="D377" s="1119" t="s">
        <v>878</v>
      </c>
      <c r="E377" s="96"/>
      <c r="F377" s="115"/>
    </row>
    <row r="378" spans="1:6" hidden="1">
      <c r="A378" s="195"/>
      <c r="B378" s="195"/>
      <c r="C378" s="195"/>
      <c r="D378" s="1119" t="s">
        <v>2900</v>
      </c>
      <c r="E378" s="96"/>
      <c r="F378" s="115"/>
    </row>
    <row r="379" spans="1:6" hidden="1">
      <c r="A379" s="195"/>
      <c r="B379" s="195"/>
      <c r="C379" s="195"/>
      <c r="D379" s="1119" t="s">
        <v>2059</v>
      </c>
      <c r="E379" s="96"/>
      <c r="F379" s="115"/>
    </row>
    <row r="380" spans="1:6" hidden="1">
      <c r="A380" s="195"/>
      <c r="B380" s="195"/>
      <c r="C380" s="195"/>
      <c r="D380" s="1119" t="s">
        <v>2901</v>
      </c>
      <c r="E380" s="96"/>
      <c r="F380" s="115"/>
    </row>
    <row r="381" spans="1:6" hidden="1">
      <c r="A381" s="195"/>
      <c r="B381" s="195"/>
      <c r="C381" s="195"/>
      <c r="D381" s="1119" t="s">
        <v>2060</v>
      </c>
      <c r="E381" s="96"/>
      <c r="F381" s="115"/>
    </row>
    <row r="382" spans="1:6" hidden="1">
      <c r="A382" s="195"/>
      <c r="B382" s="195"/>
      <c r="C382" s="195"/>
      <c r="D382" s="1119" t="s">
        <v>2061</v>
      </c>
      <c r="E382" s="96"/>
      <c r="F382" s="115"/>
    </row>
    <row r="383" spans="1:6" hidden="1">
      <c r="A383" s="195"/>
      <c r="B383" s="195"/>
      <c r="C383" s="195"/>
      <c r="D383" s="1119" t="s">
        <v>2062</v>
      </c>
      <c r="E383" s="104">
        <v>-3000</v>
      </c>
      <c r="F383" s="115"/>
    </row>
    <row r="384" spans="1:6" hidden="1">
      <c r="A384" s="195"/>
      <c r="B384" s="195"/>
      <c r="C384" s="195"/>
      <c r="D384" s="1119" t="s">
        <v>2902</v>
      </c>
      <c r="E384" s="96"/>
      <c r="F384" s="115"/>
    </row>
    <row r="385" spans="1:6" hidden="1">
      <c r="A385" s="195"/>
      <c r="B385" s="195"/>
      <c r="C385" s="195"/>
      <c r="D385" s="1119" t="s">
        <v>879</v>
      </c>
      <c r="E385" s="104">
        <v>71243</v>
      </c>
      <c r="F385" s="115"/>
    </row>
    <row r="386" spans="1:6" hidden="1">
      <c r="A386" s="195"/>
      <c r="B386" s="195"/>
      <c r="C386" s="195"/>
      <c r="D386" s="1119" t="s">
        <v>2063</v>
      </c>
      <c r="E386" s="104">
        <v>-6764</v>
      </c>
      <c r="F386" s="115"/>
    </row>
    <row r="387" spans="1:6" hidden="1">
      <c r="A387" s="195"/>
      <c r="B387" s="195"/>
      <c r="C387" s="195"/>
      <c r="D387" s="1119" t="s">
        <v>2903</v>
      </c>
      <c r="E387" s="96"/>
      <c r="F387" s="115"/>
    </row>
    <row r="388" spans="1:6" hidden="1">
      <c r="A388" s="195"/>
      <c r="B388" s="195"/>
      <c r="C388" s="195"/>
      <c r="D388" s="1119" t="s">
        <v>1532</v>
      </c>
      <c r="E388" s="104">
        <v>-1</v>
      </c>
      <c r="F388" s="115"/>
    </row>
    <row r="389" spans="1:6" hidden="1">
      <c r="A389" s="195"/>
      <c r="B389" s="195"/>
      <c r="C389" s="195"/>
      <c r="D389" s="1119" t="s">
        <v>2904</v>
      </c>
      <c r="E389" s="96"/>
      <c r="F389" s="115"/>
    </row>
    <row r="390" spans="1:6" hidden="1">
      <c r="A390" s="195"/>
      <c r="B390" s="195"/>
      <c r="C390" s="195"/>
      <c r="D390" s="1119" t="s">
        <v>880</v>
      </c>
      <c r="E390" s="104">
        <v>-9130.5</v>
      </c>
      <c r="F390" s="115"/>
    </row>
    <row r="391" spans="1:6" hidden="1">
      <c r="A391" s="195"/>
      <c r="B391" s="195"/>
      <c r="C391" s="195"/>
      <c r="D391" s="1119" t="s">
        <v>881</v>
      </c>
      <c r="E391" s="104">
        <v>-7468</v>
      </c>
      <c r="F391" s="115"/>
    </row>
    <row r="392" spans="1:6" hidden="1">
      <c r="A392" s="195"/>
      <c r="B392" s="195"/>
      <c r="C392" s="195"/>
      <c r="D392" s="1119" t="s">
        <v>882</v>
      </c>
      <c r="E392" s="96"/>
      <c r="F392" s="115"/>
    </row>
    <row r="393" spans="1:6" hidden="1">
      <c r="A393" s="195"/>
      <c r="B393" s="195"/>
      <c r="C393" s="195"/>
      <c r="D393" s="1119" t="s">
        <v>2905</v>
      </c>
      <c r="E393" s="96"/>
      <c r="F393" s="115"/>
    </row>
    <row r="394" spans="1:6" hidden="1">
      <c r="A394" s="195"/>
      <c r="B394" s="195"/>
      <c r="C394" s="195"/>
      <c r="D394" s="1119" t="s">
        <v>1092</v>
      </c>
      <c r="E394" s="96"/>
      <c r="F394" s="115"/>
    </row>
    <row r="395" spans="1:6" hidden="1">
      <c r="A395" s="195"/>
      <c r="B395" s="195"/>
      <c r="C395" s="195"/>
      <c r="D395" s="1119" t="s">
        <v>1533</v>
      </c>
      <c r="E395" s="104">
        <v>41124</v>
      </c>
      <c r="F395" s="115"/>
    </row>
    <row r="396" spans="1:6" hidden="1">
      <c r="A396" s="195"/>
      <c r="B396" s="195"/>
      <c r="C396" s="195"/>
      <c r="D396" s="1119" t="s">
        <v>2906</v>
      </c>
      <c r="E396" s="96"/>
      <c r="F396" s="115"/>
    </row>
    <row r="397" spans="1:6" hidden="1">
      <c r="A397" s="195"/>
      <c r="B397" s="195"/>
      <c r="C397" s="195"/>
      <c r="D397" s="1119" t="s">
        <v>1534</v>
      </c>
      <c r="E397" s="104">
        <v>4415</v>
      </c>
      <c r="F397" s="115"/>
    </row>
    <row r="398" spans="1:6" hidden="1">
      <c r="A398" s="195"/>
      <c r="B398" s="195"/>
      <c r="C398" s="195"/>
      <c r="D398" s="1119" t="s">
        <v>883</v>
      </c>
      <c r="E398" s="104">
        <v>-5944</v>
      </c>
      <c r="F398" s="115"/>
    </row>
    <row r="399" spans="1:6" hidden="1">
      <c r="A399" s="195"/>
      <c r="B399" s="195"/>
      <c r="C399" s="195"/>
      <c r="D399" s="1119" t="s">
        <v>884</v>
      </c>
      <c r="E399" s="104">
        <v>46044.3</v>
      </c>
      <c r="F399" s="115"/>
    </row>
    <row r="400" spans="1:6" hidden="1">
      <c r="A400" s="195"/>
      <c r="B400" s="195"/>
      <c r="C400" s="195"/>
      <c r="D400" s="1119" t="s">
        <v>885</v>
      </c>
      <c r="E400" s="104">
        <v>600</v>
      </c>
      <c r="F400" s="115"/>
    </row>
    <row r="401" spans="1:6" hidden="1">
      <c r="A401" s="195"/>
      <c r="B401" s="195"/>
      <c r="C401" s="195"/>
      <c r="D401" s="1119" t="s">
        <v>2064</v>
      </c>
      <c r="E401" s="104">
        <v>1331750</v>
      </c>
      <c r="F401" s="115"/>
    </row>
    <row r="402" spans="1:6" hidden="1">
      <c r="A402" s="195"/>
      <c r="B402" s="195"/>
      <c r="C402" s="195"/>
      <c r="D402" s="1119" t="s">
        <v>2907</v>
      </c>
      <c r="E402" s="96"/>
      <c r="F402" s="115"/>
    </row>
    <row r="403" spans="1:6" hidden="1">
      <c r="A403" s="195"/>
      <c r="B403" s="195"/>
      <c r="C403" s="195"/>
      <c r="D403" s="1119" t="s">
        <v>2908</v>
      </c>
      <c r="E403" s="96"/>
      <c r="F403" s="115"/>
    </row>
    <row r="404" spans="1:6" hidden="1">
      <c r="A404" s="195"/>
      <c r="B404" s="195"/>
      <c r="C404" s="195"/>
      <c r="D404" s="1119" t="s">
        <v>2909</v>
      </c>
      <c r="E404" s="96"/>
      <c r="F404" s="115"/>
    </row>
    <row r="405" spans="1:6" hidden="1">
      <c r="A405" s="195"/>
      <c r="B405" s="195"/>
      <c r="C405" s="195"/>
      <c r="D405" s="1119" t="s">
        <v>2910</v>
      </c>
      <c r="E405" s="96"/>
      <c r="F405" s="115"/>
    </row>
    <row r="406" spans="1:6" hidden="1">
      <c r="A406" s="195"/>
      <c r="B406" s="195"/>
      <c r="C406" s="195"/>
      <c r="D406" s="1119" t="s">
        <v>1748</v>
      </c>
      <c r="E406" s="104">
        <v>18383</v>
      </c>
      <c r="F406" s="115"/>
    </row>
    <row r="407" spans="1:6" hidden="1">
      <c r="A407" s="195"/>
      <c r="B407" s="195"/>
      <c r="C407" s="195"/>
      <c r="D407" s="1119" t="s">
        <v>2911</v>
      </c>
      <c r="E407" s="96"/>
      <c r="F407" s="115"/>
    </row>
    <row r="408" spans="1:6" hidden="1">
      <c r="A408" s="195"/>
      <c r="B408" s="195"/>
      <c r="C408" s="195"/>
      <c r="D408" s="1119" t="s">
        <v>2065</v>
      </c>
      <c r="E408" s="96"/>
      <c r="F408" s="115"/>
    </row>
    <row r="409" spans="1:6" hidden="1">
      <c r="A409" s="195"/>
      <c r="B409" s="195"/>
      <c r="C409" s="195"/>
      <c r="D409" s="1119" t="s">
        <v>2912</v>
      </c>
      <c r="E409" s="96"/>
      <c r="F409" s="115"/>
    </row>
    <row r="410" spans="1:6" hidden="1">
      <c r="A410" s="195"/>
      <c r="B410" s="195"/>
      <c r="C410" s="195"/>
      <c r="D410" s="1119" t="s">
        <v>886</v>
      </c>
      <c r="E410" s="96"/>
      <c r="F410" s="115"/>
    </row>
    <row r="411" spans="1:6" hidden="1">
      <c r="A411" s="195"/>
      <c r="B411" s="195"/>
      <c r="C411" s="195"/>
      <c r="D411" s="1119" t="s">
        <v>2913</v>
      </c>
      <c r="E411" s="96"/>
      <c r="F411" s="115"/>
    </row>
    <row r="412" spans="1:6" hidden="1">
      <c r="A412" s="195"/>
      <c r="B412" s="195"/>
      <c r="C412" s="195"/>
      <c r="D412" s="1119" t="s">
        <v>2914</v>
      </c>
      <c r="E412" s="96"/>
      <c r="F412" s="115"/>
    </row>
    <row r="413" spans="1:6" hidden="1">
      <c r="A413" s="195"/>
      <c r="B413" s="195"/>
      <c r="C413" s="195"/>
      <c r="D413" s="1119" t="s">
        <v>2066</v>
      </c>
      <c r="E413" s="104">
        <v>5495</v>
      </c>
      <c r="F413" s="115"/>
    </row>
    <row r="414" spans="1:6" hidden="1">
      <c r="A414" s="195"/>
      <c r="B414" s="195"/>
      <c r="C414" s="195"/>
      <c r="D414" s="1119" t="s">
        <v>1233</v>
      </c>
      <c r="E414" s="96"/>
      <c r="F414" s="115"/>
    </row>
    <row r="415" spans="1:6" hidden="1">
      <c r="A415" s="195"/>
      <c r="B415" s="195"/>
      <c r="C415" s="195"/>
      <c r="D415" s="1119" t="s">
        <v>2915</v>
      </c>
      <c r="E415" s="96"/>
      <c r="F415" s="115"/>
    </row>
    <row r="416" spans="1:6" hidden="1">
      <c r="A416" s="195"/>
      <c r="B416" s="195"/>
      <c r="C416" s="195"/>
      <c r="D416" s="1119" t="s">
        <v>2200</v>
      </c>
      <c r="E416" s="96"/>
      <c r="F416" s="115"/>
    </row>
    <row r="417" spans="1:6" hidden="1">
      <c r="A417" s="195"/>
      <c r="B417" s="195"/>
      <c r="C417" s="195"/>
      <c r="D417" s="1119" t="s">
        <v>2916</v>
      </c>
      <c r="E417" s="96"/>
      <c r="F417" s="115"/>
    </row>
    <row r="418" spans="1:6" hidden="1">
      <c r="A418" s="195"/>
      <c r="B418" s="195"/>
      <c r="C418" s="195"/>
      <c r="D418" s="1119" t="s">
        <v>1749</v>
      </c>
      <c r="E418" s="104">
        <v>3000</v>
      </c>
      <c r="F418" s="115"/>
    </row>
    <row r="419" spans="1:6" hidden="1">
      <c r="A419" s="195"/>
      <c r="B419" s="195"/>
      <c r="C419" s="195"/>
      <c r="D419" s="1119" t="s">
        <v>2917</v>
      </c>
      <c r="E419" s="96"/>
      <c r="F419" s="115"/>
    </row>
    <row r="420" spans="1:6" hidden="1">
      <c r="A420" s="195"/>
      <c r="B420" s="195"/>
      <c r="C420" s="195"/>
      <c r="D420" s="1119" t="s">
        <v>2918</v>
      </c>
      <c r="E420" s="96"/>
      <c r="F420" s="115"/>
    </row>
    <row r="421" spans="1:6" hidden="1">
      <c r="A421" s="195"/>
      <c r="B421" s="195"/>
      <c r="C421" s="195"/>
      <c r="D421" s="1119" t="s">
        <v>1093</v>
      </c>
      <c r="E421" s="96"/>
      <c r="F421" s="115"/>
    </row>
    <row r="422" spans="1:6" hidden="1">
      <c r="A422" s="195"/>
      <c r="B422" s="195"/>
      <c r="C422" s="195"/>
      <c r="D422" s="1119" t="s">
        <v>1094</v>
      </c>
      <c r="E422" s="96"/>
      <c r="F422" s="115"/>
    </row>
    <row r="423" spans="1:6" hidden="1">
      <c r="A423" s="195"/>
      <c r="B423" s="195"/>
      <c r="C423" s="195"/>
      <c r="D423" s="1119" t="s">
        <v>887</v>
      </c>
      <c r="E423" s="104">
        <v>500</v>
      </c>
      <c r="F423" s="115"/>
    </row>
    <row r="424" spans="1:6" hidden="1">
      <c r="A424" s="195"/>
      <c r="B424" s="195"/>
      <c r="C424" s="195"/>
      <c r="D424" s="1119" t="s">
        <v>888</v>
      </c>
      <c r="E424" s="104">
        <v>750</v>
      </c>
      <c r="F424" s="115"/>
    </row>
    <row r="425" spans="1:6" hidden="1">
      <c r="A425" s="195"/>
      <c r="B425" s="195"/>
      <c r="C425" s="195"/>
      <c r="D425" s="1119" t="s">
        <v>889</v>
      </c>
      <c r="E425" s="96"/>
      <c r="F425" s="115"/>
    </row>
    <row r="426" spans="1:6" hidden="1">
      <c r="A426" s="195"/>
      <c r="B426" s="195"/>
      <c r="C426" s="195"/>
      <c r="D426" s="1119" t="s">
        <v>1750</v>
      </c>
      <c r="E426" s="104">
        <v>4405</v>
      </c>
      <c r="F426" s="115"/>
    </row>
    <row r="427" spans="1:6" hidden="1">
      <c r="A427" s="195"/>
      <c r="B427" s="195"/>
      <c r="C427" s="195"/>
      <c r="D427" s="1119" t="s">
        <v>2919</v>
      </c>
      <c r="E427" s="96"/>
      <c r="F427" s="115"/>
    </row>
    <row r="428" spans="1:6" hidden="1">
      <c r="A428" s="195"/>
      <c r="B428" s="195"/>
      <c r="C428" s="195"/>
      <c r="D428" s="1119" t="s">
        <v>2920</v>
      </c>
      <c r="E428" s="96"/>
      <c r="F428" s="115"/>
    </row>
    <row r="429" spans="1:6" hidden="1">
      <c r="A429" s="195"/>
      <c r="B429" s="195"/>
      <c r="C429" s="195"/>
      <c r="D429" s="1119" t="s">
        <v>2067</v>
      </c>
      <c r="E429" s="108"/>
      <c r="F429" s="115"/>
    </row>
    <row r="430" spans="1:6">
      <c r="A430" s="195"/>
      <c r="B430" s="195"/>
      <c r="C430" s="195"/>
      <c r="D430" s="1120" t="s">
        <v>132</v>
      </c>
      <c r="E430" s="96"/>
      <c r="F430" s="193">
        <v>63133386</v>
      </c>
    </row>
    <row r="431" spans="1:6">
      <c r="A431" s="195"/>
      <c r="B431" s="195"/>
      <c r="C431" s="195"/>
      <c r="D431" s="1119" t="s">
        <v>133</v>
      </c>
      <c r="E431" s="93">
        <v>63133386</v>
      </c>
      <c r="F431" s="115"/>
    </row>
    <row r="432" spans="1:6">
      <c r="A432" s="195"/>
      <c r="B432" s="195"/>
      <c r="C432" s="195"/>
      <c r="D432" s="1120" t="s">
        <v>134</v>
      </c>
      <c r="E432" s="96"/>
      <c r="F432" s="193">
        <v>117150</v>
      </c>
    </row>
    <row r="433" spans="1:6">
      <c r="A433" s="195"/>
      <c r="B433" s="195"/>
      <c r="C433" s="195"/>
      <c r="D433" s="1119" t="s">
        <v>135</v>
      </c>
      <c r="E433" s="104">
        <v>116150</v>
      </c>
      <c r="F433" s="115"/>
    </row>
    <row r="434" spans="1:6">
      <c r="A434" s="195"/>
      <c r="B434" s="195"/>
      <c r="C434" s="195"/>
      <c r="D434" s="1119" t="s">
        <v>136</v>
      </c>
      <c r="E434" s="93">
        <v>1000</v>
      </c>
      <c r="F434" s="115"/>
    </row>
    <row r="435" spans="1:6">
      <c r="A435" s="195"/>
      <c r="B435" s="195"/>
      <c r="C435" s="195"/>
      <c r="D435" s="1120" t="s">
        <v>159</v>
      </c>
      <c r="E435" s="96"/>
      <c r="F435" s="193">
        <v>25000000</v>
      </c>
    </row>
    <row r="436" spans="1:6">
      <c r="A436" s="195"/>
      <c r="B436" s="195"/>
      <c r="C436" s="195"/>
      <c r="D436" s="1119" t="s">
        <v>1223</v>
      </c>
      <c r="E436" s="93">
        <v>25000000</v>
      </c>
      <c r="F436" s="115"/>
    </row>
    <row r="437" spans="1:6">
      <c r="A437" s="195"/>
      <c r="B437" s="195"/>
      <c r="C437" s="195"/>
      <c r="D437" s="1120" t="s">
        <v>137</v>
      </c>
      <c r="E437" s="96"/>
      <c r="F437" s="193">
        <v>73468454.349999994</v>
      </c>
    </row>
    <row r="438" spans="1:6" hidden="1">
      <c r="A438" s="195"/>
      <c r="B438" s="195"/>
      <c r="C438" s="195"/>
      <c r="D438" s="1117" t="s">
        <v>29</v>
      </c>
      <c r="E438" s="104">
        <v>57468510.789999999</v>
      </c>
      <c r="F438" s="115"/>
    </row>
    <row r="439" spans="1:6" hidden="1">
      <c r="A439" s="195"/>
      <c r="B439" s="195"/>
      <c r="C439" s="195"/>
      <c r="D439" s="1117" t="s">
        <v>138</v>
      </c>
      <c r="E439" s="104">
        <v>6877338.21</v>
      </c>
      <c r="F439" s="115"/>
    </row>
    <row r="440" spans="1:6" hidden="1">
      <c r="A440" s="195"/>
      <c r="B440" s="195"/>
      <c r="C440" s="195"/>
      <c r="D440" s="1119" t="s">
        <v>139</v>
      </c>
      <c r="E440" s="104">
        <v>4654000</v>
      </c>
      <c r="F440" s="115"/>
    </row>
    <row r="441" spans="1:6" hidden="1">
      <c r="A441" s="195"/>
      <c r="B441" s="195"/>
      <c r="C441" s="195"/>
      <c r="D441" s="1119" t="s">
        <v>2642</v>
      </c>
      <c r="E441" s="104">
        <v>130000</v>
      </c>
      <c r="F441" s="115"/>
    </row>
    <row r="442" spans="1:6" hidden="1">
      <c r="A442" s="195"/>
      <c r="B442" s="195"/>
      <c r="C442" s="195"/>
      <c r="D442" s="1119" t="s">
        <v>140</v>
      </c>
      <c r="E442" s="104">
        <v>40000</v>
      </c>
      <c r="F442" s="115"/>
    </row>
    <row r="443" spans="1:6" hidden="1">
      <c r="A443" s="195"/>
      <c r="B443" s="195"/>
      <c r="C443" s="195"/>
      <c r="D443" s="1119" t="s">
        <v>923</v>
      </c>
      <c r="E443" s="104">
        <v>48000</v>
      </c>
      <c r="F443" s="115"/>
    </row>
    <row r="444" spans="1:6" hidden="1">
      <c r="A444" s="195"/>
      <c r="B444" s="195"/>
      <c r="C444" s="195"/>
      <c r="D444" s="1119" t="s">
        <v>142</v>
      </c>
      <c r="E444" s="104">
        <v>9530</v>
      </c>
      <c r="F444" s="115"/>
    </row>
    <row r="445" spans="1:6" hidden="1">
      <c r="A445" s="195"/>
      <c r="B445" s="195"/>
      <c r="C445" s="195"/>
      <c r="D445" s="1119" t="s">
        <v>143</v>
      </c>
      <c r="E445" s="104">
        <v>1073566</v>
      </c>
      <c r="F445" s="115"/>
    </row>
    <row r="446" spans="1:6" hidden="1">
      <c r="A446" s="195"/>
      <c r="B446" s="195"/>
      <c r="C446" s="195"/>
      <c r="D446" s="1119" t="s">
        <v>144</v>
      </c>
      <c r="E446" s="104">
        <v>5500</v>
      </c>
      <c r="F446" s="115"/>
    </row>
    <row r="447" spans="1:6" hidden="1">
      <c r="A447" s="195"/>
      <c r="B447" s="195"/>
      <c r="C447" s="195"/>
      <c r="D447" s="1119" t="s">
        <v>145</v>
      </c>
      <c r="E447" s="104">
        <v>315113</v>
      </c>
      <c r="F447" s="115"/>
    </row>
    <row r="448" spans="1:6" hidden="1">
      <c r="A448" s="195"/>
      <c r="B448" s="195"/>
      <c r="C448" s="195"/>
      <c r="D448" s="1119" t="s">
        <v>2921</v>
      </c>
      <c r="E448" s="96"/>
      <c r="F448" s="115"/>
    </row>
    <row r="449" spans="1:6" hidden="1">
      <c r="A449" s="195"/>
      <c r="B449" s="195"/>
      <c r="C449" s="195"/>
      <c r="D449" s="1119" t="s">
        <v>146</v>
      </c>
      <c r="E449" s="104">
        <v>13150</v>
      </c>
      <c r="F449" s="115"/>
    </row>
    <row r="450" spans="1:6" hidden="1">
      <c r="A450" s="195"/>
      <c r="B450" s="195"/>
      <c r="C450" s="195"/>
      <c r="D450" s="1119" t="s">
        <v>147</v>
      </c>
      <c r="E450" s="104">
        <v>676487</v>
      </c>
      <c r="F450" s="115"/>
    </row>
    <row r="451" spans="1:6" hidden="1">
      <c r="A451" s="195"/>
      <c r="B451" s="195"/>
      <c r="C451" s="195"/>
      <c r="D451" s="1119" t="s">
        <v>2922</v>
      </c>
      <c r="E451" s="96"/>
      <c r="F451" s="115"/>
    </row>
    <row r="452" spans="1:6" hidden="1">
      <c r="A452" s="195"/>
      <c r="B452" s="195"/>
      <c r="C452" s="195"/>
      <c r="D452" s="1119" t="s">
        <v>1096</v>
      </c>
      <c r="E452" s="96"/>
      <c r="F452" s="115"/>
    </row>
    <row r="453" spans="1:6" hidden="1">
      <c r="A453" s="195"/>
      <c r="B453" s="195"/>
      <c r="C453" s="195"/>
      <c r="D453" s="1119" t="s">
        <v>148</v>
      </c>
      <c r="E453" s="104">
        <v>258600.35</v>
      </c>
      <c r="F453" s="115"/>
    </row>
    <row r="454" spans="1:6" hidden="1">
      <c r="A454" s="195"/>
      <c r="B454" s="195"/>
      <c r="C454" s="195"/>
      <c r="D454" s="1119" t="s">
        <v>149</v>
      </c>
      <c r="E454" s="104">
        <v>459377</v>
      </c>
      <c r="F454" s="115"/>
    </row>
    <row r="455" spans="1:6" hidden="1">
      <c r="A455" s="195"/>
      <c r="B455" s="195"/>
      <c r="C455" s="195"/>
      <c r="D455" s="1119" t="s">
        <v>2923</v>
      </c>
      <c r="E455" s="96"/>
      <c r="F455" s="115"/>
    </row>
    <row r="456" spans="1:6" hidden="1">
      <c r="A456" s="195"/>
      <c r="B456" s="195"/>
      <c r="C456" s="195"/>
      <c r="D456" s="1119" t="s">
        <v>150</v>
      </c>
      <c r="E456" s="104">
        <v>28582</v>
      </c>
      <c r="F456" s="115"/>
    </row>
    <row r="457" spans="1:6" hidden="1">
      <c r="A457" s="195"/>
      <c r="B457" s="195"/>
      <c r="C457" s="195"/>
      <c r="D457" s="1119" t="s">
        <v>141</v>
      </c>
      <c r="E457" s="104">
        <v>1410700</v>
      </c>
      <c r="F457" s="115"/>
    </row>
    <row r="458" spans="1:6">
      <c r="A458" s="1121" t="s">
        <v>0</v>
      </c>
      <c r="B458" s="1122"/>
      <c r="C458" s="1123">
        <v>321218739.69</v>
      </c>
      <c r="D458" s="1124" t="s">
        <v>0</v>
      </c>
      <c r="E458" s="1122"/>
      <c r="F458" s="116">
        <v>321218739.69</v>
      </c>
    </row>
  </sheetData>
  <mergeCells count="7">
    <mergeCell ref="B5:C5"/>
    <mergeCell ref="E5:F5"/>
    <mergeCell ref="A1:C1"/>
    <mergeCell ref="A2:C2"/>
    <mergeCell ref="A3:C3"/>
    <mergeCell ref="B4:C4"/>
    <mergeCell ref="E4:F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14"/>
  <sheetViews>
    <sheetView workbookViewId="0">
      <selection activeCell="F29" sqref="F29"/>
    </sheetView>
  </sheetViews>
  <sheetFormatPr defaultColWidth="9" defaultRowHeight="14.4"/>
  <cols>
    <col min="1" max="1" width="38.44140625" bestFit="1" customWidth="1"/>
    <col min="2" max="2" width="11.44140625" bestFit="1" customWidth="1"/>
    <col min="3" max="3" width="11" bestFit="1" customWidth="1"/>
    <col min="4" max="4" width="26.5546875" bestFit="1" customWidth="1"/>
    <col min="5" max="5" width="11.44140625" bestFit="1" customWidth="1"/>
    <col min="6" max="6" width="11" bestFit="1" customWidth="1"/>
  </cols>
  <sheetData>
    <row r="1" spans="1:6" ht="15.6">
      <c r="A1" s="2699" t="s">
        <v>1844</v>
      </c>
      <c r="B1" s="2699"/>
      <c r="C1" s="2699"/>
      <c r="D1" s="195"/>
      <c r="E1" s="195"/>
      <c r="F1" s="195"/>
    </row>
    <row r="2" spans="1:6" ht="15.6">
      <c r="A2" s="2699" t="s">
        <v>74</v>
      </c>
      <c r="B2" s="2699"/>
      <c r="C2" s="2699"/>
      <c r="D2" s="195"/>
      <c r="E2" s="195"/>
      <c r="F2" s="195"/>
    </row>
    <row r="3" spans="1:6">
      <c r="A3" s="2700" t="s">
        <v>2517</v>
      </c>
      <c r="B3" s="2700"/>
      <c r="C3" s="2700"/>
      <c r="D3" s="195"/>
      <c r="E3" s="195"/>
      <c r="F3" s="195"/>
    </row>
    <row r="4" spans="1:6">
      <c r="A4" s="1052" t="s">
        <v>82</v>
      </c>
      <c r="B4" s="2908" t="s">
        <v>1844</v>
      </c>
      <c r="C4" s="2910"/>
      <c r="D4" s="1125" t="s">
        <v>82</v>
      </c>
      <c r="E4" s="2908" t="s">
        <v>1844</v>
      </c>
      <c r="F4" s="2908"/>
    </row>
    <row r="5" spans="1:6">
      <c r="A5" s="1126" t="s">
        <v>1</v>
      </c>
      <c r="B5" s="2907" t="s">
        <v>2517</v>
      </c>
      <c r="C5" s="2909"/>
      <c r="D5" s="1127" t="s">
        <v>1</v>
      </c>
      <c r="E5" s="2907" t="s">
        <v>2517</v>
      </c>
      <c r="F5" s="2907"/>
    </row>
    <row r="6" spans="1:6">
      <c r="A6" s="1" t="s">
        <v>104</v>
      </c>
      <c r="B6" s="1128"/>
      <c r="C6" s="1114">
        <v>81386421.180000007</v>
      </c>
      <c r="D6" s="1115" t="s">
        <v>102</v>
      </c>
      <c r="E6" s="96"/>
      <c r="F6" s="193">
        <v>256460363.21000001</v>
      </c>
    </row>
    <row r="7" spans="1:6">
      <c r="A7" s="13" t="s">
        <v>105</v>
      </c>
      <c r="B7" s="104">
        <v>963570</v>
      </c>
      <c r="C7" s="1116"/>
      <c r="D7" s="1117" t="s">
        <v>2925</v>
      </c>
      <c r="E7" s="96"/>
      <c r="F7" s="115"/>
    </row>
    <row r="8" spans="1:6">
      <c r="A8" s="13" t="s">
        <v>1095</v>
      </c>
      <c r="B8" s="104">
        <v>1850</v>
      </c>
      <c r="C8" s="1116"/>
      <c r="D8" s="1119" t="s">
        <v>103</v>
      </c>
      <c r="E8" s="104">
        <v>256460363.21000001</v>
      </c>
      <c r="F8" s="115"/>
    </row>
    <row r="9" spans="1:6">
      <c r="A9" s="13" t="s">
        <v>106</v>
      </c>
      <c r="B9" s="104">
        <v>777374</v>
      </c>
      <c r="C9" s="1116"/>
      <c r="D9" s="1119" t="s">
        <v>2201</v>
      </c>
      <c r="E9" s="108"/>
      <c r="F9" s="115"/>
    </row>
    <row r="10" spans="1:6">
      <c r="A10" s="13" t="s">
        <v>107</v>
      </c>
      <c r="B10" s="104">
        <v>2012050</v>
      </c>
      <c r="C10" s="1116"/>
      <c r="D10" s="1120" t="s">
        <v>158</v>
      </c>
      <c r="E10" s="96"/>
      <c r="F10" s="193">
        <v>13800000</v>
      </c>
    </row>
    <row r="11" spans="1:6">
      <c r="A11" s="13" t="s">
        <v>108</v>
      </c>
      <c r="B11" s="104">
        <v>724656</v>
      </c>
      <c r="C11" s="1116"/>
      <c r="D11" s="1119" t="s">
        <v>158</v>
      </c>
      <c r="E11" s="93">
        <v>13800000</v>
      </c>
      <c r="F11" s="115"/>
    </row>
    <row r="12" spans="1:6">
      <c r="A12" s="13" t="s">
        <v>109</v>
      </c>
      <c r="B12" s="104">
        <v>1658846</v>
      </c>
      <c r="C12" s="1116"/>
      <c r="D12" s="96"/>
      <c r="E12" s="103">
        <v>270260363.20999998</v>
      </c>
      <c r="F12" s="195"/>
    </row>
    <row r="13" spans="1:6">
      <c r="A13" s="13" t="s">
        <v>110</v>
      </c>
      <c r="B13" s="104">
        <v>8355016</v>
      </c>
      <c r="C13" s="1116"/>
      <c r="D13" s="1129" t="s">
        <v>2926</v>
      </c>
      <c r="E13" s="96"/>
      <c r="F13" s="338">
        <v>60277837.079999998</v>
      </c>
    </row>
    <row r="14" spans="1:6">
      <c r="A14" s="13" t="s">
        <v>111</v>
      </c>
      <c r="B14" s="104">
        <v>961150</v>
      </c>
      <c r="C14" s="1116"/>
      <c r="D14" s="1120" t="s">
        <v>189</v>
      </c>
      <c r="E14" s="96"/>
      <c r="F14" s="193">
        <v>5656621</v>
      </c>
    </row>
    <row r="15" spans="1:6">
      <c r="A15" s="13" t="s">
        <v>1875</v>
      </c>
      <c r="B15" s="104">
        <v>-17000000</v>
      </c>
      <c r="C15" s="1116"/>
      <c r="D15" s="1119" t="s">
        <v>2927</v>
      </c>
      <c r="E15" s="96"/>
      <c r="F15" s="115"/>
    </row>
    <row r="16" spans="1:6">
      <c r="A16" s="13" t="s">
        <v>2928</v>
      </c>
      <c r="B16" s="96"/>
      <c r="C16" s="1116"/>
      <c r="D16" s="1119" t="s">
        <v>239</v>
      </c>
      <c r="E16" s="96"/>
      <c r="F16" s="115"/>
    </row>
    <row r="17" spans="1:6">
      <c r="A17" s="13" t="s">
        <v>113</v>
      </c>
      <c r="B17" s="104">
        <v>1702563.1</v>
      </c>
      <c r="C17" s="1116"/>
      <c r="D17" s="1119" t="s">
        <v>190</v>
      </c>
      <c r="E17" s="104">
        <v>5656621</v>
      </c>
      <c r="F17" s="115"/>
    </row>
    <row r="18" spans="1:6">
      <c r="A18" s="13" t="s">
        <v>2068</v>
      </c>
      <c r="B18" s="96"/>
      <c r="C18" s="1116"/>
      <c r="D18" s="1119" t="s">
        <v>1113</v>
      </c>
      <c r="E18" s="96"/>
      <c r="F18" s="115"/>
    </row>
    <row r="19" spans="1:6">
      <c r="A19" s="13" t="s">
        <v>114</v>
      </c>
      <c r="B19" s="104">
        <v>158686</v>
      </c>
      <c r="C19" s="1116"/>
      <c r="D19" s="1119" t="s">
        <v>46</v>
      </c>
      <c r="E19" s="96"/>
      <c r="F19" s="115"/>
    </row>
    <row r="20" spans="1:6">
      <c r="A20" s="13" t="s">
        <v>2929</v>
      </c>
      <c r="B20" s="96"/>
      <c r="C20" s="1116"/>
      <c r="D20" s="1119" t="s">
        <v>191</v>
      </c>
      <c r="E20" s="108"/>
      <c r="F20" s="115"/>
    </row>
    <row r="21" spans="1:6">
      <c r="A21" s="13" t="s">
        <v>1535</v>
      </c>
      <c r="B21" s="96"/>
      <c r="C21" s="1116"/>
      <c r="D21" s="195"/>
      <c r="E21" s="195"/>
      <c r="F21" s="195"/>
    </row>
    <row r="22" spans="1:6">
      <c r="A22" s="13" t="s">
        <v>890</v>
      </c>
      <c r="B22" s="96"/>
      <c r="C22" s="1116"/>
      <c r="D22" s="195"/>
      <c r="E22" s="195"/>
      <c r="F22" s="195"/>
    </row>
    <row r="23" spans="1:6">
      <c r="A23" s="13" t="s">
        <v>115</v>
      </c>
      <c r="B23" s="104">
        <v>1103189</v>
      </c>
      <c r="C23" s="1116"/>
      <c r="D23" s="195"/>
      <c r="E23" s="195"/>
      <c r="F23" s="195"/>
    </row>
    <row r="24" spans="1:6">
      <c r="A24" s="13" t="s">
        <v>116</v>
      </c>
      <c r="B24" s="104">
        <v>3885646</v>
      </c>
      <c r="C24" s="1116"/>
      <c r="D24" s="195"/>
      <c r="E24" s="195"/>
      <c r="F24" s="195"/>
    </row>
    <row r="25" spans="1:6">
      <c r="A25" s="13" t="s">
        <v>117</v>
      </c>
      <c r="B25" s="104">
        <v>45800</v>
      </c>
      <c r="C25" s="1116"/>
      <c r="D25" s="195"/>
      <c r="E25" s="195"/>
      <c r="F25" s="195"/>
    </row>
    <row r="26" spans="1:6">
      <c r="A26" s="13" t="s">
        <v>118</v>
      </c>
      <c r="B26" s="104">
        <v>31385</v>
      </c>
      <c r="C26" s="1116"/>
      <c r="D26" s="195"/>
      <c r="E26" s="195"/>
      <c r="F26" s="195"/>
    </row>
    <row r="27" spans="1:6">
      <c r="A27" s="13" t="s">
        <v>940</v>
      </c>
      <c r="B27" s="104">
        <v>831045</v>
      </c>
      <c r="C27" s="1116"/>
      <c r="D27" s="195"/>
      <c r="E27" s="195"/>
      <c r="F27" s="195"/>
    </row>
    <row r="28" spans="1:6">
      <c r="A28" s="13" t="s">
        <v>119</v>
      </c>
      <c r="B28" s="104">
        <v>625168</v>
      </c>
      <c r="C28" s="1116"/>
      <c r="D28" s="195"/>
      <c r="E28" s="195"/>
      <c r="F28" s="195"/>
    </row>
    <row r="29" spans="1:6">
      <c r="A29" s="13" t="s">
        <v>120</v>
      </c>
      <c r="B29" s="104">
        <v>5856138</v>
      </c>
      <c r="C29" s="1116"/>
      <c r="D29" s="195"/>
      <c r="E29" s="195"/>
      <c r="F29" s="195"/>
    </row>
    <row r="30" spans="1:6">
      <c r="A30" s="13" t="s">
        <v>939</v>
      </c>
      <c r="B30" s="104">
        <v>4499387.9400000004</v>
      </c>
      <c r="C30" s="1116"/>
      <c r="D30" s="195"/>
      <c r="E30" s="195"/>
      <c r="F30" s="195"/>
    </row>
    <row r="31" spans="1:6">
      <c r="A31" s="13" t="s">
        <v>938</v>
      </c>
      <c r="B31" s="104">
        <v>2677466.44</v>
      </c>
      <c r="C31" s="1116"/>
      <c r="D31" s="195"/>
      <c r="E31" s="195"/>
      <c r="F31" s="195"/>
    </row>
    <row r="32" spans="1:6">
      <c r="A32" s="13" t="s">
        <v>937</v>
      </c>
      <c r="B32" s="104">
        <v>4390</v>
      </c>
      <c r="C32" s="1116"/>
      <c r="D32" s="195"/>
      <c r="E32" s="195"/>
      <c r="F32" s="195"/>
    </row>
    <row r="33" spans="1:6">
      <c r="A33" s="13" t="s">
        <v>936</v>
      </c>
      <c r="B33" s="104">
        <v>3733599.72</v>
      </c>
      <c r="C33" s="1116"/>
      <c r="D33" s="195"/>
      <c r="E33" s="195"/>
      <c r="F33" s="195"/>
    </row>
    <row r="34" spans="1:6">
      <c r="A34" s="13" t="s">
        <v>935</v>
      </c>
      <c r="B34" s="104">
        <v>363941.3</v>
      </c>
      <c r="C34" s="1116"/>
      <c r="D34" s="195"/>
      <c r="E34" s="195"/>
      <c r="F34" s="195"/>
    </row>
    <row r="35" spans="1:6">
      <c r="A35" s="13" t="s">
        <v>121</v>
      </c>
      <c r="B35" s="104">
        <v>3233736.12</v>
      </c>
      <c r="C35" s="1116"/>
      <c r="D35" s="195"/>
      <c r="E35" s="195"/>
      <c r="F35" s="195"/>
    </row>
    <row r="36" spans="1:6">
      <c r="A36" s="13" t="s">
        <v>934</v>
      </c>
      <c r="B36" s="104">
        <v>45922</v>
      </c>
      <c r="C36" s="1116"/>
      <c r="D36" s="195"/>
      <c r="E36" s="195"/>
      <c r="F36" s="195"/>
    </row>
    <row r="37" spans="1:6">
      <c r="A37" s="13" t="s">
        <v>112</v>
      </c>
      <c r="B37" s="104">
        <v>23725733</v>
      </c>
      <c r="C37" s="1116"/>
      <c r="D37" s="195"/>
      <c r="E37" s="195"/>
      <c r="F37" s="195"/>
    </row>
    <row r="38" spans="1:6">
      <c r="A38" s="13" t="s">
        <v>122</v>
      </c>
      <c r="B38" s="104">
        <v>5174256</v>
      </c>
      <c r="C38" s="1116"/>
      <c r="D38" s="195"/>
      <c r="E38" s="195"/>
      <c r="F38" s="195"/>
    </row>
    <row r="39" spans="1:6">
      <c r="A39" s="13" t="s">
        <v>933</v>
      </c>
      <c r="B39" s="104">
        <v>83941</v>
      </c>
      <c r="C39" s="1116"/>
      <c r="D39" s="195"/>
      <c r="E39" s="195"/>
      <c r="F39" s="195"/>
    </row>
    <row r="40" spans="1:6">
      <c r="A40" s="13" t="s">
        <v>123</v>
      </c>
      <c r="B40" s="104">
        <v>19559204.559999999</v>
      </c>
      <c r="C40" s="1116"/>
      <c r="D40" s="195"/>
      <c r="E40" s="195"/>
      <c r="F40" s="195"/>
    </row>
    <row r="41" spans="1:6">
      <c r="A41" s="13" t="s">
        <v>932</v>
      </c>
      <c r="B41" s="104">
        <v>284577</v>
      </c>
      <c r="C41" s="1116"/>
      <c r="D41" s="195"/>
      <c r="E41" s="195"/>
      <c r="F41" s="195"/>
    </row>
    <row r="42" spans="1:6">
      <c r="A42" s="13" t="s">
        <v>124</v>
      </c>
      <c r="B42" s="104">
        <v>4861263</v>
      </c>
      <c r="C42" s="1116"/>
      <c r="D42" s="195"/>
      <c r="E42" s="195"/>
      <c r="F42" s="195"/>
    </row>
    <row r="43" spans="1:6">
      <c r="A43" s="13" t="s">
        <v>931</v>
      </c>
      <c r="B43" s="93">
        <v>444871</v>
      </c>
      <c r="C43" s="1116"/>
      <c r="D43" s="195"/>
      <c r="E43" s="195"/>
      <c r="F43" s="195"/>
    </row>
    <row r="44" spans="1:6">
      <c r="A44" s="1" t="s">
        <v>160</v>
      </c>
      <c r="B44" s="96"/>
      <c r="C44" s="1118">
        <v>128596104.95</v>
      </c>
      <c r="D44" s="195"/>
      <c r="E44" s="195"/>
      <c r="F44" s="195"/>
    </row>
    <row r="45" spans="1:6">
      <c r="A45" s="14" t="s">
        <v>161</v>
      </c>
      <c r="B45" s="104">
        <v>96190535.670000002</v>
      </c>
      <c r="C45" s="1116"/>
      <c r="D45" s="195"/>
      <c r="E45" s="195"/>
      <c r="F45" s="195"/>
    </row>
    <row r="46" spans="1:6">
      <c r="A46" s="14" t="s">
        <v>178</v>
      </c>
      <c r="B46" s="93">
        <v>32405569.280000001</v>
      </c>
      <c r="C46" s="1116"/>
      <c r="D46" s="195"/>
      <c r="E46" s="195"/>
      <c r="F46" s="195"/>
    </row>
    <row r="47" spans="1:6">
      <c r="A47" s="1130" t="s">
        <v>2930</v>
      </c>
      <c r="B47" s="96"/>
      <c r="C47" s="1131">
        <v>60277837.079999998</v>
      </c>
      <c r="D47" s="195"/>
      <c r="E47" s="195"/>
      <c r="F47" s="195"/>
    </row>
    <row r="48" spans="1:6">
      <c r="A48" s="96"/>
      <c r="B48" s="103">
        <v>270260363.20999998</v>
      </c>
      <c r="C48" s="195"/>
      <c r="D48" s="195"/>
      <c r="E48" s="195"/>
      <c r="F48" s="195"/>
    </row>
    <row r="49" spans="1:6">
      <c r="A49" s="1" t="s">
        <v>2931</v>
      </c>
      <c r="B49" s="96"/>
      <c r="C49" s="1116"/>
      <c r="D49" s="195"/>
      <c r="E49" s="195"/>
      <c r="F49" s="195"/>
    </row>
    <row r="50" spans="1:6">
      <c r="A50" s="13" t="s">
        <v>2931</v>
      </c>
      <c r="B50" s="108"/>
      <c r="C50" s="1116"/>
      <c r="D50" s="195"/>
      <c r="E50" s="195"/>
      <c r="F50" s="195"/>
    </row>
    <row r="51" spans="1:6">
      <c r="A51" s="1" t="s">
        <v>2932</v>
      </c>
      <c r="B51" s="96"/>
      <c r="C51" s="1116"/>
      <c r="D51" s="195"/>
      <c r="E51" s="195"/>
      <c r="F51" s="195"/>
    </row>
    <row r="52" spans="1:6">
      <c r="A52" s="13" t="s">
        <v>2932</v>
      </c>
      <c r="B52" s="108"/>
      <c r="C52" s="1116"/>
      <c r="D52" s="195"/>
      <c r="E52" s="195"/>
      <c r="F52" s="195"/>
    </row>
    <row r="53" spans="1:6">
      <c r="A53" s="1" t="s">
        <v>2933</v>
      </c>
      <c r="B53" s="96"/>
      <c r="C53" s="1116"/>
      <c r="D53" s="195"/>
      <c r="E53" s="195"/>
      <c r="F53" s="195"/>
    </row>
    <row r="54" spans="1:6">
      <c r="A54" s="1" t="s">
        <v>2934</v>
      </c>
      <c r="B54" s="96"/>
      <c r="C54" s="1116"/>
      <c r="D54" s="195"/>
      <c r="E54" s="195"/>
      <c r="F54" s="195"/>
    </row>
    <row r="55" spans="1:6">
      <c r="A55" s="1" t="s">
        <v>2935</v>
      </c>
      <c r="B55" s="96"/>
      <c r="C55" s="1116"/>
      <c r="D55" s="195"/>
      <c r="E55" s="195"/>
      <c r="F55" s="195"/>
    </row>
    <row r="56" spans="1:6">
      <c r="A56" s="1" t="s">
        <v>2640</v>
      </c>
      <c r="B56" s="96"/>
      <c r="C56" s="1118">
        <v>1680569</v>
      </c>
      <c r="D56" s="195"/>
      <c r="E56" s="195"/>
      <c r="F56" s="195"/>
    </row>
    <row r="57" spans="1:6">
      <c r="A57" s="13" t="s">
        <v>2641</v>
      </c>
      <c r="B57" s="93">
        <v>1680569</v>
      </c>
      <c r="C57" s="1116"/>
      <c r="D57" s="195"/>
      <c r="E57" s="195"/>
      <c r="F57" s="195"/>
    </row>
    <row r="58" spans="1:6">
      <c r="A58" s="1" t="s">
        <v>2936</v>
      </c>
      <c r="B58" s="96"/>
      <c r="C58" s="1116"/>
      <c r="D58" s="195"/>
      <c r="E58" s="195"/>
      <c r="F58" s="195"/>
    </row>
    <row r="59" spans="1:6">
      <c r="A59" s="1" t="s">
        <v>2937</v>
      </c>
      <c r="B59" s="96"/>
      <c r="C59" s="1116"/>
      <c r="D59" s="195"/>
      <c r="E59" s="195"/>
      <c r="F59" s="195"/>
    </row>
    <row r="60" spans="1:6">
      <c r="A60" s="13" t="s">
        <v>2937</v>
      </c>
      <c r="B60" s="108"/>
      <c r="C60" s="1116"/>
      <c r="D60" s="195"/>
      <c r="E60" s="195"/>
      <c r="F60" s="195"/>
    </row>
    <row r="61" spans="1:6">
      <c r="A61" s="1" t="s">
        <v>2938</v>
      </c>
      <c r="B61" s="96"/>
      <c r="C61" s="1116"/>
      <c r="D61" s="195"/>
      <c r="E61" s="195"/>
      <c r="F61" s="195"/>
    </row>
    <row r="62" spans="1:6">
      <c r="A62" s="13" t="s">
        <v>2938</v>
      </c>
      <c r="B62" s="108"/>
      <c r="C62" s="1116"/>
      <c r="D62" s="195"/>
      <c r="E62" s="195"/>
      <c r="F62" s="195"/>
    </row>
    <row r="63" spans="1:6">
      <c r="A63" s="1" t="s">
        <v>192</v>
      </c>
      <c r="B63" s="96"/>
      <c r="C63" s="1118">
        <v>49740278.710000001</v>
      </c>
      <c r="D63" s="195"/>
      <c r="E63" s="195"/>
      <c r="F63" s="195"/>
    </row>
    <row r="64" spans="1:6">
      <c r="A64" s="14" t="s">
        <v>193</v>
      </c>
      <c r="B64" s="96"/>
      <c r="C64" s="1116"/>
      <c r="D64" s="195"/>
      <c r="E64" s="195"/>
      <c r="F64" s="195"/>
    </row>
    <row r="65" spans="1:6">
      <c r="A65" s="14" t="s">
        <v>194</v>
      </c>
      <c r="B65" s="104">
        <v>30414</v>
      </c>
      <c r="C65" s="1116"/>
      <c r="D65" s="195"/>
      <c r="E65" s="195"/>
      <c r="F65" s="195"/>
    </row>
    <row r="66" spans="1:6">
      <c r="A66" s="13" t="s">
        <v>195</v>
      </c>
      <c r="B66" s="104">
        <v>23373</v>
      </c>
      <c r="C66" s="1116"/>
      <c r="D66" s="195"/>
      <c r="E66" s="195"/>
      <c r="F66" s="195"/>
    </row>
    <row r="67" spans="1:6">
      <c r="A67" s="13" t="s">
        <v>2635</v>
      </c>
      <c r="B67" s="104">
        <v>59870</v>
      </c>
      <c r="C67" s="1116"/>
      <c r="D67" s="195"/>
      <c r="E67" s="195"/>
      <c r="F67" s="195"/>
    </row>
    <row r="68" spans="1:6">
      <c r="A68" s="13" t="s">
        <v>1180</v>
      </c>
      <c r="B68" s="104">
        <v>632560</v>
      </c>
      <c r="C68" s="1116"/>
      <c r="D68" s="195"/>
      <c r="E68" s="195"/>
      <c r="F68" s="195"/>
    </row>
    <row r="69" spans="1:6">
      <c r="A69" s="13" t="s">
        <v>1540</v>
      </c>
      <c r="B69" s="96"/>
      <c r="C69" s="1116"/>
      <c r="D69" s="195"/>
      <c r="E69" s="195"/>
      <c r="F69" s="195"/>
    </row>
    <row r="70" spans="1:6">
      <c r="A70" s="13" t="s">
        <v>1541</v>
      </c>
      <c r="B70" s="104">
        <v>9350</v>
      </c>
      <c r="C70" s="1116"/>
      <c r="D70" s="195"/>
      <c r="E70" s="195"/>
      <c r="F70" s="195"/>
    </row>
    <row r="71" spans="1:6">
      <c r="A71" s="13" t="s">
        <v>196</v>
      </c>
      <c r="B71" s="104">
        <v>5720</v>
      </c>
      <c r="C71" s="1116"/>
      <c r="D71" s="195"/>
      <c r="E71" s="195"/>
      <c r="F71" s="195"/>
    </row>
    <row r="72" spans="1:6">
      <c r="A72" s="13" t="s">
        <v>1222</v>
      </c>
      <c r="B72" s="96"/>
      <c r="C72" s="1116"/>
      <c r="D72" s="195"/>
      <c r="E72" s="195"/>
      <c r="F72" s="195"/>
    </row>
    <row r="73" spans="1:6">
      <c r="A73" s="13" t="s">
        <v>1751</v>
      </c>
      <c r="B73" s="104">
        <v>9255</v>
      </c>
      <c r="C73" s="1116"/>
      <c r="D73" s="195"/>
      <c r="E73" s="195"/>
      <c r="F73" s="195"/>
    </row>
    <row r="74" spans="1:6">
      <c r="A74" s="13" t="s">
        <v>1752</v>
      </c>
      <c r="B74" s="96"/>
      <c r="C74" s="1116"/>
      <c r="D74" s="195"/>
      <c r="E74" s="195"/>
      <c r="F74" s="195"/>
    </row>
    <row r="75" spans="1:6">
      <c r="A75" s="13" t="s">
        <v>2939</v>
      </c>
      <c r="B75" s="96"/>
      <c r="C75" s="1116"/>
      <c r="D75" s="195"/>
      <c r="E75" s="195"/>
      <c r="F75" s="195"/>
    </row>
    <row r="76" spans="1:6">
      <c r="A76" s="13" t="s">
        <v>893</v>
      </c>
      <c r="B76" s="96"/>
      <c r="C76" s="1116"/>
      <c r="D76" s="195"/>
      <c r="E76" s="195"/>
      <c r="F76" s="195"/>
    </row>
    <row r="77" spans="1:6">
      <c r="A77" s="13" t="s">
        <v>197</v>
      </c>
      <c r="B77" s="104">
        <v>3677400</v>
      </c>
      <c r="C77" s="1116"/>
      <c r="D77" s="195"/>
      <c r="E77" s="195"/>
      <c r="F77" s="195"/>
    </row>
    <row r="78" spans="1:6">
      <c r="A78" s="13" t="s">
        <v>198</v>
      </c>
      <c r="B78" s="104">
        <v>1770</v>
      </c>
      <c r="C78" s="1116"/>
      <c r="D78" s="195"/>
      <c r="E78" s="195"/>
      <c r="F78" s="195"/>
    </row>
    <row r="79" spans="1:6">
      <c r="A79" s="13" t="s">
        <v>199</v>
      </c>
      <c r="B79" s="104">
        <v>204000</v>
      </c>
      <c r="C79" s="1116"/>
      <c r="D79" s="195"/>
      <c r="E79" s="195"/>
      <c r="F79" s="195"/>
    </row>
    <row r="80" spans="1:6">
      <c r="A80" s="13" t="s">
        <v>2940</v>
      </c>
      <c r="B80" s="96"/>
      <c r="C80" s="1116"/>
      <c r="D80" s="195"/>
      <c r="E80" s="195"/>
      <c r="F80" s="195"/>
    </row>
    <row r="81" spans="1:6">
      <c r="A81" s="13" t="s">
        <v>1221</v>
      </c>
      <c r="B81" s="96"/>
      <c r="C81" s="1116"/>
      <c r="D81" s="195"/>
      <c r="E81" s="195"/>
      <c r="F81" s="195"/>
    </row>
    <row r="82" spans="1:6">
      <c r="A82" s="13" t="s">
        <v>200</v>
      </c>
      <c r="B82" s="96"/>
      <c r="C82" s="1116"/>
      <c r="D82" s="195"/>
      <c r="E82" s="195"/>
      <c r="F82" s="195"/>
    </row>
    <row r="83" spans="1:6">
      <c r="A83" s="13" t="s">
        <v>1220</v>
      </c>
      <c r="B83" s="96"/>
      <c r="C83" s="1116"/>
      <c r="D83" s="195"/>
      <c r="E83" s="195"/>
      <c r="F83" s="195"/>
    </row>
    <row r="84" spans="1:6">
      <c r="A84" s="13" t="s">
        <v>1114</v>
      </c>
      <c r="B84" s="104">
        <v>35320</v>
      </c>
      <c r="C84" s="1116"/>
      <c r="D84" s="195"/>
      <c r="E84" s="195"/>
      <c r="F84" s="195"/>
    </row>
    <row r="85" spans="1:6">
      <c r="A85" s="13" t="s">
        <v>201</v>
      </c>
      <c r="B85" s="104">
        <v>15566</v>
      </c>
      <c r="C85" s="1116"/>
      <c r="D85" s="195"/>
      <c r="E85" s="195"/>
      <c r="F85" s="195"/>
    </row>
    <row r="86" spans="1:6">
      <c r="A86" s="13" t="s">
        <v>1219</v>
      </c>
      <c r="B86" s="96"/>
      <c r="C86" s="1116"/>
      <c r="D86" s="195"/>
      <c r="E86" s="195"/>
      <c r="F86" s="195"/>
    </row>
    <row r="87" spans="1:6">
      <c r="A87" s="13" t="s">
        <v>202</v>
      </c>
      <c r="B87" s="104">
        <v>35143</v>
      </c>
      <c r="C87" s="1116"/>
      <c r="D87" s="195"/>
      <c r="E87" s="195"/>
      <c r="F87" s="195"/>
    </row>
    <row r="88" spans="1:6">
      <c r="A88" s="13" t="s">
        <v>2636</v>
      </c>
      <c r="B88" s="104">
        <v>78386</v>
      </c>
      <c r="C88" s="1116"/>
      <c r="D88" s="195"/>
      <c r="E88" s="195"/>
      <c r="F88" s="195"/>
    </row>
    <row r="89" spans="1:6">
      <c r="A89" s="13" t="s">
        <v>203</v>
      </c>
      <c r="B89" s="104">
        <v>24105</v>
      </c>
      <c r="C89" s="1116"/>
      <c r="D89" s="195"/>
      <c r="E89" s="195"/>
      <c r="F89" s="195"/>
    </row>
    <row r="90" spans="1:6">
      <c r="A90" s="13" t="s">
        <v>1542</v>
      </c>
      <c r="B90" s="104">
        <v>7500</v>
      </c>
      <c r="C90" s="1116"/>
      <c r="D90" s="195"/>
      <c r="E90" s="195"/>
      <c r="F90" s="195"/>
    </row>
    <row r="91" spans="1:6">
      <c r="A91" s="13" t="s">
        <v>2941</v>
      </c>
      <c r="B91" s="96"/>
      <c r="C91" s="1116"/>
      <c r="D91" s="195"/>
      <c r="E91" s="195"/>
      <c r="F91" s="195"/>
    </row>
    <row r="92" spans="1:6">
      <c r="A92" s="13" t="s">
        <v>2942</v>
      </c>
      <c r="B92" s="96"/>
      <c r="C92" s="1116"/>
      <c r="D92" s="195"/>
      <c r="E92" s="195"/>
      <c r="F92" s="195"/>
    </row>
    <row r="93" spans="1:6">
      <c r="A93" s="13" t="s">
        <v>1115</v>
      </c>
      <c r="B93" s="96"/>
      <c r="C93" s="1116"/>
      <c r="D93" s="195"/>
      <c r="E93" s="195"/>
      <c r="F93" s="195"/>
    </row>
    <row r="94" spans="1:6">
      <c r="A94" s="13" t="s">
        <v>204</v>
      </c>
      <c r="B94" s="104">
        <v>31121070</v>
      </c>
      <c r="C94" s="1116"/>
      <c r="D94" s="195"/>
      <c r="E94" s="195"/>
      <c r="F94" s="195"/>
    </row>
    <row r="95" spans="1:6">
      <c r="A95" s="13" t="s">
        <v>1753</v>
      </c>
      <c r="B95" s="104">
        <v>7755</v>
      </c>
      <c r="C95" s="1116"/>
      <c r="D95" s="195"/>
      <c r="E95" s="195"/>
      <c r="F95" s="195"/>
    </row>
    <row r="96" spans="1:6">
      <c r="A96" s="13" t="s">
        <v>2637</v>
      </c>
      <c r="B96" s="96"/>
      <c r="C96" s="1116"/>
      <c r="D96" s="195"/>
      <c r="E96" s="195"/>
      <c r="F96" s="195"/>
    </row>
    <row r="97" spans="1:6">
      <c r="A97" s="13" t="s">
        <v>206</v>
      </c>
      <c r="B97" s="104">
        <v>43709</v>
      </c>
      <c r="C97" s="1116"/>
      <c r="D97" s="195"/>
      <c r="E97" s="195"/>
      <c r="F97" s="195"/>
    </row>
    <row r="98" spans="1:6">
      <c r="A98" s="13" t="s">
        <v>207</v>
      </c>
      <c r="B98" s="104">
        <v>1554027</v>
      </c>
      <c r="C98" s="1116"/>
      <c r="D98" s="195"/>
      <c r="E98" s="195"/>
      <c r="F98" s="195"/>
    </row>
    <row r="99" spans="1:6">
      <c r="A99" s="13" t="s">
        <v>208</v>
      </c>
      <c r="B99" s="104">
        <v>758262</v>
      </c>
      <c r="C99" s="1116"/>
      <c r="D99" s="195"/>
      <c r="E99" s="195"/>
      <c r="F99" s="195"/>
    </row>
    <row r="100" spans="1:6">
      <c r="A100" s="13" t="s">
        <v>209</v>
      </c>
      <c r="B100" s="104">
        <v>-85000</v>
      </c>
      <c r="C100" s="1116"/>
      <c r="D100" s="195"/>
      <c r="E100" s="195"/>
      <c r="F100" s="195"/>
    </row>
    <row r="101" spans="1:6">
      <c r="A101" s="13" t="s">
        <v>210</v>
      </c>
      <c r="B101" s="104">
        <v>111110.01</v>
      </c>
      <c r="C101" s="1116"/>
      <c r="D101" s="195"/>
      <c r="E101" s="195"/>
      <c r="F101" s="195"/>
    </row>
    <row r="102" spans="1:6">
      <c r="A102" s="13" t="s">
        <v>211</v>
      </c>
      <c r="B102" s="104">
        <v>455351</v>
      </c>
      <c r="C102" s="1116"/>
      <c r="D102" s="195"/>
      <c r="E102" s="195"/>
      <c r="F102" s="195"/>
    </row>
    <row r="103" spans="1:6">
      <c r="A103" s="13" t="s">
        <v>212</v>
      </c>
      <c r="B103" s="104">
        <v>179942</v>
      </c>
      <c r="C103" s="1116"/>
      <c r="D103" s="195"/>
      <c r="E103" s="195"/>
      <c r="F103" s="195"/>
    </row>
    <row r="104" spans="1:6">
      <c r="A104" s="13" t="s">
        <v>57</v>
      </c>
      <c r="B104" s="104">
        <v>1514584.58</v>
      </c>
      <c r="C104" s="1116"/>
      <c r="D104" s="195"/>
      <c r="E104" s="195"/>
      <c r="F104" s="195"/>
    </row>
    <row r="105" spans="1:6">
      <c r="A105" s="13" t="s">
        <v>930</v>
      </c>
      <c r="B105" s="104">
        <v>779650</v>
      </c>
      <c r="C105" s="1116"/>
      <c r="D105" s="195"/>
      <c r="E105" s="195"/>
      <c r="F105" s="195"/>
    </row>
    <row r="106" spans="1:6">
      <c r="A106" s="13" t="s">
        <v>929</v>
      </c>
      <c r="B106" s="104">
        <v>63496</v>
      </c>
      <c r="C106" s="1116"/>
      <c r="D106" s="195"/>
      <c r="E106" s="195"/>
      <c r="F106" s="195"/>
    </row>
    <row r="107" spans="1:6">
      <c r="A107" s="13" t="s">
        <v>213</v>
      </c>
      <c r="B107" s="104">
        <v>333770</v>
      </c>
      <c r="C107" s="1116"/>
      <c r="D107" s="195"/>
      <c r="E107" s="195"/>
      <c r="F107" s="195"/>
    </row>
    <row r="108" spans="1:6">
      <c r="A108" s="13" t="s">
        <v>928</v>
      </c>
      <c r="B108" s="104">
        <v>516304.27</v>
      </c>
      <c r="C108" s="1116"/>
      <c r="D108" s="195"/>
      <c r="E108" s="195"/>
      <c r="F108" s="195"/>
    </row>
    <row r="109" spans="1:6">
      <c r="A109" s="13" t="s">
        <v>77</v>
      </c>
      <c r="B109" s="104">
        <v>337491.25</v>
      </c>
      <c r="C109" s="1116"/>
      <c r="D109" s="195"/>
      <c r="E109" s="195"/>
      <c r="F109" s="195"/>
    </row>
    <row r="110" spans="1:6">
      <c r="A110" s="13" t="s">
        <v>71</v>
      </c>
      <c r="B110" s="104">
        <v>1011587</v>
      </c>
      <c r="C110" s="1116"/>
      <c r="D110" s="195"/>
      <c r="E110" s="195"/>
      <c r="F110" s="195"/>
    </row>
    <row r="111" spans="1:6">
      <c r="A111" s="13" t="s">
        <v>927</v>
      </c>
      <c r="B111" s="104">
        <v>1073659</v>
      </c>
      <c r="C111" s="1116"/>
      <c r="D111" s="195"/>
      <c r="E111" s="195"/>
      <c r="F111" s="195"/>
    </row>
    <row r="112" spans="1:6">
      <c r="A112" s="13" t="s">
        <v>926</v>
      </c>
      <c r="B112" s="93">
        <v>5113778.5999999996</v>
      </c>
      <c r="C112" s="1116"/>
      <c r="D112" s="195"/>
      <c r="E112" s="195"/>
      <c r="F112" s="195"/>
    </row>
    <row r="113" spans="1:6">
      <c r="A113" s="1130" t="s">
        <v>2943</v>
      </c>
      <c r="B113" s="96"/>
      <c r="C113" s="1131">
        <v>14513610.369999999</v>
      </c>
      <c r="D113" s="195"/>
      <c r="E113" s="195"/>
      <c r="F113" s="195"/>
    </row>
    <row r="114" spans="1:6">
      <c r="A114" s="19" t="s">
        <v>0</v>
      </c>
      <c r="B114" s="113"/>
      <c r="C114" s="1132">
        <v>65934458.079999998</v>
      </c>
      <c r="D114" s="1133" t="s">
        <v>0</v>
      </c>
      <c r="E114" s="113"/>
      <c r="F114" s="103">
        <v>65934458.079999998</v>
      </c>
    </row>
  </sheetData>
  <mergeCells count="7">
    <mergeCell ref="B5:C5"/>
    <mergeCell ref="E5:F5"/>
    <mergeCell ref="A1:C1"/>
    <mergeCell ref="A2:C2"/>
    <mergeCell ref="A3:C3"/>
    <mergeCell ref="B4:C4"/>
    <mergeCell ref="E4:F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49"/>
  <sheetViews>
    <sheetView workbookViewId="0">
      <selection activeCell="A2" sqref="A2"/>
    </sheetView>
  </sheetViews>
  <sheetFormatPr defaultColWidth="8.5546875" defaultRowHeight="14.4"/>
  <cols>
    <col min="4" max="4" width="10.44140625" bestFit="1" customWidth="1"/>
    <col min="9" max="9" width="11.5546875" bestFit="1" customWidth="1"/>
  </cols>
  <sheetData>
    <row r="1" spans="1:15">
      <c r="A1" t="s">
        <v>2133</v>
      </c>
      <c r="B1">
        <f>57686+63576+495539</f>
        <v>616801</v>
      </c>
    </row>
    <row r="2" spans="1:15">
      <c r="A2" t="s">
        <v>2134</v>
      </c>
      <c r="B2">
        <f>190527+37558+26000+25100+30560+156888+286644+1127939+33333+262987+166405+119680+225000+223860+215957+107525+82531+188700+52100+1973805.63</f>
        <v>5533099.6299999999</v>
      </c>
      <c r="D2" t="s">
        <v>2135</v>
      </c>
    </row>
    <row r="3" spans="1:15">
      <c r="A3" t="s">
        <v>2136</v>
      </c>
      <c r="B3">
        <f>50749</f>
        <v>50749</v>
      </c>
    </row>
    <row r="4" spans="1:15">
      <c r="B4">
        <f>SUM(B1:B3)</f>
        <v>6200649.6299999999</v>
      </c>
      <c r="C4">
        <v>6236242.6299999999</v>
      </c>
      <c r="D4">
        <f>B4-C4</f>
        <v>-35593</v>
      </c>
      <c r="E4">
        <v>6219807.6299999999</v>
      </c>
      <c r="F4">
        <f>B4-E4</f>
        <v>-19158</v>
      </c>
      <c r="H4" t="s">
        <v>2137</v>
      </c>
      <c r="I4">
        <v>140064.47</v>
      </c>
    </row>
    <row r="5" spans="1:15">
      <c r="A5" t="s">
        <v>2138</v>
      </c>
      <c r="B5">
        <f>1248000+832000+1101885+260000+1040000+572000+1040000+824000</f>
        <v>6917885</v>
      </c>
      <c r="H5" t="s">
        <v>2139</v>
      </c>
      <c r="I5">
        <v>24337.5</v>
      </c>
    </row>
    <row r="6" spans="1:15">
      <c r="A6" t="s">
        <v>2140</v>
      </c>
      <c r="H6" t="s">
        <v>2141</v>
      </c>
      <c r="I6" t="s">
        <v>2142</v>
      </c>
      <c r="L6" t="s">
        <v>2172</v>
      </c>
    </row>
    <row r="7" spans="1:15">
      <c r="A7" t="s">
        <v>2143</v>
      </c>
      <c r="B7" t="s">
        <v>2144</v>
      </c>
      <c r="C7" t="s">
        <v>2145</v>
      </c>
      <c r="H7" t="s">
        <v>2146</v>
      </c>
      <c r="I7">
        <v>13975117.98</v>
      </c>
      <c r="J7" t="s">
        <v>2173</v>
      </c>
      <c r="K7" t="s">
        <v>2171</v>
      </c>
      <c r="L7">
        <v>902151</v>
      </c>
      <c r="M7">
        <v>182202</v>
      </c>
      <c r="N7" t="s">
        <v>2176</v>
      </c>
      <c r="O7">
        <v>184935</v>
      </c>
    </row>
    <row r="8" spans="1:15">
      <c r="A8">
        <f>25463+53300+31182+12083+5475</f>
        <v>127503</v>
      </c>
      <c r="B8">
        <v>50749</v>
      </c>
      <c r="C8">
        <f>A8-B8</f>
        <v>76754</v>
      </c>
      <c r="H8" t="s">
        <v>2147</v>
      </c>
      <c r="I8">
        <v>2540565.2200000002</v>
      </c>
      <c r="J8" t="s">
        <v>2173</v>
      </c>
      <c r="K8" t="s">
        <v>2174</v>
      </c>
      <c r="L8">
        <v>1123085</v>
      </c>
      <c r="M8">
        <v>47084</v>
      </c>
    </row>
    <row r="9" spans="1:15">
      <c r="A9" t="s">
        <v>2148</v>
      </c>
      <c r="H9" t="s">
        <v>2149</v>
      </c>
      <c r="I9">
        <v>2885227.5</v>
      </c>
      <c r="K9" t="s">
        <v>2175</v>
      </c>
    </row>
    <row r="10" spans="1:15">
      <c r="A10">
        <f>25873+116137+7260+7751+7751+25755</f>
        <v>190527</v>
      </c>
      <c r="B10">
        <f>25873+116137+7751+7751+7260+25755</f>
        <v>190527</v>
      </c>
    </row>
    <row r="11" spans="1:15">
      <c r="A11" t="s">
        <v>2150</v>
      </c>
    </row>
    <row r="12" spans="1:15">
      <c r="A12">
        <f>13500+13500+6372+1000+3186</f>
        <v>37558</v>
      </c>
      <c r="B12">
        <f>1000+9558+27000</f>
        <v>37558</v>
      </c>
    </row>
    <row r="13" spans="1:15">
      <c r="A13" t="s">
        <v>2151</v>
      </c>
    </row>
    <row r="14" spans="1:15">
      <c r="A14">
        <f>20000+6000</f>
        <v>26000</v>
      </c>
      <c r="B14">
        <f>6000+20000</f>
        <v>26000</v>
      </c>
    </row>
    <row r="15" spans="1:15">
      <c r="A15" t="s">
        <v>2152</v>
      </c>
    </row>
    <row r="16" spans="1:15">
      <c r="A16">
        <f>25100</f>
        <v>25100</v>
      </c>
      <c r="B16">
        <f>25100</f>
        <v>25100</v>
      </c>
    </row>
    <row r="17" spans="1:3">
      <c r="A17" t="s">
        <v>2153</v>
      </c>
    </row>
    <row r="18" spans="1:3">
      <c r="A18">
        <v>30560</v>
      </c>
      <c r="B18">
        <f>30560</f>
        <v>30560</v>
      </c>
    </row>
    <row r="19" spans="1:3">
      <c r="A19" t="s">
        <v>2154</v>
      </c>
    </row>
    <row r="20" spans="1:3">
      <c r="A20">
        <f>78706+16678+9856+8475+19830+6780+10169+20339+20102+9949+20339+19932+821+20339+820+20339+8475+28814+821+20000+24000</f>
        <v>365584</v>
      </c>
      <c r="B20">
        <f>78706+42289+10529+25364+286644</f>
        <v>443532</v>
      </c>
      <c r="C20">
        <f>A20-B20</f>
        <v>-77948</v>
      </c>
    </row>
    <row r="21" spans="1:3">
      <c r="A21" t="s">
        <v>2155</v>
      </c>
    </row>
    <row r="22" spans="1:3">
      <c r="A22">
        <f>107110+98111+47349+78318+93679+20980+11128+286350+91594+136037+78716+78567</f>
        <v>1127939</v>
      </c>
      <c r="B22">
        <f>107110+78567+98111+11128+47349+171997+20980+286350+78716+91594+136037</f>
        <v>1127939</v>
      </c>
      <c r="C22">
        <f>A22-B22</f>
        <v>0</v>
      </c>
    </row>
    <row r="23" spans="1:3">
      <c r="A23" t="s">
        <v>2156</v>
      </c>
    </row>
    <row r="24" spans="1:3">
      <c r="A24">
        <f>9217+7674+8816+7626</f>
        <v>33333</v>
      </c>
      <c r="B24">
        <f>9217+7674+8816+3626+4000</f>
        <v>33333</v>
      </c>
    </row>
    <row r="25" spans="1:3">
      <c r="A25" t="s">
        <v>2157</v>
      </c>
    </row>
    <row r="26" spans="1:3">
      <c r="A26">
        <f>47657+33974+29755+77976+47919+25706</f>
        <v>262987</v>
      </c>
      <c r="B26">
        <f>262987</f>
        <v>262987</v>
      </c>
    </row>
    <row r="27" spans="1:3">
      <c r="A27" t="s">
        <v>2158</v>
      </c>
    </row>
    <row r="28" spans="1:3">
      <c r="A28">
        <f>80086+38750+23236+24333</f>
        <v>166405</v>
      </c>
      <c r="B28">
        <f>166405</f>
        <v>166405</v>
      </c>
    </row>
    <row r="29" spans="1:3">
      <c r="A29" t="s">
        <v>2159</v>
      </c>
    </row>
    <row r="30" spans="1:3">
      <c r="A30">
        <f>29920+29920+59840</f>
        <v>119680</v>
      </c>
      <c r="B30">
        <f>119680</f>
        <v>119680</v>
      </c>
    </row>
    <row r="31" spans="1:3">
      <c r="A31" t="s">
        <v>2160</v>
      </c>
    </row>
    <row r="32" spans="1:3">
      <c r="A32">
        <f>37500+25000+25000+25000+12500+12500+12500+12500+12500+12500+37500</f>
        <v>225000</v>
      </c>
      <c r="B32">
        <f>225000</f>
        <v>225000</v>
      </c>
      <c r="C32">
        <f>B32-A32</f>
        <v>0</v>
      </c>
    </row>
    <row r="33" spans="1:4">
      <c r="A33" t="s">
        <v>2161</v>
      </c>
    </row>
    <row r="34" spans="1:4">
      <c r="A34">
        <f>73860+150000</f>
        <v>223860</v>
      </c>
      <c r="B34">
        <f>223860</f>
        <v>223860</v>
      </c>
    </row>
    <row r="35" spans="1:4">
      <c r="A35" t="s">
        <v>2162</v>
      </c>
    </row>
    <row r="36" spans="1:4">
      <c r="A36">
        <f>43259+30000+15129+31692+43991+15144+20643+16099</f>
        <v>215957</v>
      </c>
      <c r="B36">
        <f>215957</f>
        <v>215957</v>
      </c>
    </row>
    <row r="37" spans="1:4">
      <c r="A37" t="s">
        <v>2163</v>
      </c>
    </row>
    <row r="38" spans="1:4">
      <c r="A38">
        <f>12650+12650+25300+25300+31625</f>
        <v>107525</v>
      </c>
      <c r="B38">
        <v>107525</v>
      </c>
    </row>
    <row r="39" spans="1:4">
      <c r="A39" t="s">
        <v>2164</v>
      </c>
    </row>
    <row r="40" spans="1:4">
      <c r="A40">
        <f>30786+32345+19400</f>
        <v>82531</v>
      </c>
      <c r="B40">
        <v>82531</v>
      </c>
    </row>
    <row r="41" spans="1:4">
      <c r="A41" t="s">
        <v>2165</v>
      </c>
    </row>
    <row r="42" spans="1:4">
      <c r="A42">
        <f>44400+44400+33300+44400+22200</f>
        <v>188700</v>
      </c>
      <c r="B42">
        <f>188700</f>
        <v>188700</v>
      </c>
    </row>
    <row r="43" spans="1:4">
      <c r="A43" t="s">
        <v>2166</v>
      </c>
    </row>
    <row r="44" spans="1:4">
      <c r="A44">
        <f>13030+6128</f>
        <v>19158</v>
      </c>
      <c r="B44">
        <f>52100</f>
        <v>52100</v>
      </c>
      <c r="C44">
        <f>A44-B44</f>
        <v>-32942</v>
      </c>
    </row>
    <row r="45" spans="1:4">
      <c r="A45" t="s">
        <v>2167</v>
      </c>
    </row>
    <row r="46" spans="1:4">
      <c r="A46">
        <f>73233+25639+324338+535748+69729+231018+205529+202139+13938.6+174682+54853+132688</f>
        <v>2043534.6</v>
      </c>
      <c r="B46">
        <v>1973805</v>
      </c>
      <c r="C46">
        <f>A46-B46</f>
        <v>69729.600000000093</v>
      </c>
      <c r="D46" s="218">
        <v>43476</v>
      </c>
    </row>
    <row r="49" spans="1:3">
      <c r="A49">
        <f>SUM(A8:A46)</f>
        <v>5619441.5999999996</v>
      </c>
      <c r="B49">
        <f>SUM(B8:B46)</f>
        <v>5583848</v>
      </c>
      <c r="C49">
        <f>SUM(C8:C46)</f>
        <v>35593.600000000093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555"/>
  <sheetViews>
    <sheetView topLeftCell="A2" workbookViewId="0">
      <pane ySplit="1" topLeftCell="A158" activePane="bottomLeft" state="frozen"/>
      <selection activeCell="A2" sqref="A2"/>
      <selection pane="bottomLeft" activeCell="A168" sqref="A168"/>
    </sheetView>
  </sheetViews>
  <sheetFormatPr defaultColWidth="8.5546875" defaultRowHeight="14.4"/>
  <cols>
    <col min="1" max="1" width="48.5546875" bestFit="1" customWidth="1"/>
    <col min="2" max="2" width="11.44140625" style="292" bestFit="1" customWidth="1"/>
    <col min="3" max="3" width="11.5546875" style="304" bestFit="1" customWidth="1"/>
    <col min="4" max="4" width="11.5546875" style="319" bestFit="1" customWidth="1"/>
    <col min="5" max="5" width="11.5546875" style="334" bestFit="1" customWidth="1"/>
    <col min="6" max="6" width="12.44140625" bestFit="1" customWidth="1"/>
    <col min="7" max="7" width="9.44140625" bestFit="1" customWidth="1"/>
    <col min="8" max="8" width="14.5546875" bestFit="1" customWidth="1"/>
    <col min="9" max="9" width="13.44140625" bestFit="1" customWidth="1"/>
  </cols>
  <sheetData>
    <row r="1" spans="1:9" ht="15.6" hidden="1">
      <c r="A1" s="2699" t="s">
        <v>81</v>
      </c>
      <c r="B1" s="2699"/>
      <c r="C1" s="2699"/>
      <c r="D1" s="305"/>
      <c r="E1" s="320"/>
    </row>
    <row r="2" spans="1:9">
      <c r="A2" s="12"/>
      <c r="B2" s="280" t="s">
        <v>66</v>
      </c>
      <c r="C2" s="293" t="s">
        <v>67</v>
      </c>
      <c r="D2" s="306" t="s">
        <v>66</v>
      </c>
      <c r="E2" s="321" t="s">
        <v>67</v>
      </c>
    </row>
    <row r="3" spans="1:9">
      <c r="A3" s="1" t="s">
        <v>84</v>
      </c>
      <c r="B3" s="351"/>
      <c r="C3" s="102"/>
      <c r="D3" s="352"/>
      <c r="E3" s="201">
        <v>7147460</v>
      </c>
    </row>
    <row r="4" spans="1:9">
      <c r="A4" s="13" t="s">
        <v>36</v>
      </c>
      <c r="B4" s="281"/>
      <c r="C4" s="294"/>
      <c r="D4" s="307"/>
      <c r="E4" s="323">
        <v>7147460</v>
      </c>
    </row>
    <row r="5" spans="1:9">
      <c r="A5" s="1" t="s">
        <v>86</v>
      </c>
      <c r="B5" s="282">
        <v>737524</v>
      </c>
      <c r="C5" s="295">
        <v>2055676.53</v>
      </c>
      <c r="D5" s="308">
        <v>9078788.5</v>
      </c>
      <c r="E5" s="324">
        <v>11063896.699999999</v>
      </c>
    </row>
    <row r="6" spans="1:9">
      <c r="A6" s="14" t="s">
        <v>89</v>
      </c>
      <c r="B6" s="349">
        <v>737524</v>
      </c>
      <c r="C6" s="110">
        <v>2055676.53</v>
      </c>
      <c r="D6" s="345">
        <v>4825462.5</v>
      </c>
      <c r="E6" s="107">
        <v>10658484.560000001</v>
      </c>
      <c r="F6" s="100">
        <f>E6+C6-D6-B6</f>
        <v>7151174.5899999999</v>
      </c>
    </row>
    <row r="7" spans="1:9">
      <c r="A7" s="18" t="s">
        <v>1887</v>
      </c>
      <c r="B7" s="350"/>
      <c r="C7" s="107">
        <v>162950</v>
      </c>
      <c r="D7" s="349">
        <v>1125045</v>
      </c>
      <c r="E7" s="110">
        <v>4555540.93</v>
      </c>
      <c r="F7" s="100">
        <f>E7+C7-D7</f>
        <v>3593445.9299999997</v>
      </c>
    </row>
    <row r="8" spans="1:9">
      <c r="A8" s="190" t="s">
        <v>1888</v>
      </c>
      <c r="B8" s="281"/>
      <c r="C8" s="294"/>
      <c r="D8" s="307"/>
      <c r="E8" s="323">
        <v>938288.93</v>
      </c>
      <c r="F8" s="100">
        <f>B8+C8+D8+E8</f>
        <v>938288.93</v>
      </c>
      <c r="G8" t="s">
        <v>2108</v>
      </c>
      <c r="H8" s="263"/>
      <c r="I8" s="100"/>
    </row>
    <row r="9" spans="1:9">
      <c r="A9" s="190" t="s">
        <v>1889</v>
      </c>
      <c r="B9" s="283"/>
      <c r="C9" s="296"/>
      <c r="D9" s="309"/>
      <c r="E9" s="325">
        <v>12154</v>
      </c>
      <c r="F9" s="100">
        <f t="shared" ref="F9:F72" si="0">B9+C9+D9+E9</f>
        <v>12154</v>
      </c>
      <c r="G9" t="s">
        <v>2108</v>
      </c>
      <c r="H9" s="263"/>
      <c r="I9" s="100"/>
    </row>
    <row r="10" spans="1:9">
      <c r="A10" s="191" t="s">
        <v>1294</v>
      </c>
      <c r="B10" s="283"/>
      <c r="C10" s="296"/>
      <c r="D10" s="309"/>
      <c r="E10" s="325">
        <v>8000</v>
      </c>
      <c r="F10" s="100">
        <f t="shared" si="0"/>
        <v>8000</v>
      </c>
      <c r="G10" t="s">
        <v>2108</v>
      </c>
      <c r="H10" s="263"/>
      <c r="I10" s="100"/>
    </row>
    <row r="11" spans="1:9">
      <c r="A11" s="190" t="s">
        <v>1892</v>
      </c>
      <c r="B11" s="283"/>
      <c r="C11" s="296"/>
      <c r="D11" s="310">
        <v>500045</v>
      </c>
      <c r="E11" s="326"/>
      <c r="F11" s="100">
        <f t="shared" si="0"/>
        <v>500045</v>
      </c>
      <c r="G11" t="s">
        <v>1351</v>
      </c>
      <c r="H11" s="267"/>
      <c r="I11" s="100"/>
    </row>
    <row r="12" spans="1:9">
      <c r="A12" s="190" t="s">
        <v>969</v>
      </c>
      <c r="B12" s="283"/>
      <c r="C12" s="297">
        <v>144197</v>
      </c>
      <c r="D12" s="309"/>
      <c r="E12" s="326"/>
      <c r="F12" s="100">
        <f t="shared" si="0"/>
        <v>144197</v>
      </c>
      <c r="G12" t="s">
        <v>2108</v>
      </c>
      <c r="H12" s="263"/>
      <c r="I12" s="100"/>
    </row>
    <row r="13" spans="1:9">
      <c r="A13" s="190" t="s">
        <v>1381</v>
      </c>
      <c r="B13" s="283"/>
      <c r="C13" s="297">
        <v>3845</v>
      </c>
      <c r="D13" s="309"/>
      <c r="E13" s="326"/>
      <c r="F13" s="100">
        <f t="shared" si="0"/>
        <v>3845</v>
      </c>
      <c r="G13" t="s">
        <v>1351</v>
      </c>
      <c r="H13" s="263"/>
      <c r="I13" s="100"/>
    </row>
    <row r="14" spans="1:9">
      <c r="A14" s="190" t="s">
        <v>1893</v>
      </c>
      <c r="B14" s="283"/>
      <c r="C14" s="296"/>
      <c r="D14" s="310">
        <v>100000</v>
      </c>
      <c r="E14" s="326"/>
      <c r="F14" s="100">
        <f t="shared" si="0"/>
        <v>100000</v>
      </c>
      <c r="G14" t="s">
        <v>1351</v>
      </c>
      <c r="H14" s="267"/>
      <c r="I14" s="100"/>
    </row>
    <row r="15" spans="1:9">
      <c r="A15" s="17" t="s">
        <v>563</v>
      </c>
      <c r="B15" s="283"/>
      <c r="C15" s="296"/>
      <c r="D15" s="309"/>
      <c r="E15" s="325">
        <v>21700</v>
      </c>
      <c r="F15" s="100">
        <f t="shared" si="0"/>
        <v>21700</v>
      </c>
      <c r="G15" t="s">
        <v>2108</v>
      </c>
      <c r="H15" s="263"/>
      <c r="I15" s="100"/>
    </row>
    <row r="16" spans="1:9">
      <c r="A16" s="190" t="s">
        <v>1292</v>
      </c>
      <c r="B16" s="283"/>
      <c r="C16" s="296"/>
      <c r="D16" s="310">
        <v>525000</v>
      </c>
      <c r="E16" s="326"/>
      <c r="F16" s="100">
        <f t="shared" si="0"/>
        <v>525000</v>
      </c>
      <c r="G16" t="s">
        <v>1351</v>
      </c>
      <c r="H16" s="267">
        <f>39821-14815-14820</f>
        <v>10186</v>
      </c>
      <c r="I16" s="100"/>
    </row>
    <row r="17" spans="1:9">
      <c r="A17" s="191" t="s">
        <v>564</v>
      </c>
      <c r="B17" s="283"/>
      <c r="C17" s="296"/>
      <c r="D17" s="309"/>
      <c r="E17" s="325">
        <v>300647</v>
      </c>
      <c r="F17" s="100">
        <f t="shared" si="0"/>
        <v>300647</v>
      </c>
      <c r="G17" t="s">
        <v>2108</v>
      </c>
      <c r="H17" s="263"/>
      <c r="I17" s="100"/>
    </row>
    <row r="18" spans="1:9">
      <c r="A18" s="15" t="s">
        <v>565</v>
      </c>
      <c r="B18" s="283"/>
      <c r="C18" s="296"/>
      <c r="D18" s="309"/>
      <c r="E18" s="325">
        <v>393093</v>
      </c>
      <c r="F18" s="100">
        <f t="shared" si="0"/>
        <v>393093</v>
      </c>
      <c r="G18" t="s">
        <v>2108</v>
      </c>
      <c r="H18" s="263"/>
      <c r="I18" s="100"/>
    </row>
    <row r="19" spans="1:9">
      <c r="A19" s="15" t="s">
        <v>566</v>
      </c>
      <c r="B19" s="283"/>
      <c r="C19" s="296"/>
      <c r="D19" s="309"/>
      <c r="E19" s="325">
        <v>9924</v>
      </c>
      <c r="F19" s="100">
        <f t="shared" si="0"/>
        <v>9924</v>
      </c>
      <c r="G19" t="s">
        <v>2108</v>
      </c>
      <c r="H19" s="263"/>
      <c r="I19" s="100"/>
    </row>
    <row r="20" spans="1:9">
      <c r="A20" s="15" t="s">
        <v>567</v>
      </c>
      <c r="B20" s="283"/>
      <c r="C20" s="296"/>
      <c r="D20" s="309"/>
      <c r="E20" s="325">
        <v>107343</v>
      </c>
      <c r="F20" s="100">
        <f t="shared" si="0"/>
        <v>107343</v>
      </c>
      <c r="G20" t="s">
        <v>2108</v>
      </c>
      <c r="H20" s="263"/>
      <c r="I20" s="100"/>
    </row>
    <row r="21" spans="1:9">
      <c r="A21" s="190" t="s">
        <v>569</v>
      </c>
      <c r="B21" s="283"/>
      <c r="C21" s="296"/>
      <c r="D21" s="309"/>
      <c r="E21" s="325">
        <v>2196990</v>
      </c>
      <c r="F21" s="100">
        <f t="shared" si="0"/>
        <v>2196990</v>
      </c>
      <c r="G21" t="s">
        <v>2108</v>
      </c>
      <c r="H21" s="263"/>
      <c r="I21" s="100"/>
    </row>
    <row r="22" spans="1:9">
      <c r="A22" s="190" t="s">
        <v>1383</v>
      </c>
      <c r="B22" s="283"/>
      <c r="C22" s="296"/>
      <c r="D22" s="309"/>
      <c r="E22" s="325">
        <v>40260</v>
      </c>
      <c r="F22" s="100">
        <f t="shared" si="0"/>
        <v>40260</v>
      </c>
      <c r="G22" t="s">
        <v>2108</v>
      </c>
      <c r="H22" s="263"/>
      <c r="I22" s="100"/>
    </row>
    <row r="23" spans="1:9">
      <c r="A23" s="15" t="s">
        <v>68</v>
      </c>
      <c r="B23" s="283"/>
      <c r="C23" s="297">
        <v>14908</v>
      </c>
      <c r="D23" s="309"/>
      <c r="E23" s="325">
        <v>527141</v>
      </c>
      <c r="F23" s="100">
        <f t="shared" si="0"/>
        <v>542049</v>
      </c>
      <c r="G23" s="100" t="s">
        <v>2108</v>
      </c>
      <c r="H23" s="263"/>
      <c r="I23" s="100"/>
    </row>
    <row r="24" spans="1:9">
      <c r="A24" s="18" t="s">
        <v>1904</v>
      </c>
      <c r="B24" s="340">
        <v>498136</v>
      </c>
      <c r="C24" s="93">
        <v>1091393.53</v>
      </c>
      <c r="D24" s="353">
        <v>675527.7</v>
      </c>
      <c r="E24" s="106">
        <v>3004364.3</v>
      </c>
      <c r="F24" s="100">
        <f>E24+C24-D24-B24</f>
        <v>2922094.13</v>
      </c>
      <c r="H24" s="268"/>
      <c r="I24" s="100"/>
    </row>
    <row r="25" spans="1:9">
      <c r="A25" s="190" t="s">
        <v>1290</v>
      </c>
      <c r="B25" s="281"/>
      <c r="C25" s="298">
        <v>145553</v>
      </c>
      <c r="D25" s="307"/>
      <c r="E25" s="323">
        <v>52435</v>
      </c>
      <c r="F25" s="100">
        <f t="shared" si="0"/>
        <v>197988</v>
      </c>
      <c r="G25" s="100" t="s">
        <v>2108</v>
      </c>
      <c r="I25" s="100"/>
    </row>
    <row r="26" spans="1:9">
      <c r="A26" s="190" t="s">
        <v>1905</v>
      </c>
      <c r="B26" s="283"/>
      <c r="C26" s="296"/>
      <c r="D26" s="309"/>
      <c r="E26" s="325">
        <v>79379</v>
      </c>
      <c r="F26" s="100">
        <f t="shared" si="0"/>
        <v>79379</v>
      </c>
      <c r="G26" t="s">
        <v>2108</v>
      </c>
      <c r="H26" s="263"/>
      <c r="I26" s="100"/>
    </row>
    <row r="27" spans="1:9">
      <c r="A27" s="190" t="s">
        <v>1385</v>
      </c>
      <c r="B27" s="283"/>
      <c r="C27" s="296"/>
      <c r="D27" s="309"/>
      <c r="E27" s="325">
        <v>74222</v>
      </c>
      <c r="F27" s="100">
        <f t="shared" si="0"/>
        <v>74222</v>
      </c>
      <c r="G27" s="100" t="s">
        <v>2108</v>
      </c>
      <c r="H27" s="263"/>
      <c r="I27" s="100"/>
    </row>
    <row r="28" spans="1:9">
      <c r="A28" s="190" t="s">
        <v>1907</v>
      </c>
      <c r="B28" s="284">
        <v>240000</v>
      </c>
      <c r="C28" s="296"/>
      <c r="D28" s="309"/>
      <c r="E28" s="326"/>
      <c r="F28" s="100">
        <f t="shared" si="0"/>
        <v>240000</v>
      </c>
      <c r="G28" t="s">
        <v>1351</v>
      </c>
      <c r="H28" s="267"/>
      <c r="I28" s="100"/>
    </row>
    <row r="29" spans="1:9">
      <c r="A29" s="190" t="s">
        <v>1969</v>
      </c>
      <c r="B29" s="283"/>
      <c r="C29" s="297">
        <v>120354</v>
      </c>
      <c r="D29" s="309"/>
      <c r="E29" s="325">
        <v>53650</v>
      </c>
      <c r="F29" s="100">
        <f t="shared" si="0"/>
        <v>174004</v>
      </c>
      <c r="G29" s="100" t="s">
        <v>2108</v>
      </c>
      <c r="I29" s="100"/>
    </row>
    <row r="30" spans="1:9">
      <c r="A30" s="15" t="s">
        <v>1910</v>
      </c>
      <c r="B30" s="283"/>
      <c r="C30" s="296"/>
      <c r="D30" s="310">
        <v>9399</v>
      </c>
      <c r="E30" s="326"/>
      <c r="F30" s="100">
        <f t="shared" si="0"/>
        <v>9399</v>
      </c>
      <c r="G30" t="s">
        <v>1351</v>
      </c>
      <c r="H30" s="267"/>
      <c r="I30" s="100"/>
    </row>
    <row r="31" spans="1:9">
      <c r="A31" s="190" t="s">
        <v>1911</v>
      </c>
      <c r="B31" s="283"/>
      <c r="C31" s="296"/>
      <c r="D31" s="310">
        <v>7727</v>
      </c>
      <c r="E31" s="326"/>
      <c r="F31" s="100">
        <f t="shared" si="0"/>
        <v>7727</v>
      </c>
      <c r="G31" s="100" t="s">
        <v>1351</v>
      </c>
      <c r="H31" s="267"/>
      <c r="I31" s="100"/>
    </row>
    <row r="32" spans="1:9">
      <c r="A32" s="190" t="s">
        <v>1390</v>
      </c>
      <c r="B32" s="283"/>
      <c r="C32" s="296"/>
      <c r="D32" s="309"/>
      <c r="E32" s="325">
        <v>386073</v>
      </c>
      <c r="F32" s="100">
        <f t="shared" si="0"/>
        <v>386073</v>
      </c>
      <c r="G32" t="s">
        <v>2108</v>
      </c>
      <c r="H32" s="263"/>
      <c r="I32" s="100"/>
    </row>
    <row r="33" spans="1:9">
      <c r="A33" s="190" t="s">
        <v>1391</v>
      </c>
      <c r="B33" s="283"/>
      <c r="C33" s="297">
        <v>7610</v>
      </c>
      <c r="D33" s="309"/>
      <c r="E33" s="326"/>
      <c r="F33" s="100">
        <f t="shared" si="0"/>
        <v>7610</v>
      </c>
      <c r="G33" s="100" t="s">
        <v>2108</v>
      </c>
      <c r="H33" s="263"/>
      <c r="I33" s="100"/>
    </row>
    <row r="34" spans="1:9">
      <c r="A34" s="190" t="s">
        <v>1788</v>
      </c>
      <c r="B34" s="284">
        <v>37250</v>
      </c>
      <c r="C34" s="296"/>
      <c r="D34" s="309"/>
      <c r="E34" s="326"/>
      <c r="F34" s="100">
        <f t="shared" si="0"/>
        <v>37250</v>
      </c>
      <c r="G34" t="s">
        <v>1351</v>
      </c>
      <c r="H34" s="267"/>
      <c r="I34" s="100"/>
    </row>
    <row r="35" spans="1:9">
      <c r="A35" s="190" t="s">
        <v>1912</v>
      </c>
      <c r="B35" s="283"/>
      <c r="C35" s="296"/>
      <c r="D35" s="309"/>
      <c r="E35" s="325">
        <v>23128</v>
      </c>
      <c r="F35" s="100">
        <f t="shared" si="0"/>
        <v>23128</v>
      </c>
      <c r="G35" s="100" t="s">
        <v>2108</v>
      </c>
      <c r="H35" s="263"/>
      <c r="I35" s="100"/>
    </row>
    <row r="36" spans="1:9">
      <c r="A36" s="190" t="s">
        <v>578</v>
      </c>
      <c r="B36" s="283"/>
      <c r="C36" s="296"/>
      <c r="D36" s="309"/>
      <c r="E36" s="325">
        <v>107676</v>
      </c>
      <c r="F36" s="100">
        <f t="shared" si="0"/>
        <v>107676</v>
      </c>
      <c r="G36" t="s">
        <v>2108</v>
      </c>
      <c r="H36" s="263"/>
      <c r="I36" s="100"/>
    </row>
    <row r="37" spans="1:9">
      <c r="A37" s="190" t="s">
        <v>1790</v>
      </c>
      <c r="B37" s="284">
        <v>31100</v>
      </c>
      <c r="C37" s="296"/>
      <c r="D37" s="309"/>
      <c r="E37" s="326"/>
      <c r="F37" s="100">
        <f t="shared" si="0"/>
        <v>31100</v>
      </c>
      <c r="G37" s="100" t="s">
        <v>1351</v>
      </c>
      <c r="H37" s="267"/>
      <c r="I37" s="100"/>
    </row>
    <row r="38" spans="1:9">
      <c r="A38" s="190" t="s">
        <v>1679</v>
      </c>
      <c r="B38" s="283"/>
      <c r="C38" s="296"/>
      <c r="D38" s="310">
        <v>28642</v>
      </c>
      <c r="E38" s="326"/>
      <c r="F38" s="100">
        <f t="shared" si="0"/>
        <v>28642</v>
      </c>
      <c r="G38" t="s">
        <v>1351</v>
      </c>
      <c r="H38" s="267"/>
      <c r="I38" s="100"/>
    </row>
    <row r="39" spans="1:9">
      <c r="A39" s="15" t="s">
        <v>579</v>
      </c>
      <c r="B39" s="283"/>
      <c r="C39" s="296"/>
      <c r="D39" s="309"/>
      <c r="E39" s="325">
        <v>46263</v>
      </c>
      <c r="F39" s="100">
        <f t="shared" si="0"/>
        <v>46263</v>
      </c>
      <c r="G39" s="100" t="s">
        <v>2108</v>
      </c>
      <c r="H39" s="263"/>
      <c r="I39" s="100"/>
    </row>
    <row r="40" spans="1:9">
      <c r="A40" s="190" t="s">
        <v>1917</v>
      </c>
      <c r="B40" s="283"/>
      <c r="C40" s="296"/>
      <c r="D40" s="309"/>
      <c r="E40" s="325">
        <v>187186</v>
      </c>
      <c r="F40" s="100">
        <f t="shared" si="0"/>
        <v>187186</v>
      </c>
      <c r="G40" t="s">
        <v>2108</v>
      </c>
      <c r="H40" s="263"/>
      <c r="I40" s="100"/>
    </row>
    <row r="41" spans="1:9">
      <c r="A41" s="190" t="s">
        <v>1793</v>
      </c>
      <c r="B41" s="283"/>
      <c r="C41" s="297">
        <v>81788</v>
      </c>
      <c r="D41" s="309"/>
      <c r="E41" s="326"/>
      <c r="F41" s="100">
        <f t="shared" si="0"/>
        <v>81788</v>
      </c>
      <c r="G41" s="100" t="s">
        <v>2108</v>
      </c>
      <c r="H41" s="263"/>
      <c r="I41" s="100"/>
    </row>
    <row r="42" spans="1:9">
      <c r="A42" s="15" t="s">
        <v>259</v>
      </c>
      <c r="B42" s="283"/>
      <c r="C42" s="296"/>
      <c r="D42" s="309"/>
      <c r="E42" s="325">
        <v>754278.5</v>
      </c>
      <c r="F42" s="100">
        <f t="shared" si="0"/>
        <v>754278.5</v>
      </c>
      <c r="G42" t="s">
        <v>2108</v>
      </c>
      <c r="H42" s="263"/>
      <c r="I42" s="100"/>
    </row>
    <row r="43" spans="1:9">
      <c r="A43" s="190" t="s">
        <v>1920</v>
      </c>
      <c r="B43" s="283"/>
      <c r="C43" s="296"/>
      <c r="D43" s="309"/>
      <c r="E43" s="325">
        <v>300</v>
      </c>
      <c r="F43" s="100">
        <f t="shared" si="0"/>
        <v>300</v>
      </c>
      <c r="G43" s="100" t="s">
        <v>2108</v>
      </c>
      <c r="H43" s="263"/>
      <c r="I43" s="100"/>
    </row>
    <row r="44" spans="1:9">
      <c r="A44" s="190" t="s">
        <v>257</v>
      </c>
      <c r="B44" s="283"/>
      <c r="C44" s="296"/>
      <c r="D44" s="309"/>
      <c r="E44" s="325">
        <v>468104.5</v>
      </c>
      <c r="F44" s="100">
        <f t="shared" si="0"/>
        <v>468104.5</v>
      </c>
      <c r="G44" t="s">
        <v>2108</v>
      </c>
      <c r="I44" s="100"/>
    </row>
    <row r="45" spans="1:9">
      <c r="A45" s="190" t="s">
        <v>1928</v>
      </c>
      <c r="B45" s="283"/>
      <c r="C45" s="296"/>
      <c r="D45" s="309"/>
      <c r="E45" s="325">
        <v>79364</v>
      </c>
      <c r="F45" s="100">
        <f t="shared" si="0"/>
        <v>79364</v>
      </c>
      <c r="G45" s="100" t="s">
        <v>2108</v>
      </c>
      <c r="H45" s="263"/>
      <c r="I45" s="100"/>
    </row>
    <row r="46" spans="1:9">
      <c r="A46" s="190" t="s">
        <v>1930</v>
      </c>
      <c r="B46" s="283"/>
      <c r="C46" s="296"/>
      <c r="D46" s="309"/>
      <c r="E46" s="325">
        <v>3245</v>
      </c>
      <c r="F46" s="100">
        <f t="shared" si="0"/>
        <v>3245</v>
      </c>
      <c r="G46" t="s">
        <v>2108</v>
      </c>
      <c r="H46" s="263"/>
      <c r="I46" s="100"/>
    </row>
    <row r="47" spans="1:9">
      <c r="A47" s="15" t="s">
        <v>586</v>
      </c>
      <c r="B47" s="283"/>
      <c r="C47" s="296"/>
      <c r="D47" s="310">
        <v>1175</v>
      </c>
      <c r="E47" s="326"/>
      <c r="F47" s="100">
        <f t="shared" si="0"/>
        <v>1175</v>
      </c>
      <c r="G47" s="100" t="s">
        <v>1351</v>
      </c>
      <c r="I47" s="100"/>
    </row>
    <row r="48" spans="1:9">
      <c r="A48" s="13" t="s">
        <v>587</v>
      </c>
      <c r="B48" s="283"/>
      <c r="C48" s="297">
        <v>39750.53</v>
      </c>
      <c r="D48" s="309"/>
      <c r="E48" s="325">
        <v>19148.349999999999</v>
      </c>
      <c r="F48" s="100">
        <f t="shared" si="0"/>
        <v>58898.879999999997</v>
      </c>
      <c r="G48" s="100" t="s">
        <v>2108</v>
      </c>
      <c r="I48" s="100"/>
    </row>
    <row r="49" spans="1:9">
      <c r="A49" s="15" t="s">
        <v>1795</v>
      </c>
      <c r="B49" s="283"/>
      <c r="C49" s="297">
        <v>20810</v>
      </c>
      <c r="D49" s="309"/>
      <c r="E49" s="326"/>
      <c r="F49" s="100">
        <f t="shared" si="0"/>
        <v>20810</v>
      </c>
      <c r="G49" s="100" t="s">
        <v>1351</v>
      </c>
      <c r="I49" s="100"/>
    </row>
    <row r="50" spans="1:9">
      <c r="A50" s="15" t="s">
        <v>1933</v>
      </c>
      <c r="B50" s="283"/>
      <c r="C50" s="296"/>
      <c r="D50" s="310">
        <v>2200</v>
      </c>
      <c r="E50" s="326"/>
      <c r="F50" s="100">
        <f t="shared" si="0"/>
        <v>2200</v>
      </c>
      <c r="G50" s="100" t="s">
        <v>1351</v>
      </c>
      <c r="H50" s="267"/>
      <c r="I50" s="100"/>
    </row>
    <row r="51" spans="1:9">
      <c r="A51" s="190" t="s">
        <v>258</v>
      </c>
      <c r="B51" s="283"/>
      <c r="C51" s="296"/>
      <c r="D51" s="309"/>
      <c r="E51" s="325">
        <v>196558</v>
      </c>
      <c r="F51" s="100">
        <f t="shared" si="0"/>
        <v>196558</v>
      </c>
      <c r="G51" s="100" t="s">
        <v>2108</v>
      </c>
      <c r="H51" s="263"/>
      <c r="I51" s="100"/>
    </row>
    <row r="52" spans="1:9">
      <c r="A52" s="15" t="s">
        <v>1936</v>
      </c>
      <c r="B52" s="283"/>
      <c r="C52" s="296"/>
      <c r="D52" s="309"/>
      <c r="E52" s="325">
        <v>3200</v>
      </c>
      <c r="F52" s="100">
        <f t="shared" si="0"/>
        <v>3200</v>
      </c>
      <c r="G52" s="100" t="s">
        <v>2108</v>
      </c>
      <c r="H52" s="263"/>
      <c r="I52" s="100"/>
    </row>
    <row r="53" spans="1:9">
      <c r="A53" s="190" t="s">
        <v>1691</v>
      </c>
      <c r="B53" s="283"/>
      <c r="C53" s="296"/>
      <c r="D53" s="309"/>
      <c r="E53" s="325">
        <v>58399</v>
      </c>
      <c r="F53" s="100">
        <f t="shared" si="0"/>
        <v>58399</v>
      </c>
      <c r="G53" s="100" t="s">
        <v>2108</v>
      </c>
      <c r="H53" s="263"/>
      <c r="I53" s="100"/>
    </row>
    <row r="54" spans="1:9">
      <c r="A54" s="15" t="s">
        <v>1940</v>
      </c>
      <c r="B54" s="283"/>
      <c r="C54" s="297">
        <v>15495</v>
      </c>
      <c r="D54" s="309"/>
      <c r="E54" s="326"/>
      <c r="F54" s="100">
        <f t="shared" si="0"/>
        <v>15495</v>
      </c>
      <c r="G54" s="100" t="s">
        <v>2108</v>
      </c>
      <c r="H54" s="263"/>
      <c r="I54" s="100"/>
    </row>
    <row r="55" spans="1:9">
      <c r="A55" s="190" t="s">
        <v>1944</v>
      </c>
      <c r="B55" s="283"/>
      <c r="C55" s="296"/>
      <c r="D55" s="309"/>
      <c r="E55" s="325">
        <v>30444</v>
      </c>
      <c r="F55" s="100">
        <f t="shared" si="0"/>
        <v>30444</v>
      </c>
      <c r="G55" s="100" t="s">
        <v>2108</v>
      </c>
      <c r="H55" s="263"/>
      <c r="I55" s="100"/>
    </row>
    <row r="56" spans="1:9">
      <c r="A56" s="15" t="s">
        <v>1945</v>
      </c>
      <c r="B56" s="283"/>
      <c r="C56" s="296"/>
      <c r="D56" s="309"/>
      <c r="E56" s="325">
        <v>57328</v>
      </c>
      <c r="F56" s="100">
        <f t="shared" si="0"/>
        <v>57328</v>
      </c>
      <c r="G56" s="100" t="s">
        <v>2108</v>
      </c>
      <c r="H56" s="263"/>
      <c r="I56" s="100"/>
    </row>
    <row r="57" spans="1:9">
      <c r="A57" s="190" t="s">
        <v>1692</v>
      </c>
      <c r="B57" s="283"/>
      <c r="C57" s="297">
        <v>35130</v>
      </c>
      <c r="D57" s="309"/>
      <c r="E57" s="325">
        <v>22226</v>
      </c>
      <c r="F57" s="100">
        <f t="shared" si="0"/>
        <v>57356</v>
      </c>
      <c r="G57" s="100" t="s">
        <v>2108</v>
      </c>
      <c r="I57" s="100"/>
    </row>
    <row r="58" spans="1:9">
      <c r="A58" s="190" t="s">
        <v>1693</v>
      </c>
      <c r="B58" s="283"/>
      <c r="C58" s="296"/>
      <c r="D58" s="310">
        <v>6866.7</v>
      </c>
      <c r="E58" s="326"/>
      <c r="F58" s="100">
        <f t="shared" si="0"/>
        <v>6866.7</v>
      </c>
      <c r="G58" s="100" t="s">
        <v>1351</v>
      </c>
      <c r="H58" s="267"/>
      <c r="I58" s="100"/>
    </row>
    <row r="59" spans="1:9">
      <c r="A59" s="190" t="s">
        <v>1946</v>
      </c>
      <c r="B59" s="283"/>
      <c r="C59" s="296"/>
      <c r="D59" s="310">
        <v>7000</v>
      </c>
      <c r="E59" s="326"/>
      <c r="F59" s="100">
        <f t="shared" si="0"/>
        <v>7000</v>
      </c>
      <c r="G59" s="100" t="s">
        <v>1351</v>
      </c>
      <c r="H59" s="267"/>
      <c r="I59" s="100"/>
    </row>
    <row r="60" spans="1:9">
      <c r="A60" s="190" t="s">
        <v>596</v>
      </c>
      <c r="B60" s="283"/>
      <c r="C60" s="296"/>
      <c r="D60" s="309"/>
      <c r="E60" s="325">
        <v>11875</v>
      </c>
      <c r="F60" s="100">
        <f t="shared" si="0"/>
        <v>11875</v>
      </c>
      <c r="G60" s="100" t="s">
        <v>2108</v>
      </c>
      <c r="H60" s="263"/>
      <c r="I60" s="100"/>
    </row>
    <row r="61" spans="1:9">
      <c r="A61" s="190" t="s">
        <v>1947</v>
      </c>
      <c r="B61" s="283"/>
      <c r="C61" s="296"/>
      <c r="D61" s="309"/>
      <c r="E61" s="325">
        <v>293</v>
      </c>
      <c r="F61" s="100">
        <f t="shared" si="0"/>
        <v>293</v>
      </c>
      <c r="G61" s="100" t="s">
        <v>2108</v>
      </c>
      <c r="H61" s="263"/>
      <c r="I61" s="100"/>
    </row>
    <row r="62" spans="1:9">
      <c r="A62" s="15" t="s">
        <v>599</v>
      </c>
      <c r="B62" s="283"/>
      <c r="C62" s="297">
        <v>5700</v>
      </c>
      <c r="D62" s="309"/>
      <c r="E62" s="326"/>
      <c r="F62" s="100">
        <f t="shared" si="0"/>
        <v>5700</v>
      </c>
      <c r="G62" s="100" t="s">
        <v>2108</v>
      </c>
      <c r="I62" s="100"/>
    </row>
    <row r="63" spans="1:9">
      <c r="A63" s="190" t="s">
        <v>600</v>
      </c>
      <c r="B63" s="284">
        <v>105236</v>
      </c>
      <c r="C63" s="296"/>
      <c r="D63" s="309"/>
      <c r="E63" s="326"/>
      <c r="F63" s="100">
        <f t="shared" si="0"/>
        <v>105236</v>
      </c>
      <c r="G63" s="100" t="s">
        <v>1351</v>
      </c>
      <c r="H63" s="267"/>
      <c r="I63" s="100"/>
    </row>
    <row r="64" spans="1:9">
      <c r="A64" s="190" t="s">
        <v>1954</v>
      </c>
      <c r="B64" s="283"/>
      <c r="C64" s="296"/>
      <c r="D64" s="309"/>
      <c r="E64" s="325">
        <v>8860</v>
      </c>
      <c r="F64" s="100">
        <f t="shared" si="0"/>
        <v>8860</v>
      </c>
      <c r="G64" s="100" t="s">
        <v>2108</v>
      </c>
      <c r="H64" s="263"/>
      <c r="I64" s="100"/>
    </row>
    <row r="65" spans="1:9">
      <c r="A65" s="190" t="s">
        <v>603</v>
      </c>
      <c r="B65" s="283"/>
      <c r="C65" s="297">
        <v>1959</v>
      </c>
      <c r="D65" s="309"/>
      <c r="E65" s="326"/>
      <c r="F65" s="100">
        <f t="shared" si="0"/>
        <v>1959</v>
      </c>
      <c r="G65" s="100" t="s">
        <v>2108</v>
      </c>
      <c r="H65" s="263"/>
      <c r="I65" s="100"/>
    </row>
    <row r="66" spans="1:9">
      <c r="A66" s="190" t="s">
        <v>604</v>
      </c>
      <c r="B66" s="283"/>
      <c r="C66" s="297">
        <v>5030</v>
      </c>
      <c r="D66" s="309"/>
      <c r="E66" s="326"/>
      <c r="F66" s="100">
        <f t="shared" si="0"/>
        <v>5030</v>
      </c>
      <c r="G66" s="100" t="s">
        <v>2108</v>
      </c>
      <c r="H66" s="263"/>
      <c r="I66" s="100"/>
    </row>
    <row r="67" spans="1:9">
      <c r="A67" s="190" t="s">
        <v>1413</v>
      </c>
      <c r="B67" s="283"/>
      <c r="C67" s="296"/>
      <c r="D67" s="309"/>
      <c r="E67" s="325">
        <v>11211</v>
      </c>
      <c r="F67" s="100">
        <f t="shared" si="0"/>
        <v>11211</v>
      </c>
      <c r="G67" s="100" t="s">
        <v>2108</v>
      </c>
      <c r="H67" s="263"/>
      <c r="I67" s="100"/>
    </row>
    <row r="68" spans="1:9">
      <c r="A68" s="190" t="s">
        <v>605</v>
      </c>
      <c r="B68" s="283"/>
      <c r="C68" s="297">
        <v>566851</v>
      </c>
      <c r="D68" s="310">
        <v>612518</v>
      </c>
      <c r="E68" s="326"/>
      <c r="F68" s="100">
        <f>D68-C68</f>
        <v>45667</v>
      </c>
      <c r="G68" s="100" t="s">
        <v>1351</v>
      </c>
      <c r="I68" s="100"/>
    </row>
    <row r="69" spans="1:9">
      <c r="A69" s="190" t="s">
        <v>1959</v>
      </c>
      <c r="B69" s="284">
        <v>84550</v>
      </c>
      <c r="C69" s="296"/>
      <c r="D69" s="309"/>
      <c r="E69" s="326"/>
      <c r="F69" s="100">
        <f t="shared" si="0"/>
        <v>84550</v>
      </c>
      <c r="G69" s="100" t="s">
        <v>1351</v>
      </c>
      <c r="H69" s="267"/>
      <c r="I69" s="100"/>
    </row>
    <row r="70" spans="1:9">
      <c r="A70" s="190" t="s">
        <v>1961</v>
      </c>
      <c r="B70" s="283"/>
      <c r="C70" s="296"/>
      <c r="D70" s="309"/>
      <c r="E70" s="325">
        <v>861.15</v>
      </c>
      <c r="F70" s="100">
        <f t="shared" si="0"/>
        <v>861.15</v>
      </c>
      <c r="G70" s="100" t="s">
        <v>2108</v>
      </c>
      <c r="H70" s="263"/>
      <c r="I70" s="100"/>
    </row>
    <row r="71" spans="1:9">
      <c r="A71" s="191" t="s">
        <v>606</v>
      </c>
      <c r="B71" s="283"/>
      <c r="C71" s="296"/>
      <c r="D71" s="309"/>
      <c r="E71" s="325">
        <v>151411</v>
      </c>
      <c r="F71" s="100">
        <f t="shared" si="0"/>
        <v>151411</v>
      </c>
      <c r="G71" s="100" t="s">
        <v>2108</v>
      </c>
      <c r="H71" s="263"/>
      <c r="I71" s="100"/>
    </row>
    <row r="72" spans="1:9">
      <c r="A72" s="190" t="s">
        <v>1964</v>
      </c>
      <c r="B72" s="283"/>
      <c r="C72" s="296"/>
      <c r="D72" s="309"/>
      <c r="E72" s="325">
        <v>12390</v>
      </c>
      <c r="F72" s="100">
        <f t="shared" si="0"/>
        <v>12390</v>
      </c>
      <c r="G72" s="100" t="s">
        <v>2108</v>
      </c>
      <c r="H72" s="263"/>
      <c r="I72" s="100"/>
    </row>
    <row r="73" spans="1:9">
      <c r="A73" s="15" t="s">
        <v>1804</v>
      </c>
      <c r="B73" s="283"/>
      <c r="C73" s="297">
        <v>45363</v>
      </c>
      <c r="D73" s="309"/>
      <c r="E73" s="326"/>
      <c r="F73" s="100">
        <f t="shared" ref="F73:F136" si="1">B73+C73+D73+E73</f>
        <v>45363</v>
      </c>
      <c r="G73" s="100" t="s">
        <v>2108</v>
      </c>
      <c r="H73" s="263"/>
      <c r="I73" s="100"/>
    </row>
    <row r="74" spans="1:9">
      <c r="A74" s="15" t="s">
        <v>1966</v>
      </c>
      <c r="B74" s="283"/>
      <c r="C74" s="296"/>
      <c r="D74" s="309"/>
      <c r="E74" s="325">
        <v>15486</v>
      </c>
      <c r="F74" s="100">
        <f t="shared" si="1"/>
        <v>15486</v>
      </c>
      <c r="G74" s="100" t="s">
        <v>2108</v>
      </c>
      <c r="H74" s="263"/>
      <c r="I74" s="100"/>
    </row>
    <row r="75" spans="1:9">
      <c r="A75" s="15" t="s">
        <v>1968</v>
      </c>
      <c r="B75" s="283"/>
      <c r="C75" s="296"/>
      <c r="D75" s="309"/>
      <c r="E75" s="325">
        <v>89369.8</v>
      </c>
      <c r="F75" s="100">
        <f t="shared" si="1"/>
        <v>89369.8</v>
      </c>
      <c r="G75" s="100" t="s">
        <v>2108</v>
      </c>
      <c r="H75" s="263"/>
      <c r="I75" s="100"/>
    </row>
    <row r="76" spans="1:9">
      <c r="A76" s="248" t="s">
        <v>1971</v>
      </c>
      <c r="B76" s="340">
        <v>239388</v>
      </c>
      <c r="C76" s="93">
        <v>580936</v>
      </c>
      <c r="D76" s="353">
        <v>3024889.8</v>
      </c>
      <c r="E76" s="106">
        <v>982354.93</v>
      </c>
      <c r="F76" s="100">
        <f>D76+B76-E76-C76</f>
        <v>1700986.8699999996</v>
      </c>
      <c r="G76" s="100" t="s">
        <v>1351</v>
      </c>
      <c r="H76" s="355">
        <v>1700986.87</v>
      </c>
      <c r="I76" s="100"/>
    </row>
    <row r="77" spans="1:9">
      <c r="A77" s="15" t="s">
        <v>1421</v>
      </c>
      <c r="B77" s="281"/>
      <c r="C77" s="294"/>
      <c r="D77" s="311">
        <v>80376</v>
      </c>
      <c r="E77" s="327"/>
      <c r="F77" s="100">
        <f t="shared" si="1"/>
        <v>80376</v>
      </c>
      <c r="G77" s="100" t="s">
        <v>1351</v>
      </c>
      <c r="H77" s="263"/>
      <c r="I77" s="100"/>
    </row>
    <row r="78" spans="1:9">
      <c r="A78" s="190" t="s">
        <v>1805</v>
      </c>
      <c r="B78" s="283"/>
      <c r="C78" s="297">
        <v>26927</v>
      </c>
      <c r="D78" s="309"/>
      <c r="E78" s="326"/>
      <c r="F78" s="100">
        <f t="shared" si="1"/>
        <v>26927</v>
      </c>
      <c r="G78" s="100" t="s">
        <v>2108</v>
      </c>
      <c r="H78" s="263"/>
      <c r="I78" s="100"/>
    </row>
    <row r="79" spans="1:9">
      <c r="A79" s="190" t="s">
        <v>1700</v>
      </c>
      <c r="B79" s="283"/>
      <c r="C79" s="296"/>
      <c r="D79" s="310">
        <v>115613</v>
      </c>
      <c r="E79" s="326"/>
      <c r="F79" s="100">
        <f t="shared" si="1"/>
        <v>115613</v>
      </c>
      <c r="G79" s="100" t="s">
        <v>1351</v>
      </c>
      <c r="H79" s="267"/>
      <c r="I79" s="100"/>
    </row>
    <row r="80" spans="1:9">
      <c r="A80" s="190" t="s">
        <v>617</v>
      </c>
      <c r="B80" s="283"/>
      <c r="C80" s="296"/>
      <c r="D80" s="310">
        <v>252828</v>
      </c>
      <c r="E80" s="326"/>
      <c r="F80" s="100">
        <f t="shared" si="1"/>
        <v>252828</v>
      </c>
      <c r="G80" s="100" t="s">
        <v>1351</v>
      </c>
      <c r="H80" s="263"/>
      <c r="I80" s="100"/>
    </row>
    <row r="81" spans="1:9">
      <c r="A81" s="190" t="s">
        <v>1423</v>
      </c>
      <c r="B81" s="283"/>
      <c r="C81" s="296"/>
      <c r="D81" s="309"/>
      <c r="E81" s="325">
        <v>28377</v>
      </c>
      <c r="F81" s="100">
        <f t="shared" si="1"/>
        <v>28377</v>
      </c>
      <c r="G81" s="100" t="s">
        <v>2108</v>
      </c>
      <c r="H81" s="263"/>
      <c r="I81" s="100"/>
    </row>
    <row r="82" spans="1:9">
      <c r="A82" s="15" t="s">
        <v>618</v>
      </c>
      <c r="B82" s="283"/>
      <c r="C82" s="297">
        <v>12448</v>
      </c>
      <c r="D82" s="309"/>
      <c r="E82" s="326"/>
      <c r="F82" s="100">
        <f t="shared" si="1"/>
        <v>12448</v>
      </c>
      <c r="G82" s="100" t="s">
        <v>2108</v>
      </c>
      <c r="H82" s="263"/>
      <c r="I82" s="100"/>
    </row>
    <row r="83" spans="1:9">
      <c r="A83" s="15" t="s">
        <v>621</v>
      </c>
      <c r="B83" s="283"/>
      <c r="C83" s="297">
        <v>65063</v>
      </c>
      <c r="D83" s="309"/>
      <c r="E83" s="326"/>
      <c r="F83" s="100">
        <f t="shared" si="1"/>
        <v>65063</v>
      </c>
      <c r="G83" s="100" t="s">
        <v>2108</v>
      </c>
      <c r="H83" s="263"/>
      <c r="I83" s="100"/>
    </row>
    <row r="84" spans="1:9">
      <c r="A84" s="190" t="s">
        <v>1972</v>
      </c>
      <c r="B84" s="283"/>
      <c r="C84" s="296"/>
      <c r="D84" s="310">
        <v>6260</v>
      </c>
      <c r="E84" s="326"/>
      <c r="F84" s="100">
        <f t="shared" si="1"/>
        <v>6260</v>
      </c>
      <c r="G84" s="100" t="s">
        <v>1351</v>
      </c>
      <c r="H84" s="267"/>
      <c r="I84" s="100"/>
    </row>
    <row r="85" spans="1:9">
      <c r="A85" s="190" t="s">
        <v>627</v>
      </c>
      <c r="B85" s="283"/>
      <c r="C85" s="296"/>
      <c r="D85" s="310">
        <v>4760</v>
      </c>
      <c r="E85" s="326"/>
      <c r="F85" s="100">
        <f t="shared" si="1"/>
        <v>4760</v>
      </c>
      <c r="G85" s="100" t="s">
        <v>1351</v>
      </c>
      <c r="H85" s="269"/>
      <c r="I85" s="100"/>
    </row>
    <row r="86" spans="1:9">
      <c r="A86" s="191" t="s">
        <v>1701</v>
      </c>
      <c r="B86" s="283"/>
      <c r="C86" s="296"/>
      <c r="D86" s="310">
        <v>405106.3</v>
      </c>
      <c r="E86" s="326"/>
      <c r="F86" s="100">
        <f t="shared" si="1"/>
        <v>405106.3</v>
      </c>
      <c r="G86" s="100" t="s">
        <v>1351</v>
      </c>
      <c r="H86" s="267"/>
      <c r="I86" s="100"/>
    </row>
    <row r="87" spans="1:9">
      <c r="A87" s="15" t="s">
        <v>1281</v>
      </c>
      <c r="B87" s="283"/>
      <c r="C87" s="297">
        <v>5785</v>
      </c>
      <c r="D87" s="309"/>
      <c r="E87" s="326"/>
      <c r="F87" s="100">
        <f t="shared" si="1"/>
        <v>5785</v>
      </c>
      <c r="G87" s="100" t="s">
        <v>2108</v>
      </c>
      <c r="H87" s="263"/>
      <c r="I87" s="100"/>
    </row>
    <row r="88" spans="1:9">
      <c r="A88" s="190" t="s">
        <v>1973</v>
      </c>
      <c r="B88" s="283"/>
      <c r="C88" s="296"/>
      <c r="D88" s="309"/>
      <c r="E88" s="325">
        <v>3114</v>
      </c>
      <c r="F88" s="100">
        <f t="shared" si="1"/>
        <v>3114</v>
      </c>
      <c r="G88" s="100" t="s">
        <v>2108</v>
      </c>
      <c r="H88" s="267"/>
      <c r="I88" s="100"/>
    </row>
    <row r="89" spans="1:9">
      <c r="A89" s="190" t="s">
        <v>632</v>
      </c>
      <c r="B89" s="283"/>
      <c r="C89" s="296"/>
      <c r="D89" s="310">
        <v>5480</v>
      </c>
      <c r="E89" s="326"/>
      <c r="F89" s="100">
        <f t="shared" si="1"/>
        <v>5480</v>
      </c>
      <c r="G89" s="100" t="s">
        <v>1351</v>
      </c>
      <c r="H89" s="267"/>
      <c r="I89" s="100"/>
    </row>
    <row r="90" spans="1:9">
      <c r="A90" s="190" t="s">
        <v>1702</v>
      </c>
      <c r="B90" s="283"/>
      <c r="C90" s="296"/>
      <c r="D90" s="310">
        <v>191700</v>
      </c>
      <c r="E90" s="326"/>
      <c r="F90" s="100">
        <f t="shared" si="1"/>
        <v>191700</v>
      </c>
      <c r="G90" s="100" t="s">
        <v>1351</v>
      </c>
      <c r="H90" s="263"/>
      <c r="I90" s="100"/>
    </row>
    <row r="91" spans="1:9">
      <c r="A91" s="15" t="s">
        <v>1011</v>
      </c>
      <c r="B91" s="283"/>
      <c r="C91" s="297">
        <v>28778</v>
      </c>
      <c r="D91" s="309"/>
      <c r="E91" s="326"/>
      <c r="F91" s="100">
        <f t="shared" si="1"/>
        <v>28778</v>
      </c>
      <c r="G91" s="100" t="s">
        <v>2108</v>
      </c>
      <c r="H91" s="263"/>
      <c r="I91" s="100"/>
    </row>
    <row r="92" spans="1:9">
      <c r="A92" s="15" t="s">
        <v>635</v>
      </c>
      <c r="B92" s="283"/>
      <c r="C92" s="297">
        <v>28091</v>
      </c>
      <c r="D92" s="309"/>
      <c r="E92" s="326"/>
      <c r="F92" s="100">
        <f t="shared" si="1"/>
        <v>28091</v>
      </c>
      <c r="G92" s="100" t="s">
        <v>2108</v>
      </c>
      <c r="H92" s="263"/>
      <c r="I92" s="100"/>
    </row>
    <row r="93" spans="1:9">
      <c r="A93" s="190" t="s">
        <v>637</v>
      </c>
      <c r="B93" s="283"/>
      <c r="C93" s="296"/>
      <c r="D93" s="309"/>
      <c r="E93" s="325">
        <v>8965</v>
      </c>
      <c r="F93" s="100">
        <f t="shared" si="1"/>
        <v>8965</v>
      </c>
      <c r="G93" s="100" t="s">
        <v>2108</v>
      </c>
      <c r="H93" s="267"/>
      <c r="I93" s="100"/>
    </row>
    <row r="94" spans="1:9">
      <c r="A94" s="190" t="s">
        <v>1440</v>
      </c>
      <c r="B94" s="284">
        <v>16590</v>
      </c>
      <c r="C94" s="296"/>
      <c r="D94" s="309"/>
      <c r="E94" s="326"/>
      <c r="F94" s="100">
        <f t="shared" si="1"/>
        <v>16590</v>
      </c>
      <c r="G94" s="100" t="s">
        <v>1351</v>
      </c>
      <c r="H94" s="267"/>
      <c r="I94" s="100"/>
    </row>
    <row r="95" spans="1:9">
      <c r="A95" s="15" t="s">
        <v>1976</v>
      </c>
      <c r="B95" s="283"/>
      <c r="C95" s="297">
        <v>2857</v>
      </c>
      <c r="D95" s="309"/>
      <c r="E95" s="326"/>
      <c r="F95" s="100">
        <f t="shared" si="1"/>
        <v>2857</v>
      </c>
      <c r="G95" s="100" t="s">
        <v>2108</v>
      </c>
      <c r="H95" s="267"/>
      <c r="I95" s="100"/>
    </row>
    <row r="96" spans="1:9">
      <c r="A96" s="190" t="s">
        <v>1977</v>
      </c>
      <c r="B96" s="283"/>
      <c r="C96" s="296"/>
      <c r="D96" s="310">
        <v>292419</v>
      </c>
      <c r="E96" s="326"/>
      <c r="F96" s="100">
        <f t="shared" si="1"/>
        <v>292419</v>
      </c>
      <c r="G96" s="100" t="s">
        <v>1351</v>
      </c>
      <c r="H96" s="263"/>
      <c r="I96" s="100"/>
    </row>
    <row r="97" spans="1:9">
      <c r="A97" s="190" t="s">
        <v>646</v>
      </c>
      <c r="B97" s="283"/>
      <c r="C97" s="296"/>
      <c r="D97" s="309"/>
      <c r="E97" s="325">
        <v>7808</v>
      </c>
      <c r="F97" s="100">
        <f t="shared" si="1"/>
        <v>7808</v>
      </c>
      <c r="G97" s="100" t="s">
        <v>2108</v>
      </c>
      <c r="H97" s="263"/>
      <c r="I97" s="100"/>
    </row>
    <row r="98" spans="1:9">
      <c r="A98" s="190" t="s">
        <v>649</v>
      </c>
      <c r="B98" s="283"/>
      <c r="C98" s="297">
        <v>18445</v>
      </c>
      <c r="D98" s="309"/>
      <c r="E98" s="326"/>
      <c r="F98" s="100">
        <f t="shared" si="1"/>
        <v>18445</v>
      </c>
      <c r="G98" s="100" t="s">
        <v>2108</v>
      </c>
      <c r="H98" s="267"/>
      <c r="I98" s="100"/>
    </row>
    <row r="99" spans="1:9">
      <c r="A99" s="15" t="s">
        <v>650</v>
      </c>
      <c r="B99" s="283"/>
      <c r="C99" s="297">
        <v>135879</v>
      </c>
      <c r="D99" s="309"/>
      <c r="E99" s="326"/>
      <c r="F99" s="100">
        <f t="shared" si="1"/>
        <v>135879</v>
      </c>
      <c r="G99" t="s">
        <v>2108</v>
      </c>
      <c r="H99" s="267"/>
      <c r="I99" s="100"/>
    </row>
    <row r="100" spans="1:9">
      <c r="A100" s="190" t="s">
        <v>1017</v>
      </c>
      <c r="B100" s="283"/>
      <c r="C100" s="297">
        <v>34896</v>
      </c>
      <c r="D100" s="309"/>
      <c r="E100" s="326"/>
      <c r="F100" s="100">
        <f t="shared" si="1"/>
        <v>34896</v>
      </c>
      <c r="G100" t="s">
        <v>2108</v>
      </c>
      <c r="H100" s="263"/>
      <c r="I100" s="100"/>
    </row>
    <row r="101" spans="1:9">
      <c r="A101" s="190" t="s">
        <v>1703</v>
      </c>
      <c r="B101" s="283"/>
      <c r="C101" s="296"/>
      <c r="D101" s="310">
        <v>99949</v>
      </c>
      <c r="E101" s="326"/>
      <c r="F101" s="100">
        <f t="shared" si="1"/>
        <v>99949</v>
      </c>
      <c r="G101" t="s">
        <v>1351</v>
      </c>
      <c r="H101" s="263"/>
      <c r="I101" s="100"/>
    </row>
    <row r="102" spans="1:9">
      <c r="A102" s="15" t="s">
        <v>656</v>
      </c>
      <c r="B102" s="284">
        <v>55979</v>
      </c>
      <c r="C102" s="296"/>
      <c r="D102" s="309"/>
      <c r="E102" s="326"/>
      <c r="F102" s="100">
        <f t="shared" si="1"/>
        <v>55979</v>
      </c>
      <c r="G102" t="s">
        <v>1351</v>
      </c>
      <c r="H102" s="263"/>
      <c r="I102" s="100"/>
    </row>
    <row r="103" spans="1:9">
      <c r="A103" s="190" t="s">
        <v>1978</v>
      </c>
      <c r="B103" s="283"/>
      <c r="C103" s="296"/>
      <c r="D103" s="309"/>
      <c r="E103" s="325">
        <v>7897</v>
      </c>
      <c r="F103" s="100">
        <f t="shared" si="1"/>
        <v>7897</v>
      </c>
      <c r="G103" t="s">
        <v>2108</v>
      </c>
      <c r="H103" s="267"/>
      <c r="I103" s="100"/>
    </row>
    <row r="104" spans="1:9">
      <c r="A104" s="190" t="s">
        <v>1445</v>
      </c>
      <c r="B104" s="283"/>
      <c r="C104" s="296"/>
      <c r="D104" s="309"/>
      <c r="E104" s="325">
        <v>6330</v>
      </c>
      <c r="F104" s="100">
        <f t="shared" si="1"/>
        <v>6330</v>
      </c>
      <c r="G104" t="s">
        <v>2108</v>
      </c>
      <c r="H104" s="263"/>
      <c r="I104" s="100"/>
    </row>
    <row r="105" spans="1:9">
      <c r="A105" s="15" t="s">
        <v>1705</v>
      </c>
      <c r="B105" s="283"/>
      <c r="C105" s="296"/>
      <c r="D105" s="309"/>
      <c r="E105" s="325">
        <v>13426</v>
      </c>
      <c r="F105" s="100">
        <f t="shared" si="1"/>
        <v>13426</v>
      </c>
      <c r="G105" t="s">
        <v>2108</v>
      </c>
      <c r="H105" s="267"/>
      <c r="I105" s="100"/>
    </row>
    <row r="106" spans="1:9">
      <c r="A106" s="190" t="s">
        <v>1980</v>
      </c>
      <c r="B106" s="284">
        <v>26469</v>
      </c>
      <c r="C106" s="296"/>
      <c r="D106" s="309"/>
      <c r="E106" s="326"/>
      <c r="F106" s="100">
        <f t="shared" si="1"/>
        <v>26469</v>
      </c>
      <c r="G106" t="s">
        <v>1351</v>
      </c>
      <c r="H106" s="263"/>
      <c r="I106" s="100"/>
    </row>
    <row r="107" spans="1:9">
      <c r="A107" s="15" t="s">
        <v>1176</v>
      </c>
      <c r="B107" s="283"/>
      <c r="C107" s="297">
        <v>11194</v>
      </c>
      <c r="D107" s="309"/>
      <c r="E107" s="326"/>
      <c r="F107" s="100">
        <f t="shared" si="1"/>
        <v>11194</v>
      </c>
      <c r="G107" t="s">
        <v>2108</v>
      </c>
      <c r="H107" s="263"/>
      <c r="I107" s="100"/>
    </row>
    <row r="108" spans="1:9">
      <c r="A108" s="190" t="s">
        <v>665</v>
      </c>
      <c r="B108" s="283"/>
      <c r="C108" s="297">
        <v>33942</v>
      </c>
      <c r="D108" s="309"/>
      <c r="E108" s="326"/>
      <c r="F108" s="100">
        <f t="shared" si="1"/>
        <v>33942</v>
      </c>
      <c r="G108" t="s">
        <v>2108</v>
      </c>
      <c r="H108" s="263"/>
      <c r="I108" s="100"/>
    </row>
    <row r="109" spans="1:9">
      <c r="A109" s="190" t="s">
        <v>1706</v>
      </c>
      <c r="B109" s="283"/>
      <c r="C109" s="296"/>
      <c r="D109" s="310">
        <v>95383.5</v>
      </c>
      <c r="E109" s="326"/>
      <c r="F109" s="100">
        <f t="shared" si="1"/>
        <v>95383.5</v>
      </c>
      <c r="G109" t="s">
        <v>1351</v>
      </c>
      <c r="H109" s="267"/>
      <c r="I109" s="100"/>
    </row>
    <row r="110" spans="1:9">
      <c r="A110" s="190" t="s">
        <v>1981</v>
      </c>
      <c r="B110" s="283"/>
      <c r="C110" s="297">
        <v>16718</v>
      </c>
      <c r="D110" s="309"/>
      <c r="E110" s="326"/>
      <c r="F110" s="100">
        <f t="shared" si="1"/>
        <v>16718</v>
      </c>
      <c r="G110" t="s">
        <v>2108</v>
      </c>
      <c r="H110" s="263"/>
      <c r="I110" s="100"/>
    </row>
    <row r="111" spans="1:9">
      <c r="A111" s="15" t="s">
        <v>1982</v>
      </c>
      <c r="B111" s="283"/>
      <c r="C111" s="296"/>
      <c r="D111" s="310">
        <v>268460</v>
      </c>
      <c r="E111" s="326"/>
      <c r="F111" s="100">
        <f t="shared" si="1"/>
        <v>268460</v>
      </c>
      <c r="G111" t="s">
        <v>1351</v>
      </c>
      <c r="H111" s="263"/>
      <c r="I111" s="100"/>
    </row>
    <row r="112" spans="1:9">
      <c r="A112" s="190" t="s">
        <v>1983</v>
      </c>
      <c r="B112" s="283"/>
      <c r="C112" s="296"/>
      <c r="D112" s="309"/>
      <c r="E112" s="325">
        <v>20954</v>
      </c>
      <c r="F112" s="100">
        <f t="shared" si="1"/>
        <v>20954</v>
      </c>
      <c r="G112" t="s">
        <v>2108</v>
      </c>
      <c r="H112" s="263"/>
      <c r="I112" s="100"/>
    </row>
    <row r="113" spans="1:9">
      <c r="A113" s="15" t="s">
        <v>1449</v>
      </c>
      <c r="B113" s="283"/>
      <c r="C113" s="297">
        <v>12539</v>
      </c>
      <c r="D113" s="309"/>
      <c r="E113" s="326"/>
      <c r="F113" s="100">
        <f t="shared" si="1"/>
        <v>12539</v>
      </c>
      <c r="G113" t="s">
        <v>2108</v>
      </c>
      <c r="H113" s="267"/>
      <c r="I113" s="100"/>
    </row>
    <row r="114" spans="1:9">
      <c r="A114" s="190" t="s">
        <v>669</v>
      </c>
      <c r="B114" s="283"/>
      <c r="C114" s="296"/>
      <c r="D114" s="310">
        <v>21514</v>
      </c>
      <c r="E114" s="326"/>
      <c r="F114" s="100">
        <f t="shared" si="1"/>
        <v>21514</v>
      </c>
      <c r="G114" t="s">
        <v>1351</v>
      </c>
      <c r="H114" s="263"/>
      <c r="I114" s="100"/>
    </row>
    <row r="115" spans="1:9">
      <c r="A115" s="15" t="s">
        <v>1984</v>
      </c>
      <c r="B115" s="283"/>
      <c r="C115" s="297">
        <v>75441</v>
      </c>
      <c r="D115" s="309"/>
      <c r="E115" s="326"/>
      <c r="F115" s="100">
        <f t="shared" si="1"/>
        <v>75441</v>
      </c>
      <c r="G115" t="s">
        <v>2108</v>
      </c>
      <c r="H115" s="267"/>
      <c r="I115" s="100"/>
    </row>
    <row r="116" spans="1:9">
      <c r="A116" s="190" t="s">
        <v>1279</v>
      </c>
      <c r="B116" s="283"/>
      <c r="C116" s="296"/>
      <c r="D116" s="310">
        <v>234568</v>
      </c>
      <c r="E116" s="326"/>
      <c r="F116" s="100">
        <f t="shared" si="1"/>
        <v>234568</v>
      </c>
      <c r="G116" t="s">
        <v>1351</v>
      </c>
      <c r="H116" s="263"/>
      <c r="I116" s="100"/>
    </row>
    <row r="117" spans="1:9">
      <c r="A117" s="190" t="s">
        <v>1985</v>
      </c>
      <c r="B117" s="283"/>
      <c r="C117" s="296"/>
      <c r="D117" s="309"/>
      <c r="E117" s="325">
        <v>328459</v>
      </c>
      <c r="F117" s="100">
        <f t="shared" si="1"/>
        <v>328459</v>
      </c>
      <c r="G117" t="s">
        <v>2108</v>
      </c>
      <c r="H117" s="267"/>
      <c r="I117" s="100"/>
    </row>
    <row r="118" spans="1:9">
      <c r="A118" s="15" t="s">
        <v>1814</v>
      </c>
      <c r="B118" s="284">
        <v>13577</v>
      </c>
      <c r="C118" s="296"/>
      <c r="D118" s="309"/>
      <c r="E118" s="326"/>
      <c r="F118" s="100">
        <f t="shared" si="1"/>
        <v>13577</v>
      </c>
      <c r="G118" t="s">
        <v>1351</v>
      </c>
      <c r="H118" s="263"/>
      <c r="I118" s="100"/>
    </row>
    <row r="119" spans="1:9">
      <c r="A119" s="190" t="s">
        <v>1986</v>
      </c>
      <c r="B119" s="283"/>
      <c r="C119" s="296"/>
      <c r="D119" s="310">
        <v>44550</v>
      </c>
      <c r="E119" s="326"/>
      <c r="F119" s="100">
        <f t="shared" si="1"/>
        <v>44550</v>
      </c>
      <c r="G119" t="s">
        <v>1351</v>
      </c>
      <c r="H119" s="263"/>
      <c r="I119" s="100"/>
    </row>
    <row r="120" spans="1:9">
      <c r="A120" s="190" t="s">
        <v>1025</v>
      </c>
      <c r="B120" s="283"/>
      <c r="C120" s="296"/>
      <c r="D120" s="310">
        <v>218178</v>
      </c>
      <c r="E120" s="326"/>
      <c r="F120" s="100">
        <f t="shared" si="1"/>
        <v>218178</v>
      </c>
      <c r="G120" t="s">
        <v>1351</v>
      </c>
      <c r="H120" s="267"/>
      <c r="I120" s="100"/>
    </row>
    <row r="121" spans="1:9">
      <c r="A121" s="191" t="s">
        <v>1987</v>
      </c>
      <c r="B121" s="283"/>
      <c r="C121" s="296"/>
      <c r="D121" s="310">
        <v>119700</v>
      </c>
      <c r="E121" s="326"/>
      <c r="F121" s="100">
        <f t="shared" si="1"/>
        <v>119700</v>
      </c>
      <c r="G121" t="s">
        <v>1351</v>
      </c>
      <c r="H121" s="263"/>
      <c r="I121" s="100"/>
    </row>
    <row r="122" spans="1:9">
      <c r="A122" s="190" t="s">
        <v>1455</v>
      </c>
      <c r="B122" s="284">
        <v>6564</v>
      </c>
      <c r="C122" s="296"/>
      <c r="D122" s="309"/>
      <c r="E122" s="326"/>
      <c r="F122" s="100">
        <f t="shared" si="1"/>
        <v>6564</v>
      </c>
      <c r="G122" t="s">
        <v>1351</v>
      </c>
      <c r="H122" s="267"/>
      <c r="I122" s="100"/>
    </row>
    <row r="123" spans="1:9">
      <c r="A123" s="15" t="s">
        <v>1815</v>
      </c>
      <c r="B123" s="283"/>
      <c r="C123" s="297">
        <v>1200</v>
      </c>
      <c r="D123" s="309"/>
      <c r="E123" s="326"/>
      <c r="F123" s="100">
        <f t="shared" si="1"/>
        <v>1200</v>
      </c>
      <c r="G123" t="s">
        <v>2108</v>
      </c>
      <c r="H123" s="263"/>
      <c r="I123" s="100"/>
    </row>
    <row r="124" spans="1:9">
      <c r="A124" s="15" t="s">
        <v>677</v>
      </c>
      <c r="B124" s="284">
        <v>37934</v>
      </c>
      <c r="C124" s="296"/>
      <c r="D124" s="309"/>
      <c r="E124" s="326"/>
      <c r="F124" s="100">
        <f t="shared" si="1"/>
        <v>37934</v>
      </c>
      <c r="G124" t="s">
        <v>1351</v>
      </c>
      <c r="H124" s="267"/>
      <c r="I124" s="100"/>
    </row>
    <row r="125" spans="1:9">
      <c r="A125" s="190" t="s">
        <v>1816</v>
      </c>
      <c r="B125" s="284">
        <v>34313</v>
      </c>
      <c r="C125" s="296"/>
      <c r="D125" s="309"/>
      <c r="E125" s="326"/>
      <c r="F125" s="100">
        <f t="shared" si="1"/>
        <v>34313</v>
      </c>
      <c r="G125" t="s">
        <v>1351</v>
      </c>
      <c r="H125" s="267"/>
      <c r="I125" s="100"/>
    </row>
    <row r="126" spans="1:9">
      <c r="A126" s="190" t="s">
        <v>1817</v>
      </c>
      <c r="B126" s="284">
        <v>2947</v>
      </c>
      <c r="C126" s="296"/>
      <c r="D126" s="309"/>
      <c r="E126" s="326"/>
      <c r="F126" s="100">
        <f t="shared" si="1"/>
        <v>2947</v>
      </c>
      <c r="G126" t="s">
        <v>1351</v>
      </c>
      <c r="H126" s="267"/>
      <c r="I126" s="100"/>
    </row>
    <row r="127" spans="1:9">
      <c r="A127" s="190" t="s">
        <v>1027</v>
      </c>
      <c r="B127" s="283"/>
      <c r="C127" s="297">
        <v>9225</v>
      </c>
      <c r="D127" s="309"/>
      <c r="E127" s="326"/>
      <c r="F127" s="100">
        <f t="shared" si="1"/>
        <v>9225</v>
      </c>
      <c r="G127" t="s">
        <v>2108</v>
      </c>
      <c r="H127" s="267"/>
      <c r="I127" s="100"/>
    </row>
    <row r="128" spans="1:9">
      <c r="A128" s="190" t="s">
        <v>1988</v>
      </c>
      <c r="B128" s="283"/>
      <c r="C128" s="296"/>
      <c r="D128" s="309"/>
      <c r="E128" s="325">
        <v>27302</v>
      </c>
      <c r="F128" s="100">
        <f t="shared" si="1"/>
        <v>27302</v>
      </c>
      <c r="G128" t="s">
        <v>2108</v>
      </c>
      <c r="H128" s="267"/>
      <c r="I128" s="100"/>
    </row>
    <row r="129" spans="1:9">
      <c r="A129" s="190" t="s">
        <v>1712</v>
      </c>
      <c r="B129" s="283"/>
      <c r="C129" s="296"/>
      <c r="D129" s="310">
        <v>198116</v>
      </c>
      <c r="E129" s="326"/>
      <c r="F129" s="100">
        <f t="shared" si="1"/>
        <v>198116</v>
      </c>
      <c r="G129" t="s">
        <v>1351</v>
      </c>
      <c r="H129" s="267"/>
      <c r="I129" s="100"/>
    </row>
    <row r="130" spans="1:9">
      <c r="A130" s="15" t="s">
        <v>685</v>
      </c>
      <c r="B130" s="283"/>
      <c r="C130" s="296"/>
      <c r="D130" s="310">
        <v>265000</v>
      </c>
      <c r="E130" s="326"/>
      <c r="F130" s="100">
        <f t="shared" si="1"/>
        <v>265000</v>
      </c>
      <c r="G130" t="s">
        <v>1351</v>
      </c>
      <c r="H130" s="263"/>
      <c r="I130" s="100"/>
    </row>
    <row r="131" spans="1:9">
      <c r="A131" s="190" t="s">
        <v>1990</v>
      </c>
      <c r="B131" s="283"/>
      <c r="C131" s="296"/>
      <c r="D131" s="310">
        <v>92384</v>
      </c>
      <c r="E131" s="326"/>
      <c r="F131" s="100">
        <f t="shared" si="1"/>
        <v>92384</v>
      </c>
      <c r="G131" t="s">
        <v>1351</v>
      </c>
      <c r="H131" s="263"/>
      <c r="I131" s="100"/>
    </row>
    <row r="132" spans="1:9">
      <c r="A132" s="190" t="s">
        <v>1031</v>
      </c>
      <c r="B132" s="283"/>
      <c r="C132" s="296"/>
      <c r="D132" s="309"/>
      <c r="E132" s="325">
        <v>207531</v>
      </c>
      <c r="F132" s="100">
        <f t="shared" si="1"/>
        <v>207531</v>
      </c>
      <c r="G132" t="s">
        <v>2108</v>
      </c>
      <c r="H132" s="267"/>
      <c r="I132" s="100"/>
    </row>
    <row r="133" spans="1:9">
      <c r="A133" s="15" t="s">
        <v>1991</v>
      </c>
      <c r="B133" s="283"/>
      <c r="C133" s="296"/>
      <c r="D133" s="310">
        <v>12545</v>
      </c>
      <c r="E133" s="326"/>
      <c r="F133" s="100">
        <f t="shared" si="1"/>
        <v>12545</v>
      </c>
      <c r="G133" t="s">
        <v>1351</v>
      </c>
      <c r="H133" s="267"/>
      <c r="I133" s="100"/>
    </row>
    <row r="134" spans="1:9">
      <c r="A134" s="190" t="s">
        <v>696</v>
      </c>
      <c r="B134" s="283"/>
      <c r="C134" s="297">
        <v>11035</v>
      </c>
      <c r="D134" s="309"/>
      <c r="E134" s="326"/>
      <c r="F134" s="100">
        <f t="shared" si="1"/>
        <v>11035</v>
      </c>
      <c r="G134" t="s">
        <v>2108</v>
      </c>
      <c r="H134" s="267"/>
      <c r="I134" s="100"/>
    </row>
    <row r="135" spans="1:9">
      <c r="A135" s="190" t="s">
        <v>1467</v>
      </c>
      <c r="B135" s="283"/>
      <c r="C135" s="297">
        <v>2090</v>
      </c>
      <c r="D135" s="309"/>
      <c r="E135" s="326"/>
      <c r="F135" s="100">
        <f t="shared" si="1"/>
        <v>2090</v>
      </c>
      <c r="G135" t="s">
        <v>2108</v>
      </c>
      <c r="H135" s="263"/>
      <c r="I135" s="100"/>
    </row>
    <row r="136" spans="1:9">
      <c r="A136" s="190" t="s">
        <v>1992</v>
      </c>
      <c r="B136" s="283"/>
      <c r="C136" s="297">
        <v>1600</v>
      </c>
      <c r="D136" s="309"/>
      <c r="E136" s="326"/>
      <c r="F136" s="100">
        <f t="shared" si="1"/>
        <v>1600</v>
      </c>
      <c r="G136" t="s">
        <v>2108</v>
      </c>
      <c r="H136" s="267"/>
      <c r="I136" s="100"/>
    </row>
    <row r="137" spans="1:9">
      <c r="A137" s="190" t="s">
        <v>697</v>
      </c>
      <c r="B137" s="284">
        <v>45015</v>
      </c>
      <c r="C137" s="296"/>
      <c r="D137" s="309"/>
      <c r="E137" s="326"/>
      <c r="F137" s="100">
        <f t="shared" ref="F137:F200" si="2">B137+C137+D137+E137</f>
        <v>45015</v>
      </c>
      <c r="G137" t="s">
        <v>1351</v>
      </c>
      <c r="H137" s="263"/>
      <c r="I137" s="100"/>
    </row>
    <row r="138" spans="1:9">
      <c r="A138" s="15" t="s">
        <v>700</v>
      </c>
      <c r="B138" s="283"/>
      <c r="C138" s="297">
        <v>42983</v>
      </c>
      <c r="D138" s="309"/>
      <c r="E138" s="326"/>
      <c r="F138" s="100">
        <f t="shared" si="2"/>
        <v>42983</v>
      </c>
      <c r="G138" t="s">
        <v>2108</v>
      </c>
      <c r="H138" s="263"/>
      <c r="I138" s="100"/>
    </row>
    <row r="139" spans="1:9">
      <c r="A139" s="190" t="s">
        <v>1993</v>
      </c>
      <c r="B139" s="283"/>
      <c r="C139" s="297">
        <v>3800</v>
      </c>
      <c r="D139" s="309"/>
      <c r="E139" s="326"/>
      <c r="F139" s="100">
        <f t="shared" si="2"/>
        <v>3800</v>
      </c>
      <c r="G139" t="s">
        <v>2108</v>
      </c>
      <c r="H139" s="263"/>
      <c r="I139" s="100"/>
    </row>
    <row r="140" spans="1:9">
      <c r="A140" s="190" t="s">
        <v>1032</v>
      </c>
      <c r="B140" s="283"/>
      <c r="C140" s="296"/>
      <c r="D140" s="309"/>
      <c r="E140" s="325">
        <v>316617.93</v>
      </c>
      <c r="F140" s="100">
        <f t="shared" si="2"/>
        <v>316617.93</v>
      </c>
      <c r="G140" t="s">
        <v>2108</v>
      </c>
      <c r="H140" s="263"/>
      <c r="I140" s="100"/>
    </row>
    <row r="141" spans="1:9">
      <c r="A141" s="15" t="s">
        <v>1994</v>
      </c>
      <c r="B141" s="283"/>
      <c r="C141" s="296"/>
      <c r="D141" s="309"/>
      <c r="E141" s="325">
        <v>5574</v>
      </c>
      <c r="F141" s="100">
        <f t="shared" si="2"/>
        <v>5574</v>
      </c>
      <c r="G141" t="s">
        <v>2108</v>
      </c>
      <c r="H141" s="263"/>
      <c r="I141" s="100"/>
    </row>
    <row r="142" spans="1:9">
      <c r="A142" s="248" t="s">
        <v>1274</v>
      </c>
      <c r="B142" s="354"/>
      <c r="C142" s="93">
        <v>220397</v>
      </c>
      <c r="D142" s="339"/>
      <c r="E142" s="106">
        <v>2116224.4</v>
      </c>
      <c r="F142" s="100">
        <f t="shared" si="2"/>
        <v>2336621.4</v>
      </c>
      <c r="G142" t="s">
        <v>2108</v>
      </c>
      <c r="H142" s="263"/>
      <c r="I142" s="100"/>
    </row>
    <row r="143" spans="1:9">
      <c r="A143" s="190" t="s">
        <v>1996</v>
      </c>
      <c r="B143" s="281"/>
      <c r="C143" s="294"/>
      <c r="D143" s="307"/>
      <c r="E143" s="323">
        <v>89170</v>
      </c>
      <c r="F143" s="100">
        <f t="shared" si="2"/>
        <v>89170</v>
      </c>
      <c r="G143" t="s">
        <v>2108</v>
      </c>
      <c r="H143" s="263"/>
      <c r="I143" s="100"/>
    </row>
    <row r="144" spans="1:9">
      <c r="A144" s="190" t="s">
        <v>1998</v>
      </c>
      <c r="B144" s="283"/>
      <c r="C144" s="296"/>
      <c r="D144" s="309"/>
      <c r="E144" s="325">
        <v>669065</v>
      </c>
      <c r="F144" s="100">
        <f t="shared" si="2"/>
        <v>669065</v>
      </c>
      <c r="G144" t="s">
        <v>2108</v>
      </c>
      <c r="H144" s="267"/>
      <c r="I144" s="100"/>
    </row>
    <row r="145" spans="1:9">
      <c r="A145" s="190" t="s">
        <v>707</v>
      </c>
      <c r="B145" s="283"/>
      <c r="C145" s="296"/>
      <c r="D145" s="309"/>
      <c r="E145" s="325">
        <v>293640.2</v>
      </c>
      <c r="F145" s="100">
        <f t="shared" si="2"/>
        <v>293640.2</v>
      </c>
      <c r="G145" t="s">
        <v>2108</v>
      </c>
      <c r="H145" s="263"/>
      <c r="I145" s="100"/>
    </row>
    <row r="146" spans="1:9">
      <c r="A146" s="190" t="s">
        <v>1717</v>
      </c>
      <c r="B146" s="283"/>
      <c r="C146" s="296"/>
      <c r="D146" s="309"/>
      <c r="E146" s="325">
        <v>973949.2</v>
      </c>
      <c r="F146" s="100">
        <f t="shared" si="2"/>
        <v>973949.2</v>
      </c>
      <c r="G146" t="s">
        <v>2108</v>
      </c>
      <c r="H146" s="267"/>
      <c r="I146" s="100"/>
    </row>
    <row r="147" spans="1:9">
      <c r="A147" s="190" t="s">
        <v>709</v>
      </c>
      <c r="B147" s="283"/>
      <c r="C147" s="297">
        <v>52224</v>
      </c>
      <c r="D147" s="309"/>
      <c r="E147" s="326"/>
      <c r="F147" s="100">
        <f t="shared" si="2"/>
        <v>52224</v>
      </c>
      <c r="G147" t="s">
        <v>2108</v>
      </c>
      <c r="H147" s="263"/>
      <c r="I147" s="100"/>
    </row>
    <row r="148" spans="1:9">
      <c r="A148" s="190" t="s">
        <v>2002</v>
      </c>
      <c r="B148" s="283"/>
      <c r="C148" s="297">
        <v>45200</v>
      </c>
      <c r="D148" s="309"/>
      <c r="E148" s="326"/>
      <c r="F148" s="100">
        <f t="shared" si="2"/>
        <v>45200</v>
      </c>
      <c r="G148" t="s">
        <v>2108</v>
      </c>
      <c r="H148" s="267"/>
      <c r="I148" s="100"/>
    </row>
    <row r="149" spans="1:9">
      <c r="A149" s="190" t="s">
        <v>1831</v>
      </c>
      <c r="B149" s="283"/>
      <c r="C149" s="297">
        <v>5241</v>
      </c>
      <c r="D149" s="309"/>
      <c r="E149" s="326"/>
      <c r="F149" s="100">
        <f t="shared" si="2"/>
        <v>5241</v>
      </c>
      <c r="G149" t="s">
        <v>2108</v>
      </c>
      <c r="H149" s="263"/>
      <c r="I149" s="100"/>
    </row>
    <row r="150" spans="1:9">
      <c r="A150" s="190" t="s">
        <v>1834</v>
      </c>
      <c r="B150" s="283"/>
      <c r="C150" s="297">
        <v>4042</v>
      </c>
      <c r="D150" s="309"/>
      <c r="E150" s="326"/>
      <c r="F150" s="100">
        <f t="shared" si="2"/>
        <v>4042</v>
      </c>
      <c r="G150" t="s">
        <v>2108</v>
      </c>
      <c r="H150" s="267"/>
      <c r="I150" s="100"/>
    </row>
    <row r="151" spans="1:9">
      <c r="A151" s="190" t="s">
        <v>1270</v>
      </c>
      <c r="B151" s="283"/>
      <c r="C151" s="297">
        <v>108190</v>
      </c>
      <c r="D151" s="309"/>
      <c r="E151" s="326"/>
      <c r="F151" s="100">
        <f t="shared" si="2"/>
        <v>108190</v>
      </c>
      <c r="G151" t="s">
        <v>2108</v>
      </c>
      <c r="H151" s="268"/>
      <c r="I151" s="100"/>
    </row>
    <row r="152" spans="1:9">
      <c r="A152" s="190" t="s">
        <v>2007</v>
      </c>
      <c r="B152" s="283"/>
      <c r="C152" s="296"/>
      <c r="D152" s="309"/>
      <c r="E152" s="325">
        <v>90400</v>
      </c>
      <c r="F152" s="100">
        <f t="shared" si="2"/>
        <v>90400</v>
      </c>
      <c r="G152" t="s">
        <v>2108</v>
      </c>
      <c r="H152" s="263"/>
      <c r="I152" s="100"/>
    </row>
    <row r="153" spans="1:9">
      <c r="A153" s="190" t="s">
        <v>721</v>
      </c>
      <c r="B153" s="283"/>
      <c r="C153" s="297">
        <v>5500</v>
      </c>
      <c r="D153" s="309"/>
      <c r="E153" s="326"/>
      <c r="F153" s="100">
        <f t="shared" si="2"/>
        <v>5500</v>
      </c>
      <c r="G153" t="s">
        <v>2108</v>
      </c>
      <c r="H153" s="263"/>
      <c r="I153" s="100"/>
    </row>
    <row r="154" spans="1:9">
      <c r="A154" s="18" t="s">
        <v>2011</v>
      </c>
      <c r="B154" s="283"/>
      <c r="C154" s="296"/>
      <c r="D154" s="309"/>
      <c r="E154" s="326"/>
      <c r="F154" s="100"/>
      <c r="H154" s="263"/>
      <c r="I154" s="100"/>
    </row>
    <row r="155" spans="1:9">
      <c r="A155" s="13" t="s">
        <v>1062</v>
      </c>
      <c r="B155" s="283"/>
      <c r="C155" s="296"/>
      <c r="D155" s="309"/>
      <c r="E155" s="325">
        <v>78862</v>
      </c>
      <c r="F155" s="100">
        <f t="shared" si="2"/>
        <v>78862</v>
      </c>
      <c r="G155" t="s">
        <v>2108</v>
      </c>
      <c r="H155" s="263"/>
      <c r="I155" s="100"/>
    </row>
    <row r="156" spans="1:9">
      <c r="A156" s="13" t="s">
        <v>2015</v>
      </c>
      <c r="B156" s="283"/>
      <c r="C156" s="296"/>
      <c r="D156" s="310">
        <v>4253326</v>
      </c>
      <c r="E156" s="326"/>
      <c r="F156" s="100">
        <f t="shared" si="2"/>
        <v>4253326</v>
      </c>
      <c r="G156" t="s">
        <v>1351</v>
      </c>
      <c r="H156" s="263"/>
      <c r="I156" s="100"/>
    </row>
    <row r="157" spans="1:9">
      <c r="A157" s="13" t="s">
        <v>91</v>
      </c>
      <c r="B157" s="283"/>
      <c r="C157" s="296"/>
      <c r="D157" s="309"/>
      <c r="E157" s="325">
        <v>294347</v>
      </c>
      <c r="F157" s="100">
        <f t="shared" si="2"/>
        <v>294347</v>
      </c>
      <c r="G157" t="s">
        <v>2108</v>
      </c>
      <c r="H157" s="263"/>
      <c r="I157" s="100"/>
    </row>
    <row r="158" spans="1:9">
      <c r="A158" s="13" t="s">
        <v>1063</v>
      </c>
      <c r="B158" s="283"/>
      <c r="C158" s="296"/>
      <c r="D158" s="309"/>
      <c r="E158" s="325">
        <v>32203.14</v>
      </c>
      <c r="F158" s="100">
        <f t="shared" si="2"/>
        <v>32203.14</v>
      </c>
      <c r="G158" t="s">
        <v>2108</v>
      </c>
      <c r="H158" s="263"/>
      <c r="I158" s="100"/>
    </row>
    <row r="159" spans="1:9">
      <c r="A159" s="1" t="s">
        <v>39</v>
      </c>
      <c r="B159" s="348">
        <v>57034</v>
      </c>
      <c r="C159" s="109"/>
      <c r="D159" s="342">
        <v>54241971.259999998</v>
      </c>
      <c r="E159" s="343"/>
      <c r="F159" s="100">
        <f t="shared" si="2"/>
        <v>54299005.259999998</v>
      </c>
      <c r="H159" s="263"/>
      <c r="I159" s="100"/>
    </row>
    <row r="160" spans="1:9">
      <c r="A160" s="13" t="s">
        <v>92</v>
      </c>
      <c r="B160" s="281"/>
      <c r="C160" s="294"/>
      <c r="D160" s="311">
        <v>868251</v>
      </c>
      <c r="E160" s="327"/>
      <c r="F160" s="100">
        <f t="shared" si="2"/>
        <v>868251</v>
      </c>
      <c r="G160" t="s">
        <v>1351</v>
      </c>
      <c r="H160" s="263"/>
      <c r="I160" s="100"/>
    </row>
    <row r="161" spans="1:9">
      <c r="A161" s="13" t="s">
        <v>93</v>
      </c>
      <c r="B161" s="283"/>
      <c r="C161" s="296"/>
      <c r="D161" s="310">
        <v>800595.8</v>
      </c>
      <c r="E161" s="326"/>
      <c r="F161" s="100">
        <f t="shared" si="2"/>
        <v>800595.8</v>
      </c>
      <c r="G161" t="s">
        <v>1351</v>
      </c>
      <c r="H161" s="263"/>
      <c r="I161" s="100"/>
    </row>
    <row r="162" spans="1:9">
      <c r="A162" s="13" t="s">
        <v>94</v>
      </c>
      <c r="B162" s="283"/>
      <c r="C162" s="296"/>
      <c r="D162" s="310">
        <v>91954.35</v>
      </c>
      <c r="E162" s="326"/>
      <c r="F162" s="100">
        <f t="shared" si="2"/>
        <v>91954.35</v>
      </c>
      <c r="G162" t="s">
        <v>1351</v>
      </c>
      <c r="H162" s="263"/>
      <c r="I162" s="100"/>
    </row>
    <row r="163" spans="1:9">
      <c r="A163" s="13" t="s">
        <v>83</v>
      </c>
      <c r="B163" s="283"/>
      <c r="C163" s="296"/>
      <c r="D163" s="310">
        <v>46597412.630000003</v>
      </c>
      <c r="E163" s="326"/>
      <c r="F163" s="100">
        <f t="shared" si="2"/>
        <v>46597412.630000003</v>
      </c>
      <c r="G163" t="s">
        <v>1351</v>
      </c>
      <c r="H163" s="263"/>
      <c r="I163" s="100"/>
    </row>
    <row r="164" spans="1:9">
      <c r="A164" s="13" t="s">
        <v>1266</v>
      </c>
      <c r="B164" s="284">
        <v>57034</v>
      </c>
      <c r="C164" s="296"/>
      <c r="D164" s="310">
        <v>5883757.4800000004</v>
      </c>
      <c r="E164" s="326"/>
      <c r="F164" s="100">
        <f t="shared" si="2"/>
        <v>5940791.4800000004</v>
      </c>
      <c r="G164" t="s">
        <v>1351</v>
      </c>
      <c r="H164" s="267"/>
      <c r="I164" s="100"/>
    </row>
    <row r="165" spans="1:9">
      <c r="A165" s="1" t="s">
        <v>96</v>
      </c>
      <c r="B165" s="348">
        <v>25000</v>
      </c>
      <c r="C165" s="109"/>
      <c r="D165" s="342">
        <v>104578180.5</v>
      </c>
      <c r="E165" s="204">
        <v>6558237.4800000004</v>
      </c>
      <c r="F165" s="100">
        <f>D165-E165+B165</f>
        <v>98044943.019999996</v>
      </c>
      <c r="G165" t="s">
        <v>1351</v>
      </c>
      <c r="H165" s="263"/>
      <c r="I165" s="100"/>
    </row>
    <row r="166" spans="1:9">
      <c r="A166" s="14" t="s">
        <v>1265</v>
      </c>
      <c r="B166" s="285"/>
      <c r="C166" s="300"/>
      <c r="D166" s="312"/>
      <c r="E166" s="329"/>
      <c r="F166" s="100">
        <f t="shared" si="2"/>
        <v>0</v>
      </c>
      <c r="H166" s="263"/>
      <c r="I166" s="100"/>
    </row>
    <row r="167" spans="1:9">
      <c r="A167" s="14" t="s">
        <v>97</v>
      </c>
      <c r="B167" s="353">
        <v>25000</v>
      </c>
      <c r="C167" s="114"/>
      <c r="D167" s="340">
        <v>22168775</v>
      </c>
      <c r="E167" s="108"/>
      <c r="F167" s="100">
        <f t="shared" si="2"/>
        <v>22193775</v>
      </c>
      <c r="H167" s="270"/>
      <c r="I167" s="100"/>
    </row>
    <row r="168" spans="1:9">
      <c r="A168" s="15" t="s">
        <v>141</v>
      </c>
      <c r="B168" s="286">
        <v>25000</v>
      </c>
      <c r="C168" s="300"/>
      <c r="D168" s="312"/>
      <c r="E168" s="329"/>
      <c r="F168" s="100">
        <f t="shared" si="2"/>
        <v>25000</v>
      </c>
      <c r="G168" t="s">
        <v>1351</v>
      </c>
      <c r="H168" s="267"/>
      <c r="I168" s="100"/>
    </row>
    <row r="169" spans="1:9">
      <c r="A169" s="15" t="s">
        <v>2016</v>
      </c>
      <c r="B169" s="287"/>
      <c r="C169" s="301"/>
      <c r="D169" s="313">
        <v>1718775</v>
      </c>
      <c r="E169" s="330"/>
      <c r="F169" s="100">
        <f t="shared" si="2"/>
        <v>1718775</v>
      </c>
      <c r="G169" t="s">
        <v>1351</v>
      </c>
      <c r="H169" s="267"/>
      <c r="I169" s="100"/>
    </row>
    <row r="170" spans="1:9">
      <c r="A170" s="13" t="s">
        <v>730</v>
      </c>
      <c r="B170" s="287"/>
      <c r="C170" s="301"/>
      <c r="D170" s="313">
        <v>20450000</v>
      </c>
      <c r="E170" s="330"/>
      <c r="F170" s="100">
        <f t="shared" si="2"/>
        <v>20450000</v>
      </c>
      <c r="G170" t="s">
        <v>1351</v>
      </c>
      <c r="H170" s="267"/>
      <c r="I170" s="100"/>
    </row>
    <row r="171" spans="1:9">
      <c r="A171" s="14" t="s">
        <v>98</v>
      </c>
      <c r="B171" s="339"/>
      <c r="C171" s="114"/>
      <c r="D171" s="340">
        <v>43437228.490000002</v>
      </c>
      <c r="E171" s="93">
        <v>6558237.4800000004</v>
      </c>
      <c r="F171" s="100">
        <f>D171-E171</f>
        <v>36878991.010000005</v>
      </c>
      <c r="H171" s="267"/>
      <c r="I171" s="100"/>
    </row>
    <row r="172" spans="1:9">
      <c r="A172" s="17" t="s">
        <v>2017</v>
      </c>
      <c r="B172" s="285"/>
      <c r="C172" s="300"/>
      <c r="D172" s="312"/>
      <c r="E172" s="331">
        <v>88200</v>
      </c>
      <c r="F172" s="100">
        <f t="shared" si="2"/>
        <v>88200</v>
      </c>
      <c r="G172" t="s">
        <v>2108</v>
      </c>
      <c r="H172" s="267"/>
      <c r="I172" s="100"/>
    </row>
    <row r="173" spans="1:9">
      <c r="A173" s="15" t="s">
        <v>2018</v>
      </c>
      <c r="B173" s="287"/>
      <c r="C173" s="301"/>
      <c r="D173" s="313">
        <v>1103400</v>
      </c>
      <c r="E173" s="330"/>
      <c r="F173" s="100">
        <f t="shared" si="2"/>
        <v>1103400</v>
      </c>
      <c r="G173" t="s">
        <v>1351</v>
      </c>
      <c r="H173" s="270"/>
      <c r="I173" s="100"/>
    </row>
    <row r="174" spans="1:9">
      <c r="A174" s="17" t="s">
        <v>732</v>
      </c>
      <c r="B174" s="287"/>
      <c r="C174" s="301"/>
      <c r="D174" s="313">
        <v>155431</v>
      </c>
      <c r="E174" s="330"/>
      <c r="F174" s="100">
        <f t="shared" si="2"/>
        <v>155431</v>
      </c>
      <c r="G174" t="s">
        <v>1351</v>
      </c>
      <c r="H174" s="272"/>
      <c r="I174" s="100"/>
    </row>
    <row r="175" spans="1:9">
      <c r="A175" s="17" t="s">
        <v>733</v>
      </c>
      <c r="B175" s="287"/>
      <c r="C175" s="301"/>
      <c r="D175" s="313">
        <v>236250</v>
      </c>
      <c r="E175" s="330"/>
      <c r="F175" s="100">
        <f t="shared" si="2"/>
        <v>236250</v>
      </c>
      <c r="G175" t="s">
        <v>1351</v>
      </c>
      <c r="H175" s="198"/>
      <c r="I175" s="100"/>
    </row>
    <row r="176" spans="1:9">
      <c r="A176" s="17" t="s">
        <v>734</v>
      </c>
      <c r="B176" s="287"/>
      <c r="C176" s="301"/>
      <c r="D176" s="313">
        <v>545590</v>
      </c>
      <c r="E176" s="330"/>
      <c r="F176" s="100">
        <f t="shared" si="2"/>
        <v>545590</v>
      </c>
      <c r="G176" t="s">
        <v>1351</v>
      </c>
      <c r="H176" s="198"/>
      <c r="I176" s="100"/>
    </row>
    <row r="177" spans="1:9">
      <c r="A177" s="15" t="s">
        <v>1263</v>
      </c>
      <c r="B177" s="287"/>
      <c r="C177" s="301"/>
      <c r="D177" s="313">
        <v>1020296</v>
      </c>
      <c r="E177" s="330"/>
      <c r="F177" s="100">
        <f t="shared" si="2"/>
        <v>1020296</v>
      </c>
      <c r="G177" t="s">
        <v>1351</v>
      </c>
      <c r="H177" s="198"/>
      <c r="I177" s="100"/>
    </row>
    <row r="178" spans="1:9">
      <c r="A178" s="15" t="s">
        <v>736</v>
      </c>
      <c r="B178" s="287"/>
      <c r="C178" s="301"/>
      <c r="D178" s="313">
        <v>99600</v>
      </c>
      <c r="E178" s="330"/>
      <c r="F178" s="100">
        <f t="shared" si="2"/>
        <v>99600</v>
      </c>
      <c r="G178" t="s">
        <v>1351</v>
      </c>
      <c r="H178" s="272"/>
      <c r="I178" s="100"/>
    </row>
    <row r="179" spans="1:9">
      <c r="A179" s="15" t="s">
        <v>737</v>
      </c>
      <c r="B179" s="287"/>
      <c r="C179" s="301"/>
      <c r="D179" s="313">
        <v>626800</v>
      </c>
      <c r="E179" s="330"/>
      <c r="F179" s="100">
        <f t="shared" si="2"/>
        <v>626800</v>
      </c>
      <c r="G179" t="s">
        <v>1351</v>
      </c>
      <c r="H179" s="199"/>
      <c r="I179" s="100"/>
    </row>
    <row r="180" spans="1:9">
      <c r="A180" s="17" t="s">
        <v>2019</v>
      </c>
      <c r="B180" s="287"/>
      <c r="C180" s="301"/>
      <c r="D180" s="314"/>
      <c r="E180" s="332">
        <v>2145066.44</v>
      </c>
      <c r="F180" s="100">
        <f t="shared" si="2"/>
        <v>2145066.44</v>
      </c>
      <c r="G180" t="s">
        <v>2108</v>
      </c>
      <c r="H180" s="198"/>
      <c r="I180" s="100"/>
    </row>
    <row r="181" spans="1:9">
      <c r="A181" s="17" t="s">
        <v>2020</v>
      </c>
      <c r="B181" s="287"/>
      <c r="C181" s="301"/>
      <c r="D181" s="313">
        <v>1770035.08</v>
      </c>
      <c r="E181" s="330"/>
      <c r="F181" s="100">
        <f t="shared" si="2"/>
        <v>1770035.08</v>
      </c>
      <c r="G181" t="s">
        <v>1351</v>
      </c>
      <c r="H181" s="198"/>
      <c r="I181" s="100"/>
    </row>
    <row r="182" spans="1:9">
      <c r="A182" s="15" t="s">
        <v>2021</v>
      </c>
      <c r="B182" s="287"/>
      <c r="C182" s="301"/>
      <c r="D182" s="313">
        <v>1119526</v>
      </c>
      <c r="E182" s="330"/>
      <c r="F182" s="100">
        <f t="shared" si="2"/>
        <v>1119526</v>
      </c>
      <c r="G182" t="s">
        <v>1351</v>
      </c>
      <c r="H182" s="198"/>
      <c r="I182" s="100"/>
    </row>
    <row r="183" spans="1:9">
      <c r="A183" s="15" t="s">
        <v>1485</v>
      </c>
      <c r="B183" s="287"/>
      <c r="C183" s="301"/>
      <c r="D183" s="313">
        <v>120000</v>
      </c>
      <c r="E183" s="330"/>
      <c r="F183" s="100">
        <f t="shared" si="2"/>
        <v>120000</v>
      </c>
      <c r="G183" t="s">
        <v>1351</v>
      </c>
      <c r="H183" s="198"/>
      <c r="I183" s="100"/>
    </row>
    <row r="184" spans="1:9">
      <c r="A184" s="15" t="s">
        <v>2022</v>
      </c>
      <c r="B184" s="287"/>
      <c r="C184" s="301"/>
      <c r="D184" s="313">
        <v>5159528.0199999996</v>
      </c>
      <c r="E184" s="330"/>
      <c r="F184" s="100">
        <f t="shared" si="2"/>
        <v>5159528.0199999996</v>
      </c>
      <c r="G184" t="s">
        <v>1351</v>
      </c>
      <c r="H184" s="198"/>
      <c r="I184" s="100"/>
    </row>
    <row r="185" spans="1:9">
      <c r="A185" s="17" t="s">
        <v>1335</v>
      </c>
      <c r="B185" s="287"/>
      <c r="C185" s="301"/>
      <c r="D185" s="314"/>
      <c r="E185" s="332">
        <v>3324167</v>
      </c>
      <c r="F185" s="100">
        <f t="shared" si="2"/>
        <v>3324167</v>
      </c>
      <c r="G185" t="s">
        <v>2108</v>
      </c>
      <c r="H185" s="198"/>
      <c r="I185" s="100"/>
    </row>
    <row r="186" spans="1:9">
      <c r="A186" s="15" t="s">
        <v>1064</v>
      </c>
      <c r="B186" s="287"/>
      <c r="C186" s="301"/>
      <c r="D186" s="313">
        <v>219102</v>
      </c>
      <c r="E186" s="330"/>
      <c r="F186" s="100">
        <f t="shared" si="2"/>
        <v>219102</v>
      </c>
      <c r="G186" t="s">
        <v>1351</v>
      </c>
      <c r="H186" s="198"/>
      <c r="I186" s="100"/>
    </row>
    <row r="187" spans="1:9">
      <c r="A187" s="15" t="s">
        <v>2024</v>
      </c>
      <c r="B187" s="287"/>
      <c r="C187" s="301"/>
      <c r="D187" s="313">
        <v>4405411.2300000004</v>
      </c>
      <c r="E187" s="330"/>
      <c r="F187" s="100">
        <f t="shared" si="2"/>
        <v>4405411.2300000004</v>
      </c>
      <c r="G187" t="s">
        <v>1351</v>
      </c>
      <c r="H187" s="199"/>
      <c r="I187" s="100"/>
    </row>
    <row r="188" spans="1:9">
      <c r="A188" s="15" t="s">
        <v>750</v>
      </c>
      <c r="B188" s="287"/>
      <c r="C188" s="301"/>
      <c r="D188" s="313">
        <v>1262140</v>
      </c>
      <c r="E188" s="330"/>
      <c r="F188" s="100">
        <f t="shared" si="2"/>
        <v>1262140</v>
      </c>
      <c r="G188" t="s">
        <v>1351</v>
      </c>
      <c r="H188" s="198"/>
      <c r="I188" s="100"/>
    </row>
    <row r="189" spans="1:9">
      <c r="A189" s="15" t="s">
        <v>752</v>
      </c>
      <c r="B189" s="287"/>
      <c r="C189" s="301"/>
      <c r="D189" s="313">
        <v>400133</v>
      </c>
      <c r="E189" s="330"/>
      <c r="F189" s="100">
        <f t="shared" si="2"/>
        <v>400133</v>
      </c>
      <c r="G189" t="s">
        <v>1351</v>
      </c>
      <c r="H189" s="198"/>
      <c r="I189" s="100"/>
    </row>
    <row r="190" spans="1:9">
      <c r="A190" s="17" t="s">
        <v>753</v>
      </c>
      <c r="B190" s="287"/>
      <c r="C190" s="301"/>
      <c r="D190" s="313">
        <v>607145.86</v>
      </c>
      <c r="E190" s="330"/>
      <c r="F190" s="100">
        <f t="shared" si="2"/>
        <v>607145.86</v>
      </c>
      <c r="G190" t="s">
        <v>1351</v>
      </c>
      <c r="H190" s="198"/>
      <c r="I190" s="100"/>
    </row>
    <row r="191" spans="1:9">
      <c r="A191" s="15" t="s">
        <v>1067</v>
      </c>
      <c r="B191" s="287"/>
      <c r="C191" s="301"/>
      <c r="D191" s="313">
        <v>92441</v>
      </c>
      <c r="E191" s="330"/>
      <c r="F191" s="100">
        <f t="shared" si="2"/>
        <v>92441</v>
      </c>
      <c r="G191" t="s">
        <v>1351</v>
      </c>
      <c r="H191" s="198"/>
      <c r="I191" s="100"/>
    </row>
    <row r="192" spans="1:9">
      <c r="A192" s="15" t="s">
        <v>1723</v>
      </c>
      <c r="B192" s="287"/>
      <c r="C192" s="301"/>
      <c r="D192" s="313">
        <v>356740</v>
      </c>
      <c r="E192" s="330"/>
      <c r="F192" s="100">
        <f t="shared" si="2"/>
        <v>356740</v>
      </c>
      <c r="G192" t="s">
        <v>1351</v>
      </c>
      <c r="H192" s="199"/>
      <c r="I192" s="100"/>
    </row>
    <row r="193" spans="1:9">
      <c r="A193" s="15" t="s">
        <v>2025</v>
      </c>
      <c r="B193" s="287"/>
      <c r="C193" s="301"/>
      <c r="D193" s="313">
        <v>319031.2</v>
      </c>
      <c r="E193" s="330"/>
      <c r="F193" s="100">
        <f t="shared" si="2"/>
        <v>319031.2</v>
      </c>
      <c r="G193" t="s">
        <v>1351</v>
      </c>
      <c r="H193" s="198"/>
      <c r="I193" s="100"/>
    </row>
    <row r="194" spans="1:9">
      <c r="A194" s="15" t="s">
        <v>1724</v>
      </c>
      <c r="B194" s="287"/>
      <c r="C194" s="301"/>
      <c r="D194" s="313">
        <v>35108</v>
      </c>
      <c r="E194" s="330"/>
      <c r="F194" s="100">
        <f t="shared" si="2"/>
        <v>35108</v>
      </c>
      <c r="G194" t="s">
        <v>1351</v>
      </c>
      <c r="H194" s="198"/>
      <c r="I194" s="100"/>
    </row>
    <row r="195" spans="1:9">
      <c r="A195" s="17" t="s">
        <v>1068</v>
      </c>
      <c r="B195" s="287"/>
      <c r="C195" s="301"/>
      <c r="D195" s="313">
        <v>52926</v>
      </c>
      <c r="E195" s="330"/>
      <c r="F195" s="100">
        <f t="shared" si="2"/>
        <v>52926</v>
      </c>
      <c r="G195" t="s">
        <v>1351</v>
      </c>
      <c r="H195" s="198"/>
      <c r="I195" s="100"/>
    </row>
    <row r="196" spans="1:9">
      <c r="A196" s="15" t="s">
        <v>756</v>
      </c>
      <c r="B196" s="287"/>
      <c r="C196" s="301"/>
      <c r="D196" s="313">
        <v>98880</v>
      </c>
      <c r="E196" s="330"/>
      <c r="F196" s="100">
        <f t="shared" si="2"/>
        <v>98880</v>
      </c>
      <c r="G196" t="s">
        <v>1351</v>
      </c>
      <c r="H196" s="198"/>
      <c r="I196" s="100"/>
    </row>
    <row r="197" spans="1:9">
      <c r="A197" s="15" t="s">
        <v>1259</v>
      </c>
      <c r="B197" s="287"/>
      <c r="C197" s="301"/>
      <c r="D197" s="313">
        <v>46383</v>
      </c>
      <c r="E197" s="330"/>
      <c r="F197" s="100">
        <f t="shared" si="2"/>
        <v>46383</v>
      </c>
      <c r="G197" t="s">
        <v>1351</v>
      </c>
      <c r="H197" s="198"/>
      <c r="I197" s="100"/>
    </row>
    <row r="198" spans="1:9">
      <c r="A198" s="15" t="s">
        <v>1725</v>
      </c>
      <c r="B198" s="287"/>
      <c r="C198" s="301"/>
      <c r="D198" s="313">
        <v>26427.919999999998</v>
      </c>
      <c r="E198" s="330"/>
      <c r="F198" s="100">
        <f t="shared" si="2"/>
        <v>26427.919999999998</v>
      </c>
      <c r="G198" t="s">
        <v>1351</v>
      </c>
      <c r="H198" s="198"/>
      <c r="I198" s="100"/>
    </row>
    <row r="199" spans="1:9">
      <c r="A199" s="15" t="s">
        <v>2026</v>
      </c>
      <c r="B199" s="287"/>
      <c r="C199" s="301"/>
      <c r="D199" s="314"/>
      <c r="E199" s="332">
        <v>0.9</v>
      </c>
      <c r="F199" s="100">
        <f t="shared" si="2"/>
        <v>0.9</v>
      </c>
      <c r="G199" t="s">
        <v>2108</v>
      </c>
      <c r="H199" s="198"/>
      <c r="I199" s="100"/>
    </row>
    <row r="200" spans="1:9">
      <c r="A200" s="17" t="s">
        <v>757</v>
      </c>
      <c r="B200" s="287"/>
      <c r="C200" s="301"/>
      <c r="D200" s="314"/>
      <c r="E200" s="332">
        <v>376638</v>
      </c>
      <c r="F200" s="100">
        <f t="shared" si="2"/>
        <v>376638</v>
      </c>
      <c r="G200" t="s">
        <v>2108</v>
      </c>
      <c r="H200" s="198"/>
      <c r="I200" s="100"/>
    </row>
    <row r="201" spans="1:9">
      <c r="A201" s="17" t="s">
        <v>2027</v>
      </c>
      <c r="B201" s="287"/>
      <c r="C201" s="301"/>
      <c r="D201" s="313">
        <v>3894985.52</v>
      </c>
      <c r="E201" s="330"/>
      <c r="F201" s="100">
        <f t="shared" ref="F201:F264" si="3">B201+C201+D201+E201</f>
        <v>3894985.52</v>
      </c>
      <c r="G201" t="s">
        <v>1351</v>
      </c>
      <c r="H201" s="198"/>
      <c r="I201" s="100"/>
    </row>
    <row r="202" spans="1:9">
      <c r="A202" s="15" t="s">
        <v>1488</v>
      </c>
      <c r="B202" s="287"/>
      <c r="C202" s="301"/>
      <c r="D202" s="313">
        <v>16491.28</v>
      </c>
      <c r="E202" s="330"/>
      <c r="F202" s="100">
        <f t="shared" si="3"/>
        <v>16491.28</v>
      </c>
      <c r="G202" t="s">
        <v>1351</v>
      </c>
      <c r="H202" s="198"/>
      <c r="I202" s="100"/>
    </row>
    <row r="203" spans="1:9">
      <c r="A203" s="15" t="s">
        <v>1256</v>
      </c>
      <c r="B203" s="287"/>
      <c r="C203" s="301"/>
      <c r="D203" s="313">
        <v>328423.65999999997</v>
      </c>
      <c r="E203" s="330"/>
      <c r="F203" s="100">
        <f t="shared" si="3"/>
        <v>328423.65999999997</v>
      </c>
      <c r="G203" t="s">
        <v>1351</v>
      </c>
      <c r="H203" s="198"/>
      <c r="I203" s="100"/>
    </row>
    <row r="204" spans="1:9">
      <c r="A204" s="17" t="s">
        <v>1490</v>
      </c>
      <c r="B204" s="287"/>
      <c r="C204" s="301"/>
      <c r="D204" s="314"/>
      <c r="E204" s="332">
        <v>55773</v>
      </c>
      <c r="F204" s="100">
        <f t="shared" si="3"/>
        <v>55773</v>
      </c>
      <c r="G204" t="s">
        <v>2108</v>
      </c>
      <c r="H204" s="198"/>
      <c r="I204" s="100"/>
    </row>
    <row r="205" spans="1:9">
      <c r="A205" s="15" t="s">
        <v>771</v>
      </c>
      <c r="B205" s="287"/>
      <c r="C205" s="301"/>
      <c r="D205" s="313">
        <v>615250</v>
      </c>
      <c r="E205" s="330"/>
      <c r="F205" s="100">
        <f t="shared" si="3"/>
        <v>615250</v>
      </c>
      <c r="G205" t="s">
        <v>1351</v>
      </c>
      <c r="H205" s="198"/>
      <c r="I205" s="100"/>
    </row>
    <row r="206" spans="1:9">
      <c r="A206" s="15" t="s">
        <v>772</v>
      </c>
      <c r="B206" s="287"/>
      <c r="C206" s="301"/>
      <c r="D206" s="313">
        <v>2316502</v>
      </c>
      <c r="E206" s="330"/>
      <c r="F206" s="100">
        <f t="shared" si="3"/>
        <v>2316502</v>
      </c>
      <c r="G206" t="s">
        <v>1351</v>
      </c>
      <c r="H206" s="199"/>
      <c r="I206" s="100"/>
    </row>
    <row r="207" spans="1:9">
      <c r="A207" s="15" t="s">
        <v>1492</v>
      </c>
      <c r="B207" s="287"/>
      <c r="C207" s="301"/>
      <c r="D207" s="313">
        <v>918354.6</v>
      </c>
      <c r="E207" s="330"/>
      <c r="F207" s="100">
        <f t="shared" si="3"/>
        <v>918354.6</v>
      </c>
      <c r="G207" t="s">
        <v>1351</v>
      </c>
      <c r="H207" s="199"/>
      <c r="I207" s="100"/>
    </row>
    <row r="208" spans="1:9">
      <c r="A208" s="17" t="s">
        <v>776</v>
      </c>
      <c r="B208" s="287"/>
      <c r="C208" s="301"/>
      <c r="D208" s="313">
        <v>67872</v>
      </c>
      <c r="E208" s="330"/>
      <c r="F208" s="100">
        <f t="shared" si="3"/>
        <v>67872</v>
      </c>
      <c r="G208" t="s">
        <v>1351</v>
      </c>
      <c r="H208" s="198"/>
      <c r="I208" s="100"/>
    </row>
    <row r="209" spans="1:9">
      <c r="A209" s="15" t="s">
        <v>1727</v>
      </c>
      <c r="B209" s="287"/>
      <c r="C209" s="301"/>
      <c r="D209" s="313">
        <v>171458</v>
      </c>
      <c r="E209" s="330"/>
      <c r="F209" s="100">
        <f t="shared" si="3"/>
        <v>171458</v>
      </c>
      <c r="G209" t="s">
        <v>1351</v>
      </c>
      <c r="H209" s="198"/>
      <c r="I209" s="100"/>
    </row>
    <row r="210" spans="1:9">
      <c r="A210" s="15" t="s">
        <v>1728</v>
      </c>
      <c r="B210" s="287"/>
      <c r="C210" s="301"/>
      <c r="D210" s="313">
        <v>980339.08</v>
      </c>
      <c r="E210" s="330"/>
      <c r="F210" s="100">
        <f t="shared" si="3"/>
        <v>980339.08</v>
      </c>
      <c r="G210" t="s">
        <v>1351</v>
      </c>
      <c r="H210" s="198"/>
      <c r="I210" s="100"/>
    </row>
    <row r="211" spans="1:9">
      <c r="A211" s="15" t="s">
        <v>2029</v>
      </c>
      <c r="B211" s="287"/>
      <c r="C211" s="301"/>
      <c r="D211" s="313">
        <v>725000</v>
      </c>
      <c r="E211" s="330"/>
      <c r="F211" s="100">
        <f t="shared" si="3"/>
        <v>725000</v>
      </c>
      <c r="G211" t="s">
        <v>1351</v>
      </c>
      <c r="H211" s="199"/>
      <c r="I211" s="100"/>
    </row>
    <row r="212" spans="1:9">
      <c r="A212" s="15" t="s">
        <v>2031</v>
      </c>
      <c r="B212" s="287"/>
      <c r="C212" s="301"/>
      <c r="D212" s="313">
        <v>2867945</v>
      </c>
      <c r="E212" s="330"/>
      <c r="F212" s="100">
        <f t="shared" si="3"/>
        <v>2867945</v>
      </c>
      <c r="G212" t="s">
        <v>1351</v>
      </c>
      <c r="H212" s="198"/>
      <c r="I212" s="100"/>
    </row>
    <row r="213" spans="1:9">
      <c r="A213" s="15" t="s">
        <v>1730</v>
      </c>
      <c r="B213" s="287"/>
      <c r="C213" s="301"/>
      <c r="D213" s="313">
        <v>3813737.57</v>
      </c>
      <c r="E213" s="330"/>
      <c r="F213" s="100">
        <f t="shared" si="3"/>
        <v>3813737.57</v>
      </c>
      <c r="G213" t="s">
        <v>1351</v>
      </c>
      <c r="H213" s="198"/>
      <c r="I213" s="100"/>
    </row>
    <row r="214" spans="1:9">
      <c r="A214" s="17" t="s">
        <v>778</v>
      </c>
      <c r="B214" s="287"/>
      <c r="C214" s="301"/>
      <c r="D214" s="313">
        <v>718081</v>
      </c>
      <c r="E214" s="330"/>
      <c r="F214" s="100">
        <f t="shared" si="3"/>
        <v>718081</v>
      </c>
      <c r="G214" t="s">
        <v>1351</v>
      </c>
      <c r="H214" s="198"/>
      <c r="I214" s="100"/>
    </row>
    <row r="215" spans="1:9">
      <c r="A215" s="15" t="s">
        <v>1255</v>
      </c>
      <c r="B215" s="287"/>
      <c r="C215" s="301"/>
      <c r="D215" s="313">
        <v>127610</v>
      </c>
      <c r="E215" s="330"/>
      <c r="F215" s="100">
        <f t="shared" si="3"/>
        <v>127610</v>
      </c>
      <c r="G215" t="s">
        <v>1351</v>
      </c>
      <c r="H215" s="198"/>
      <c r="I215" s="100"/>
    </row>
    <row r="216" spans="1:9">
      <c r="A216" s="15" t="s">
        <v>782</v>
      </c>
      <c r="B216" s="287"/>
      <c r="C216" s="301"/>
      <c r="D216" s="313">
        <v>836602</v>
      </c>
      <c r="E216" s="330"/>
      <c r="F216" s="100">
        <f t="shared" si="3"/>
        <v>836602</v>
      </c>
      <c r="G216" t="s">
        <v>1351</v>
      </c>
      <c r="H216" s="198"/>
      <c r="I216" s="100"/>
    </row>
    <row r="217" spans="1:9">
      <c r="A217" s="15" t="s">
        <v>1254</v>
      </c>
      <c r="B217" s="287"/>
      <c r="C217" s="301"/>
      <c r="D217" s="313">
        <v>1183593</v>
      </c>
      <c r="E217" s="330"/>
      <c r="F217" s="100">
        <f t="shared" si="3"/>
        <v>1183593</v>
      </c>
      <c r="G217" t="s">
        <v>1351</v>
      </c>
      <c r="H217" s="198"/>
      <c r="I217" s="100"/>
    </row>
    <row r="218" spans="1:9">
      <c r="A218" s="15" t="s">
        <v>2032</v>
      </c>
      <c r="B218" s="287"/>
      <c r="C218" s="301"/>
      <c r="D218" s="314"/>
      <c r="E218" s="332">
        <v>168392.14</v>
      </c>
      <c r="F218" s="100">
        <f t="shared" si="3"/>
        <v>168392.14</v>
      </c>
      <c r="G218" t="s">
        <v>2108</v>
      </c>
      <c r="H218" s="198"/>
      <c r="I218" s="100"/>
    </row>
    <row r="219" spans="1:9">
      <c r="A219" s="15" t="s">
        <v>1499</v>
      </c>
      <c r="B219" s="287"/>
      <c r="C219" s="301"/>
      <c r="D219" s="314"/>
      <c r="E219" s="332">
        <v>400000</v>
      </c>
      <c r="F219" s="100">
        <f t="shared" si="3"/>
        <v>400000</v>
      </c>
      <c r="G219" t="s">
        <v>2108</v>
      </c>
      <c r="H219" s="198"/>
      <c r="I219" s="100"/>
    </row>
    <row r="220" spans="1:9">
      <c r="A220" s="15" t="s">
        <v>1500</v>
      </c>
      <c r="B220" s="287"/>
      <c r="C220" s="301"/>
      <c r="D220" s="313">
        <v>255012.51</v>
      </c>
      <c r="E220" s="330"/>
      <c r="F220" s="100">
        <f t="shared" si="3"/>
        <v>255012.51</v>
      </c>
      <c r="G220" t="s">
        <v>1351</v>
      </c>
      <c r="H220" s="198"/>
      <c r="I220" s="100"/>
    </row>
    <row r="221" spans="1:9">
      <c r="A221" s="15" t="s">
        <v>1732</v>
      </c>
      <c r="B221" s="287"/>
      <c r="C221" s="301"/>
      <c r="D221" s="313">
        <v>2710000</v>
      </c>
      <c r="E221" s="330"/>
      <c r="F221" s="100">
        <f t="shared" si="3"/>
        <v>2710000</v>
      </c>
      <c r="G221" t="s">
        <v>1351</v>
      </c>
      <c r="H221" s="198"/>
      <c r="I221" s="100"/>
    </row>
    <row r="222" spans="1:9">
      <c r="A222" s="15" t="s">
        <v>1248</v>
      </c>
      <c r="B222" s="287"/>
      <c r="C222" s="301"/>
      <c r="D222" s="313">
        <v>517480</v>
      </c>
      <c r="E222" s="330"/>
      <c r="F222" s="100">
        <f t="shared" si="3"/>
        <v>517480</v>
      </c>
      <c r="G222" t="s">
        <v>1351</v>
      </c>
      <c r="H222" s="198"/>
      <c r="I222" s="100"/>
    </row>
    <row r="223" spans="1:9">
      <c r="A223" s="15" t="s">
        <v>1501</v>
      </c>
      <c r="B223" s="287"/>
      <c r="C223" s="301"/>
      <c r="D223" s="313">
        <v>494165.96</v>
      </c>
      <c r="E223" s="330"/>
      <c r="F223" s="100">
        <f t="shared" si="3"/>
        <v>494165.96</v>
      </c>
      <c r="G223" t="s">
        <v>1351</v>
      </c>
      <c r="H223" s="198"/>
      <c r="I223" s="100"/>
    </row>
    <row r="224" spans="1:9">
      <c r="A224" s="14" t="s">
        <v>69</v>
      </c>
      <c r="B224" s="287"/>
      <c r="C224" s="301"/>
      <c r="D224" s="313">
        <v>54632</v>
      </c>
      <c r="E224" s="330"/>
      <c r="F224" s="100">
        <f t="shared" si="3"/>
        <v>54632</v>
      </c>
      <c r="G224" t="s">
        <v>1351</v>
      </c>
      <c r="H224" s="198"/>
      <c r="I224" s="100"/>
    </row>
    <row r="225" spans="1:9">
      <c r="A225" s="14" t="s">
        <v>70</v>
      </c>
      <c r="B225" s="339"/>
      <c r="C225" s="114"/>
      <c r="D225" s="340">
        <v>20073247.010000002</v>
      </c>
      <c r="E225" s="108"/>
      <c r="F225" s="100">
        <f t="shared" si="3"/>
        <v>20073247.010000002</v>
      </c>
      <c r="G225" t="s">
        <v>1351</v>
      </c>
      <c r="H225" s="199"/>
      <c r="I225" s="100"/>
    </row>
    <row r="226" spans="1:9">
      <c r="A226" s="18" t="s">
        <v>804</v>
      </c>
      <c r="B226" s="350"/>
      <c r="C226" s="113"/>
      <c r="D226" s="349">
        <v>19627619.5</v>
      </c>
      <c r="E226" s="111"/>
      <c r="F226" s="100">
        <f t="shared" si="3"/>
        <v>19627619.5</v>
      </c>
      <c r="G226" t="s">
        <v>1351</v>
      </c>
      <c r="H226" s="199"/>
      <c r="I226" s="100"/>
    </row>
    <row r="227" spans="1:9">
      <c r="A227" s="190" t="s">
        <v>806</v>
      </c>
      <c r="B227" s="281"/>
      <c r="C227" s="294"/>
      <c r="D227" s="311">
        <v>12797.11</v>
      </c>
      <c r="E227" s="327"/>
      <c r="F227" s="100">
        <f t="shared" si="3"/>
        <v>12797.11</v>
      </c>
      <c r="G227" t="s">
        <v>1351</v>
      </c>
      <c r="H227" s="198"/>
      <c r="I227" s="100"/>
    </row>
    <row r="228" spans="1:9">
      <c r="A228" s="15" t="s">
        <v>807</v>
      </c>
      <c r="B228" s="283"/>
      <c r="C228" s="296"/>
      <c r="D228" s="310">
        <v>140064.47</v>
      </c>
      <c r="E228" s="326"/>
      <c r="F228" s="100">
        <f t="shared" si="3"/>
        <v>140064.47</v>
      </c>
      <c r="G228" t="s">
        <v>1351</v>
      </c>
      <c r="H228" s="198"/>
      <c r="I228" s="100"/>
    </row>
    <row r="229" spans="1:9">
      <c r="A229" s="190" t="s">
        <v>808</v>
      </c>
      <c r="B229" s="283"/>
      <c r="C229" s="296"/>
      <c r="D229" s="310">
        <v>14093.85</v>
      </c>
      <c r="E229" s="326"/>
      <c r="F229" s="100">
        <f t="shared" si="3"/>
        <v>14093.85</v>
      </c>
      <c r="G229" t="s">
        <v>1351</v>
      </c>
      <c r="H229" s="198"/>
      <c r="I229" s="100"/>
    </row>
    <row r="230" spans="1:9">
      <c r="A230" s="15" t="s">
        <v>809</v>
      </c>
      <c r="B230" s="283"/>
      <c r="C230" s="296"/>
      <c r="D230" s="310">
        <v>24337.5</v>
      </c>
      <c r="E230" s="326"/>
      <c r="F230" s="100">
        <f t="shared" si="3"/>
        <v>24337.5</v>
      </c>
      <c r="G230" t="s">
        <v>1351</v>
      </c>
      <c r="H230" s="198"/>
      <c r="I230" s="100"/>
    </row>
    <row r="231" spans="1:9">
      <c r="A231" s="15" t="s">
        <v>2033</v>
      </c>
      <c r="B231" s="283"/>
      <c r="C231" s="296"/>
      <c r="D231" s="310">
        <v>13975117.98</v>
      </c>
      <c r="E231" s="326"/>
      <c r="F231" s="100">
        <f t="shared" si="3"/>
        <v>13975117.98</v>
      </c>
      <c r="G231" t="s">
        <v>1351</v>
      </c>
      <c r="H231" s="272"/>
      <c r="I231" s="100"/>
    </row>
    <row r="232" spans="1:9">
      <c r="A232" s="15" t="s">
        <v>2034</v>
      </c>
      <c r="B232" s="283"/>
      <c r="C232" s="296"/>
      <c r="D232" s="310">
        <v>2540565.2200000002</v>
      </c>
      <c r="E232" s="326"/>
      <c r="F232" s="100">
        <f t="shared" si="3"/>
        <v>2540565.2200000002</v>
      </c>
      <c r="G232" t="s">
        <v>1351</v>
      </c>
      <c r="H232" s="198"/>
      <c r="I232" s="100"/>
    </row>
    <row r="233" spans="1:9">
      <c r="A233" s="190" t="s">
        <v>812</v>
      </c>
      <c r="B233" s="283"/>
      <c r="C233" s="296"/>
      <c r="D233" s="310">
        <v>2885227.5</v>
      </c>
      <c r="E233" s="326"/>
      <c r="F233" s="100">
        <f t="shared" si="3"/>
        <v>2885227.5</v>
      </c>
      <c r="G233" t="s">
        <v>1351</v>
      </c>
      <c r="H233" s="272"/>
      <c r="I233" s="100"/>
    </row>
    <row r="234" spans="1:9">
      <c r="A234" s="190" t="s">
        <v>813</v>
      </c>
      <c r="B234" s="283"/>
      <c r="C234" s="296"/>
      <c r="D234" s="310">
        <v>21297.87</v>
      </c>
      <c r="E234" s="326"/>
      <c r="F234" s="100">
        <f t="shared" si="3"/>
        <v>21297.87</v>
      </c>
      <c r="G234" t="s">
        <v>1351</v>
      </c>
      <c r="H234" s="273"/>
      <c r="I234" s="100"/>
    </row>
    <row r="235" spans="1:9">
      <c r="A235" s="190" t="s">
        <v>814</v>
      </c>
      <c r="B235" s="283"/>
      <c r="C235" s="296"/>
      <c r="D235" s="310">
        <v>14118</v>
      </c>
      <c r="E235" s="326"/>
      <c r="F235" s="100">
        <f t="shared" si="3"/>
        <v>14118</v>
      </c>
      <c r="G235" t="s">
        <v>1351</v>
      </c>
      <c r="H235" s="267"/>
      <c r="I235" s="100"/>
    </row>
    <row r="236" spans="1:9">
      <c r="A236" s="18" t="s">
        <v>815</v>
      </c>
      <c r="B236" s="354"/>
      <c r="C236" s="108"/>
      <c r="D236" s="353">
        <v>445627.51</v>
      </c>
      <c r="E236" s="114"/>
      <c r="F236" s="100">
        <f t="shared" si="3"/>
        <v>445627.51</v>
      </c>
      <c r="G236" t="s">
        <v>1351</v>
      </c>
      <c r="H236" s="267"/>
      <c r="I236" s="100"/>
    </row>
    <row r="237" spans="1:9">
      <c r="A237" s="15" t="s">
        <v>816</v>
      </c>
      <c r="B237" s="281"/>
      <c r="C237" s="294"/>
      <c r="D237" s="311">
        <v>11681.17</v>
      </c>
      <c r="E237" s="327"/>
      <c r="F237" s="100">
        <f t="shared" si="3"/>
        <v>11681.17</v>
      </c>
      <c r="G237" t="s">
        <v>1351</v>
      </c>
      <c r="H237" s="267"/>
      <c r="I237" s="100"/>
    </row>
    <row r="238" spans="1:9">
      <c r="A238" s="190" t="s">
        <v>817</v>
      </c>
      <c r="B238" s="283"/>
      <c r="C238" s="296"/>
      <c r="D238" s="310">
        <v>26862.32</v>
      </c>
      <c r="E238" s="326"/>
      <c r="F238" s="100">
        <f t="shared" si="3"/>
        <v>26862.32</v>
      </c>
      <c r="G238" t="s">
        <v>1351</v>
      </c>
      <c r="H238" s="267"/>
      <c r="I238" s="100"/>
    </row>
    <row r="239" spans="1:9">
      <c r="A239" s="15" t="s">
        <v>2035</v>
      </c>
      <c r="B239" s="283"/>
      <c r="C239" s="296"/>
      <c r="D239" s="310">
        <v>320500.88</v>
      </c>
      <c r="E239" s="326"/>
      <c r="F239" s="100">
        <f t="shared" si="3"/>
        <v>320500.88</v>
      </c>
      <c r="G239" t="s">
        <v>1351</v>
      </c>
      <c r="H239" s="267"/>
      <c r="I239" s="100"/>
    </row>
    <row r="240" spans="1:9">
      <c r="A240" s="190" t="s">
        <v>819</v>
      </c>
      <c r="B240" s="283"/>
      <c r="C240" s="296"/>
      <c r="D240" s="310">
        <v>75377.75</v>
      </c>
      <c r="E240" s="326"/>
      <c r="F240" s="100">
        <f t="shared" si="3"/>
        <v>75377.75</v>
      </c>
      <c r="G240" t="s">
        <v>1351</v>
      </c>
      <c r="H240" s="267"/>
      <c r="I240" s="100"/>
    </row>
    <row r="241" spans="1:9">
      <c r="A241" s="15" t="s">
        <v>820</v>
      </c>
      <c r="B241" s="283"/>
      <c r="C241" s="296"/>
      <c r="D241" s="310">
        <v>11037.14</v>
      </c>
      <c r="E241" s="326"/>
      <c r="F241" s="100">
        <f t="shared" si="3"/>
        <v>11037.14</v>
      </c>
      <c r="G241" t="s">
        <v>1351</v>
      </c>
      <c r="H241" s="267"/>
      <c r="I241" s="100"/>
    </row>
    <row r="242" spans="1:9">
      <c r="A242" s="190" t="s">
        <v>821</v>
      </c>
      <c r="B242" s="283"/>
      <c r="C242" s="296"/>
      <c r="D242" s="310">
        <v>168.25</v>
      </c>
      <c r="E242" s="326"/>
      <c r="F242" s="100">
        <f t="shared" si="3"/>
        <v>168.25</v>
      </c>
      <c r="G242" t="s">
        <v>1351</v>
      </c>
      <c r="H242" s="267"/>
      <c r="I242" s="100"/>
    </row>
    <row r="243" spans="1:9">
      <c r="A243" s="13" t="s">
        <v>99</v>
      </c>
      <c r="B243" s="283"/>
      <c r="C243" s="296"/>
      <c r="D243" s="310">
        <v>18844298</v>
      </c>
      <c r="E243" s="326"/>
      <c r="F243" s="100">
        <f t="shared" si="3"/>
        <v>18844298</v>
      </c>
      <c r="G243" t="s">
        <v>1351</v>
      </c>
      <c r="H243" s="267"/>
      <c r="I243" s="100"/>
    </row>
    <row r="244" spans="1:9">
      <c r="A244" s="1" t="s">
        <v>100</v>
      </c>
      <c r="B244" s="348">
        <v>300801.2</v>
      </c>
      <c r="C244" s="105">
        <v>233973515.25</v>
      </c>
      <c r="D244" s="342">
        <v>238365990.80000001</v>
      </c>
      <c r="E244" s="204">
        <v>75615</v>
      </c>
      <c r="F244" s="100">
        <f>D244+B244-C244-E244</f>
        <v>4617661.75</v>
      </c>
      <c r="G244" t="s">
        <v>1351</v>
      </c>
      <c r="H244" s="269"/>
      <c r="I244" s="100"/>
    </row>
    <row r="245" spans="1:9">
      <c r="A245" s="13" t="s">
        <v>2036</v>
      </c>
      <c r="B245" s="281"/>
      <c r="C245" s="294"/>
      <c r="D245" s="311">
        <v>109460</v>
      </c>
      <c r="E245" s="327"/>
      <c r="F245" s="100">
        <f t="shared" si="3"/>
        <v>109460</v>
      </c>
      <c r="G245" t="s">
        <v>1351</v>
      </c>
      <c r="H245" s="267"/>
      <c r="I245" s="100"/>
    </row>
    <row r="246" spans="1:9">
      <c r="A246" s="13" t="s">
        <v>2037</v>
      </c>
      <c r="B246" s="283"/>
      <c r="C246" s="296"/>
      <c r="D246" s="310">
        <v>217196</v>
      </c>
      <c r="E246" s="326"/>
      <c r="F246" s="100">
        <f t="shared" si="3"/>
        <v>217196</v>
      </c>
      <c r="G246" t="s">
        <v>1351</v>
      </c>
      <c r="H246" s="267"/>
      <c r="I246" s="100"/>
    </row>
    <row r="247" spans="1:9">
      <c r="A247" s="13" t="s">
        <v>822</v>
      </c>
      <c r="B247" s="283"/>
      <c r="C247" s="296"/>
      <c r="D247" s="309"/>
      <c r="E247" s="325">
        <v>201</v>
      </c>
      <c r="F247" s="100">
        <f t="shared" si="3"/>
        <v>201</v>
      </c>
      <c r="G247" t="s">
        <v>2108</v>
      </c>
      <c r="H247" s="267"/>
      <c r="I247" s="100"/>
    </row>
    <row r="248" spans="1:9">
      <c r="A248" s="13" t="s">
        <v>1246</v>
      </c>
      <c r="B248" s="283"/>
      <c r="C248" s="296"/>
      <c r="D248" s="309"/>
      <c r="E248" s="325">
        <v>34050</v>
      </c>
      <c r="F248" s="100">
        <f t="shared" si="3"/>
        <v>34050</v>
      </c>
      <c r="G248" t="s">
        <v>2108</v>
      </c>
      <c r="H248" s="267"/>
      <c r="I248" s="100"/>
    </row>
    <row r="249" spans="1:9">
      <c r="A249" s="13" t="s">
        <v>1245</v>
      </c>
      <c r="B249" s="283"/>
      <c r="C249" s="296"/>
      <c r="D249" s="309"/>
      <c r="E249" s="325">
        <v>1544</v>
      </c>
      <c r="F249" s="100">
        <f t="shared" si="3"/>
        <v>1544</v>
      </c>
      <c r="G249" t="s">
        <v>2108</v>
      </c>
      <c r="H249" s="267"/>
      <c r="I249" s="100"/>
    </row>
    <row r="250" spans="1:9">
      <c r="A250" s="13" t="s">
        <v>823</v>
      </c>
      <c r="B250" s="283"/>
      <c r="C250" s="297">
        <v>2</v>
      </c>
      <c r="D250" s="309"/>
      <c r="E250" s="326"/>
      <c r="F250" s="100">
        <f t="shared" si="3"/>
        <v>2</v>
      </c>
      <c r="G250" t="s">
        <v>1351</v>
      </c>
      <c r="H250" s="267"/>
      <c r="I250" s="100"/>
    </row>
    <row r="251" spans="1:9">
      <c r="A251" s="13" t="s">
        <v>2038</v>
      </c>
      <c r="B251" s="283"/>
      <c r="C251" s="296"/>
      <c r="D251" s="310">
        <v>258219</v>
      </c>
      <c r="E251" s="326"/>
      <c r="F251" s="100">
        <f t="shared" si="3"/>
        <v>258219</v>
      </c>
      <c r="G251" t="s">
        <v>1351</v>
      </c>
      <c r="H251" s="267"/>
      <c r="I251" s="100"/>
    </row>
    <row r="252" spans="1:9">
      <c r="A252" s="13" t="s">
        <v>2039</v>
      </c>
      <c r="B252" s="283"/>
      <c r="C252" s="296"/>
      <c r="D252" s="310">
        <v>14076</v>
      </c>
      <c r="E252" s="326"/>
      <c r="F252" s="100">
        <f t="shared" si="3"/>
        <v>14076</v>
      </c>
      <c r="G252" t="s">
        <v>1351</v>
      </c>
      <c r="H252" s="270"/>
      <c r="I252" s="100"/>
    </row>
    <row r="253" spans="1:9">
      <c r="A253" s="13" t="s">
        <v>2040</v>
      </c>
      <c r="B253" s="283"/>
      <c r="C253" s="296"/>
      <c r="D253" s="310">
        <v>37345</v>
      </c>
      <c r="E253" s="326"/>
      <c r="F253" s="100">
        <f t="shared" si="3"/>
        <v>37345</v>
      </c>
      <c r="G253" t="s">
        <v>1351</v>
      </c>
      <c r="H253" s="267"/>
      <c r="I253" s="100"/>
    </row>
    <row r="254" spans="1:9">
      <c r="A254" s="13" t="s">
        <v>2041</v>
      </c>
      <c r="B254" s="283"/>
      <c r="C254" s="296"/>
      <c r="D254" s="310">
        <v>3155</v>
      </c>
      <c r="E254" s="326"/>
      <c r="F254" s="100">
        <f t="shared" si="3"/>
        <v>3155</v>
      </c>
      <c r="G254" t="s">
        <v>1351</v>
      </c>
      <c r="H254" s="267"/>
      <c r="I254" s="100"/>
    </row>
    <row r="255" spans="1:9">
      <c r="A255" s="13" t="s">
        <v>824</v>
      </c>
      <c r="B255" s="283"/>
      <c r="C255" s="296"/>
      <c r="D255" s="309"/>
      <c r="E255" s="325">
        <v>800</v>
      </c>
      <c r="F255" s="100">
        <f t="shared" si="3"/>
        <v>800</v>
      </c>
      <c r="G255" t="s">
        <v>2108</v>
      </c>
      <c r="H255" s="263"/>
      <c r="I255" s="100"/>
    </row>
    <row r="256" spans="1:9">
      <c r="A256" s="13" t="s">
        <v>1839</v>
      </c>
      <c r="B256" s="284">
        <v>41936</v>
      </c>
      <c r="C256" s="296"/>
      <c r="D256" s="309"/>
      <c r="E256" s="326"/>
      <c r="F256" s="100">
        <f t="shared" si="3"/>
        <v>41936</v>
      </c>
      <c r="G256" t="s">
        <v>1351</v>
      </c>
      <c r="H256" s="263"/>
      <c r="I256" s="100"/>
    </row>
    <row r="257" spans="1:9">
      <c r="A257" s="13" t="s">
        <v>825</v>
      </c>
      <c r="B257" s="283"/>
      <c r="C257" s="296"/>
      <c r="D257" s="310">
        <v>2727</v>
      </c>
      <c r="E257" s="326"/>
      <c r="F257" s="100">
        <f t="shared" si="3"/>
        <v>2727</v>
      </c>
      <c r="G257" t="s">
        <v>1351</v>
      </c>
      <c r="H257" s="263"/>
      <c r="I257" s="100"/>
    </row>
    <row r="258" spans="1:9">
      <c r="A258" s="13" t="s">
        <v>1078</v>
      </c>
      <c r="B258" s="283"/>
      <c r="C258" s="296"/>
      <c r="D258" s="310">
        <v>45000</v>
      </c>
      <c r="E258" s="326"/>
      <c r="F258" s="100">
        <f t="shared" si="3"/>
        <v>45000</v>
      </c>
      <c r="G258" t="s">
        <v>1351</v>
      </c>
      <c r="H258" s="263"/>
      <c r="I258" s="100"/>
    </row>
    <row r="259" spans="1:9">
      <c r="A259" s="13" t="s">
        <v>2042</v>
      </c>
      <c r="B259" s="283"/>
      <c r="C259" s="296"/>
      <c r="D259" s="310">
        <v>91620</v>
      </c>
      <c r="E259" s="326"/>
      <c r="F259" s="100">
        <f t="shared" si="3"/>
        <v>91620</v>
      </c>
      <c r="G259" t="s">
        <v>1351</v>
      </c>
      <c r="H259" s="267"/>
      <c r="I259" s="100"/>
    </row>
    <row r="260" spans="1:9">
      <c r="A260" s="13" t="s">
        <v>1733</v>
      </c>
      <c r="B260" s="283"/>
      <c r="C260" s="296"/>
      <c r="D260" s="310">
        <v>166417</v>
      </c>
      <c r="E260" s="326"/>
      <c r="F260" s="100">
        <f t="shared" si="3"/>
        <v>166417</v>
      </c>
      <c r="G260" t="s">
        <v>1351</v>
      </c>
      <c r="H260" s="267"/>
      <c r="I260" s="100"/>
    </row>
    <row r="261" spans="1:9">
      <c r="A261" s="13" t="s">
        <v>830</v>
      </c>
      <c r="B261" s="283"/>
      <c r="C261" s="296"/>
      <c r="D261" s="309"/>
      <c r="E261" s="325">
        <v>500</v>
      </c>
      <c r="F261" s="100">
        <f t="shared" si="3"/>
        <v>500</v>
      </c>
      <c r="G261" t="s">
        <v>2108</v>
      </c>
      <c r="H261" s="267"/>
      <c r="I261" s="100"/>
    </row>
    <row r="262" spans="1:9">
      <c r="A262" s="13" t="s">
        <v>2043</v>
      </c>
      <c r="B262" s="283"/>
      <c r="C262" s="296"/>
      <c r="D262" s="310">
        <v>256119</v>
      </c>
      <c r="E262" s="326"/>
      <c r="F262" s="100">
        <f t="shared" si="3"/>
        <v>256119</v>
      </c>
      <c r="G262" t="s">
        <v>1351</v>
      </c>
      <c r="H262" s="267"/>
      <c r="I262" s="100"/>
    </row>
    <row r="263" spans="1:9">
      <c r="A263" s="13" t="s">
        <v>1505</v>
      </c>
      <c r="B263" s="284">
        <v>5875</v>
      </c>
      <c r="C263" s="296"/>
      <c r="D263" s="309"/>
      <c r="E263" s="326"/>
      <c r="F263" s="100">
        <f t="shared" si="3"/>
        <v>5875</v>
      </c>
      <c r="G263" t="s">
        <v>1351</v>
      </c>
      <c r="H263" s="263"/>
      <c r="I263" s="100"/>
    </row>
    <row r="264" spans="1:9">
      <c r="A264" s="13" t="s">
        <v>833</v>
      </c>
      <c r="B264" s="284">
        <v>6924</v>
      </c>
      <c r="C264" s="296"/>
      <c r="D264" s="309"/>
      <c r="E264" s="326"/>
      <c r="F264" s="100">
        <f t="shared" si="3"/>
        <v>6924</v>
      </c>
      <c r="G264" t="s">
        <v>1351</v>
      </c>
      <c r="H264" s="267"/>
      <c r="I264" s="100"/>
    </row>
    <row r="265" spans="1:9">
      <c r="A265" s="13" t="s">
        <v>1506</v>
      </c>
      <c r="B265" s="283"/>
      <c r="C265" s="297">
        <v>41010</v>
      </c>
      <c r="D265" s="309"/>
      <c r="E265" s="326"/>
      <c r="F265" s="100">
        <f t="shared" ref="F265:F328" si="4">B265+C265+D265+E265</f>
        <v>41010</v>
      </c>
      <c r="G265" t="s">
        <v>2108</v>
      </c>
      <c r="H265" s="267"/>
      <c r="I265" s="100"/>
    </row>
    <row r="266" spans="1:9">
      <c r="A266" s="13" t="s">
        <v>835</v>
      </c>
      <c r="B266" s="283"/>
      <c r="C266" s="296"/>
      <c r="D266" s="309"/>
      <c r="E266" s="325">
        <v>2000</v>
      </c>
      <c r="F266" s="100">
        <f t="shared" si="4"/>
        <v>2000</v>
      </c>
      <c r="G266" t="s">
        <v>2108</v>
      </c>
      <c r="H266" s="267"/>
      <c r="I266" s="100"/>
    </row>
    <row r="267" spans="1:9">
      <c r="A267" s="13" t="s">
        <v>2045</v>
      </c>
      <c r="B267" s="283"/>
      <c r="C267" s="296"/>
      <c r="D267" s="310">
        <v>138374</v>
      </c>
      <c r="E267" s="326"/>
      <c r="F267" s="100">
        <f t="shared" si="4"/>
        <v>138374</v>
      </c>
      <c r="G267" t="s">
        <v>1351</v>
      </c>
      <c r="H267" s="267"/>
      <c r="I267" s="100"/>
    </row>
    <row r="268" spans="1:9">
      <c r="A268" s="13" t="s">
        <v>1737</v>
      </c>
      <c r="B268" s="283"/>
      <c r="C268" s="296"/>
      <c r="D268" s="309"/>
      <c r="E268" s="325">
        <v>11728</v>
      </c>
      <c r="F268" s="100">
        <f t="shared" si="4"/>
        <v>11728</v>
      </c>
      <c r="G268" t="s">
        <v>2108</v>
      </c>
      <c r="H268" s="267"/>
      <c r="I268" s="100"/>
    </row>
    <row r="269" spans="1:9">
      <c r="A269" s="13" t="s">
        <v>2046</v>
      </c>
      <c r="B269" s="284">
        <v>1811</v>
      </c>
      <c r="C269" s="296"/>
      <c r="D269" s="309"/>
      <c r="E269" s="326"/>
      <c r="F269" s="100">
        <f t="shared" si="4"/>
        <v>1811</v>
      </c>
      <c r="G269" t="s">
        <v>1351</v>
      </c>
      <c r="H269" s="263"/>
      <c r="I269" s="100"/>
    </row>
    <row r="270" spans="1:9">
      <c r="A270" s="13" t="s">
        <v>2047</v>
      </c>
      <c r="B270" s="283"/>
      <c r="C270" s="296"/>
      <c r="D270" s="310">
        <v>265583</v>
      </c>
      <c r="E270" s="326"/>
      <c r="F270" s="100">
        <f t="shared" si="4"/>
        <v>265583</v>
      </c>
      <c r="G270" t="s">
        <v>1351</v>
      </c>
      <c r="H270" s="267"/>
      <c r="I270" s="100"/>
    </row>
    <row r="271" spans="1:9">
      <c r="A271" s="13" t="s">
        <v>836</v>
      </c>
      <c r="B271" s="283"/>
      <c r="C271" s="296"/>
      <c r="D271" s="310">
        <v>88647</v>
      </c>
      <c r="E271" s="326"/>
      <c r="F271" s="100">
        <f t="shared" si="4"/>
        <v>88647</v>
      </c>
      <c r="G271" t="s">
        <v>1351</v>
      </c>
      <c r="H271" s="267"/>
      <c r="I271" s="100"/>
    </row>
    <row r="272" spans="1:9">
      <c r="A272" s="13" t="s">
        <v>1243</v>
      </c>
      <c r="B272" s="283"/>
      <c r="C272" s="296"/>
      <c r="D272" s="310">
        <v>32269</v>
      </c>
      <c r="E272" s="326"/>
      <c r="F272" s="100">
        <f t="shared" si="4"/>
        <v>32269</v>
      </c>
      <c r="G272" t="s">
        <v>1351</v>
      </c>
      <c r="H272" s="267"/>
      <c r="I272" s="100"/>
    </row>
    <row r="273" spans="1:9">
      <c r="A273" s="13" t="s">
        <v>2048</v>
      </c>
      <c r="B273" s="283"/>
      <c r="C273" s="296"/>
      <c r="D273" s="310">
        <v>82384</v>
      </c>
      <c r="E273" s="326"/>
      <c r="F273" s="100">
        <f t="shared" si="4"/>
        <v>82384</v>
      </c>
      <c r="G273" t="s">
        <v>1351</v>
      </c>
      <c r="H273" s="263"/>
      <c r="I273" s="100"/>
    </row>
    <row r="274" spans="1:9">
      <c r="A274" s="13" t="s">
        <v>837</v>
      </c>
      <c r="B274" s="283"/>
      <c r="C274" s="296"/>
      <c r="D274" s="310">
        <v>75</v>
      </c>
      <c r="E274" s="326"/>
      <c r="F274" s="100">
        <f t="shared" si="4"/>
        <v>75</v>
      </c>
      <c r="G274" t="s">
        <v>1351</v>
      </c>
      <c r="H274" s="263"/>
      <c r="I274" s="100"/>
    </row>
    <row r="275" spans="1:9">
      <c r="A275" s="13" t="s">
        <v>838</v>
      </c>
      <c r="B275" s="283"/>
      <c r="C275" s="296"/>
      <c r="D275" s="310">
        <v>5578</v>
      </c>
      <c r="E275" s="326"/>
      <c r="F275" s="100">
        <f t="shared" si="4"/>
        <v>5578</v>
      </c>
      <c r="G275" t="s">
        <v>1351</v>
      </c>
      <c r="H275" s="267"/>
      <c r="I275" s="100"/>
    </row>
    <row r="276" spans="1:9">
      <c r="A276" s="13" t="s">
        <v>839</v>
      </c>
      <c r="B276" s="283"/>
      <c r="C276" s="296"/>
      <c r="D276" s="310">
        <v>22244</v>
      </c>
      <c r="E276" s="326"/>
      <c r="F276" s="100">
        <f t="shared" si="4"/>
        <v>22244</v>
      </c>
      <c r="G276" t="s">
        <v>1351</v>
      </c>
      <c r="H276" s="263"/>
      <c r="I276" s="100"/>
    </row>
    <row r="277" spans="1:9">
      <c r="A277" s="13" t="s">
        <v>840</v>
      </c>
      <c r="B277" s="283"/>
      <c r="C277" s="296"/>
      <c r="D277" s="310">
        <v>18095</v>
      </c>
      <c r="E277" s="326"/>
      <c r="F277" s="100">
        <f t="shared" si="4"/>
        <v>18095</v>
      </c>
      <c r="G277" t="s">
        <v>1351</v>
      </c>
      <c r="H277" s="267"/>
      <c r="I277" s="100"/>
    </row>
    <row r="278" spans="1:9">
      <c r="A278" s="13" t="s">
        <v>841</v>
      </c>
      <c r="B278" s="283"/>
      <c r="C278" s="296"/>
      <c r="D278" s="310">
        <v>31056</v>
      </c>
      <c r="E278" s="326"/>
      <c r="F278" s="100">
        <f t="shared" si="4"/>
        <v>31056</v>
      </c>
      <c r="G278" t="s">
        <v>1351</v>
      </c>
      <c r="H278" s="267"/>
      <c r="I278" s="100"/>
    </row>
    <row r="279" spans="1:9">
      <c r="A279" s="13" t="s">
        <v>842</v>
      </c>
      <c r="B279" s="283"/>
      <c r="C279" s="296"/>
      <c r="D279" s="310">
        <v>27512</v>
      </c>
      <c r="E279" s="326"/>
      <c r="F279" s="100">
        <f t="shared" si="4"/>
        <v>27512</v>
      </c>
      <c r="G279" t="s">
        <v>1351</v>
      </c>
      <c r="H279" s="267"/>
      <c r="I279" s="100"/>
    </row>
    <row r="280" spans="1:9">
      <c r="A280" s="13" t="s">
        <v>843</v>
      </c>
      <c r="B280" s="283"/>
      <c r="C280" s="296"/>
      <c r="D280" s="309"/>
      <c r="E280" s="325">
        <v>2000</v>
      </c>
      <c r="F280" s="100">
        <f t="shared" si="4"/>
        <v>2000</v>
      </c>
      <c r="G280" t="s">
        <v>2108</v>
      </c>
      <c r="H280" s="267"/>
      <c r="I280" s="100"/>
    </row>
    <row r="281" spans="1:9">
      <c r="A281" s="13" t="s">
        <v>844</v>
      </c>
      <c r="B281" s="283"/>
      <c r="C281" s="296"/>
      <c r="D281" s="309"/>
      <c r="E281" s="325">
        <v>2100</v>
      </c>
      <c r="F281" s="100">
        <f t="shared" si="4"/>
        <v>2100</v>
      </c>
      <c r="G281" t="s">
        <v>2108</v>
      </c>
      <c r="H281" s="267"/>
      <c r="I281" s="100"/>
    </row>
    <row r="282" spans="1:9">
      <c r="A282" s="13" t="s">
        <v>1841</v>
      </c>
      <c r="B282" s="284">
        <v>23368</v>
      </c>
      <c r="C282" s="296"/>
      <c r="D282" s="309"/>
      <c r="E282" s="326"/>
      <c r="F282" s="100">
        <f t="shared" si="4"/>
        <v>23368</v>
      </c>
      <c r="G282" t="s">
        <v>1351</v>
      </c>
      <c r="H282" s="267"/>
      <c r="I282" s="100"/>
    </row>
    <row r="283" spans="1:9">
      <c r="A283" s="13" t="s">
        <v>845</v>
      </c>
      <c r="B283" s="283"/>
      <c r="C283" s="296"/>
      <c r="D283" s="309"/>
      <c r="E283" s="325">
        <v>5745</v>
      </c>
      <c r="F283" s="100">
        <f t="shared" si="4"/>
        <v>5745</v>
      </c>
      <c r="G283" t="s">
        <v>2108</v>
      </c>
      <c r="H283" s="267"/>
      <c r="I283" s="100"/>
    </row>
    <row r="284" spans="1:9">
      <c r="A284" s="13" t="s">
        <v>846</v>
      </c>
      <c r="B284" s="283"/>
      <c r="C284" s="296"/>
      <c r="D284" s="310">
        <v>3188</v>
      </c>
      <c r="E284" s="326"/>
      <c r="F284" s="100">
        <f t="shared" si="4"/>
        <v>3188</v>
      </c>
      <c r="G284" t="s">
        <v>1351</v>
      </c>
      <c r="H284" s="267"/>
      <c r="I284" s="100"/>
    </row>
    <row r="285" spans="1:9">
      <c r="A285" s="13" t="s">
        <v>1516</v>
      </c>
      <c r="B285" s="283"/>
      <c r="C285" s="297">
        <v>60</v>
      </c>
      <c r="D285" s="309"/>
      <c r="E285" s="326"/>
      <c r="F285" s="100">
        <f t="shared" si="4"/>
        <v>60</v>
      </c>
      <c r="G285" t="s">
        <v>2108</v>
      </c>
      <c r="H285" s="267"/>
      <c r="I285" s="100"/>
    </row>
    <row r="286" spans="1:9">
      <c r="A286" s="13" t="s">
        <v>1234</v>
      </c>
      <c r="B286" s="284">
        <v>3752</v>
      </c>
      <c r="C286" s="296"/>
      <c r="D286" s="310">
        <v>204479.85</v>
      </c>
      <c r="E286" s="326"/>
      <c r="F286" s="100">
        <f t="shared" si="4"/>
        <v>208231.85</v>
      </c>
      <c r="G286" t="s">
        <v>1351</v>
      </c>
      <c r="H286" s="267"/>
      <c r="I286" s="100"/>
    </row>
    <row r="287" spans="1:9">
      <c r="A287" s="13" t="s">
        <v>1517</v>
      </c>
      <c r="B287" s="284">
        <v>29772</v>
      </c>
      <c r="C287" s="296"/>
      <c r="D287" s="309"/>
      <c r="E287" s="326"/>
      <c r="F287" s="100">
        <f t="shared" si="4"/>
        <v>29772</v>
      </c>
      <c r="G287" t="s">
        <v>1351</v>
      </c>
      <c r="H287" s="267"/>
      <c r="I287" s="100"/>
    </row>
    <row r="288" spans="1:9">
      <c r="A288" s="13" t="s">
        <v>849</v>
      </c>
      <c r="B288" s="283"/>
      <c r="C288" s="296"/>
      <c r="D288" s="309"/>
      <c r="E288" s="325">
        <v>1000</v>
      </c>
      <c r="F288" s="100">
        <f t="shared" si="4"/>
        <v>1000</v>
      </c>
      <c r="G288" t="s">
        <v>2108</v>
      </c>
      <c r="H288" s="263"/>
      <c r="I288" s="100"/>
    </row>
    <row r="289" spans="1:9">
      <c r="A289" s="13" t="s">
        <v>850</v>
      </c>
      <c r="B289" s="283"/>
      <c r="C289" s="296"/>
      <c r="D289" s="310">
        <v>2950</v>
      </c>
      <c r="E289" s="326"/>
      <c r="F289" s="100">
        <f t="shared" si="4"/>
        <v>2950</v>
      </c>
      <c r="G289" t="s">
        <v>1351</v>
      </c>
      <c r="H289" s="263"/>
      <c r="I289" s="100"/>
    </row>
    <row r="290" spans="1:9">
      <c r="A290" s="13" t="s">
        <v>1739</v>
      </c>
      <c r="B290" s="283"/>
      <c r="C290" s="296"/>
      <c r="D290" s="310">
        <v>5501</v>
      </c>
      <c r="E290" s="326"/>
      <c r="F290" s="100">
        <f t="shared" si="4"/>
        <v>5501</v>
      </c>
      <c r="G290" t="s">
        <v>1351</v>
      </c>
      <c r="H290" s="267"/>
      <c r="I290" s="100"/>
    </row>
    <row r="291" spans="1:9">
      <c r="A291" s="13" t="s">
        <v>1240</v>
      </c>
      <c r="B291" s="284">
        <v>15054</v>
      </c>
      <c r="C291" s="296"/>
      <c r="D291" s="309"/>
      <c r="E291" s="326"/>
      <c r="F291" s="100">
        <f t="shared" si="4"/>
        <v>15054</v>
      </c>
      <c r="G291" t="s">
        <v>1351</v>
      </c>
      <c r="H291" s="263"/>
      <c r="I291" s="100"/>
    </row>
    <row r="292" spans="1:9">
      <c r="A292" s="13" t="s">
        <v>854</v>
      </c>
      <c r="B292" s="283"/>
      <c r="C292" s="296"/>
      <c r="D292" s="309"/>
      <c r="E292" s="325">
        <v>2494</v>
      </c>
      <c r="F292" s="100">
        <f t="shared" si="4"/>
        <v>2494</v>
      </c>
      <c r="G292" t="s">
        <v>2108</v>
      </c>
      <c r="H292" s="267"/>
      <c r="I292" s="100"/>
    </row>
    <row r="293" spans="1:9">
      <c r="A293" s="13" t="s">
        <v>1521</v>
      </c>
      <c r="B293" s="283"/>
      <c r="C293" s="296"/>
      <c r="D293" s="309"/>
      <c r="E293" s="325">
        <v>1577</v>
      </c>
      <c r="F293" s="100">
        <f t="shared" si="4"/>
        <v>1577</v>
      </c>
      <c r="G293" t="s">
        <v>2108</v>
      </c>
      <c r="H293" s="263"/>
      <c r="I293" s="100"/>
    </row>
    <row r="294" spans="1:9">
      <c r="A294" s="13" t="s">
        <v>1743</v>
      </c>
      <c r="B294" s="283"/>
      <c r="C294" s="296"/>
      <c r="D294" s="310">
        <v>3530</v>
      </c>
      <c r="E294" s="326"/>
      <c r="F294" s="100">
        <f t="shared" si="4"/>
        <v>3530</v>
      </c>
      <c r="G294" t="s">
        <v>1351</v>
      </c>
      <c r="H294" s="267"/>
      <c r="I294" s="100"/>
    </row>
    <row r="295" spans="1:9">
      <c r="A295" s="13" t="s">
        <v>1744</v>
      </c>
      <c r="B295" s="283"/>
      <c r="C295" s="296"/>
      <c r="D295" s="310">
        <v>32292</v>
      </c>
      <c r="E295" s="326"/>
      <c r="F295" s="100">
        <f t="shared" si="4"/>
        <v>32292</v>
      </c>
      <c r="G295" t="s">
        <v>1351</v>
      </c>
      <c r="H295" s="263"/>
      <c r="I295" s="100"/>
    </row>
    <row r="296" spans="1:9">
      <c r="A296" s="13" t="s">
        <v>2052</v>
      </c>
      <c r="B296" s="283"/>
      <c r="C296" s="296"/>
      <c r="D296" s="310">
        <v>42762</v>
      </c>
      <c r="E296" s="326"/>
      <c r="F296" s="100">
        <f t="shared" si="4"/>
        <v>42762</v>
      </c>
      <c r="G296" t="s">
        <v>1351</v>
      </c>
      <c r="H296" s="267"/>
      <c r="I296" s="100"/>
    </row>
    <row r="297" spans="1:9">
      <c r="A297" s="13" t="s">
        <v>2053</v>
      </c>
      <c r="B297" s="283"/>
      <c r="C297" s="296"/>
      <c r="D297" s="310">
        <v>900100</v>
      </c>
      <c r="E297" s="326"/>
      <c r="F297" s="100">
        <f t="shared" si="4"/>
        <v>900100</v>
      </c>
      <c r="G297" t="s">
        <v>1351</v>
      </c>
      <c r="H297" s="267"/>
      <c r="I297" s="100"/>
    </row>
    <row r="298" spans="1:9">
      <c r="A298" s="13" t="s">
        <v>855</v>
      </c>
      <c r="B298" s="283"/>
      <c r="C298" s="296"/>
      <c r="D298" s="310">
        <v>1184066.7</v>
      </c>
      <c r="E298" s="326"/>
      <c r="F298" s="100">
        <f t="shared" si="4"/>
        <v>1184066.7</v>
      </c>
      <c r="G298" t="s">
        <v>1351</v>
      </c>
      <c r="H298" s="267"/>
      <c r="I298" s="100"/>
    </row>
    <row r="299" spans="1:9">
      <c r="A299" s="13" t="s">
        <v>1239</v>
      </c>
      <c r="B299" s="283"/>
      <c r="C299" s="296"/>
      <c r="D299" s="310">
        <v>1500</v>
      </c>
      <c r="E299" s="326"/>
      <c r="F299" s="100">
        <f t="shared" si="4"/>
        <v>1500</v>
      </c>
      <c r="G299" t="s">
        <v>1351</v>
      </c>
      <c r="H299" s="263"/>
      <c r="I299" s="100"/>
    </row>
    <row r="300" spans="1:9">
      <c r="A300" s="13" t="s">
        <v>256</v>
      </c>
      <c r="B300" s="283"/>
      <c r="C300" s="296"/>
      <c r="D300" s="310">
        <v>233932443.25</v>
      </c>
      <c r="E300" s="326"/>
      <c r="F300" s="100">
        <f t="shared" si="4"/>
        <v>233932443.25</v>
      </c>
      <c r="G300" t="s">
        <v>1351</v>
      </c>
      <c r="H300" s="263"/>
      <c r="I300" s="100"/>
    </row>
    <row r="301" spans="1:9">
      <c r="A301" s="13" t="s">
        <v>856</v>
      </c>
      <c r="B301" s="283"/>
      <c r="C301" s="297">
        <v>3682429</v>
      </c>
      <c r="D301" s="309"/>
      <c r="E301" s="326"/>
      <c r="F301" s="100">
        <f t="shared" si="4"/>
        <v>3682429</v>
      </c>
      <c r="G301" t="s">
        <v>2108</v>
      </c>
      <c r="H301" s="267"/>
      <c r="I301" s="100"/>
    </row>
    <row r="302" spans="1:9">
      <c r="A302" s="13" t="s">
        <v>857</v>
      </c>
      <c r="B302" s="283"/>
      <c r="C302" s="297">
        <v>155952519</v>
      </c>
      <c r="D302" s="309"/>
      <c r="E302" s="326"/>
      <c r="F302" s="100">
        <f t="shared" si="4"/>
        <v>155952519</v>
      </c>
      <c r="G302" t="s">
        <v>2108</v>
      </c>
      <c r="H302" s="267"/>
      <c r="I302" s="100"/>
    </row>
    <row r="303" spans="1:9">
      <c r="A303" s="13" t="s">
        <v>858</v>
      </c>
      <c r="B303" s="283"/>
      <c r="C303" s="297">
        <v>74297495.25</v>
      </c>
      <c r="D303" s="309"/>
      <c r="E303" s="326"/>
      <c r="F303" s="100">
        <f t="shared" si="4"/>
        <v>74297495.25</v>
      </c>
      <c r="G303" t="s">
        <v>2108</v>
      </c>
      <c r="H303" s="267"/>
      <c r="I303" s="100"/>
    </row>
    <row r="304" spans="1:9">
      <c r="A304" s="13" t="s">
        <v>859</v>
      </c>
      <c r="B304" s="283"/>
      <c r="C304" s="296"/>
      <c r="D304" s="310">
        <v>10812</v>
      </c>
      <c r="E304" s="326"/>
      <c r="F304" s="100">
        <f t="shared" si="4"/>
        <v>10812</v>
      </c>
      <c r="G304" t="s">
        <v>1351</v>
      </c>
      <c r="H304" s="267"/>
      <c r="I304" s="100"/>
    </row>
    <row r="305" spans="1:9">
      <c r="A305" s="13" t="s">
        <v>860</v>
      </c>
      <c r="B305" s="283"/>
      <c r="C305" s="296"/>
      <c r="D305" s="310">
        <v>6042</v>
      </c>
      <c r="E305" s="326"/>
      <c r="F305" s="100">
        <f t="shared" si="4"/>
        <v>6042</v>
      </c>
      <c r="G305" t="s">
        <v>1351</v>
      </c>
      <c r="H305" s="267"/>
      <c r="I305" s="100"/>
    </row>
    <row r="306" spans="1:9">
      <c r="A306" s="13" t="s">
        <v>861</v>
      </c>
      <c r="B306" s="283"/>
      <c r="C306" s="296"/>
      <c r="D306" s="309"/>
      <c r="E306" s="325">
        <v>6589</v>
      </c>
      <c r="F306" s="100">
        <f t="shared" si="4"/>
        <v>6589</v>
      </c>
      <c r="G306" t="s">
        <v>2108</v>
      </c>
      <c r="H306" s="267"/>
      <c r="I306" s="100"/>
    </row>
    <row r="307" spans="1:9">
      <c r="A307" s="13" t="s">
        <v>2054</v>
      </c>
      <c r="B307" s="283"/>
      <c r="C307" s="296"/>
      <c r="D307" s="310">
        <v>38664</v>
      </c>
      <c r="E307" s="326"/>
      <c r="F307" s="100">
        <f t="shared" si="4"/>
        <v>38664</v>
      </c>
      <c r="G307" t="s">
        <v>1351</v>
      </c>
      <c r="H307" s="267"/>
      <c r="I307" s="100"/>
    </row>
    <row r="308" spans="1:9">
      <c r="A308" s="13" t="s">
        <v>1529</v>
      </c>
      <c r="B308" s="283"/>
      <c r="C308" s="296"/>
      <c r="D308" s="310">
        <v>50068</v>
      </c>
      <c r="E308" s="326"/>
      <c r="F308" s="100">
        <f t="shared" si="4"/>
        <v>50068</v>
      </c>
      <c r="G308" t="s">
        <v>1351</v>
      </c>
      <c r="H308" s="263"/>
      <c r="I308" s="100"/>
    </row>
    <row r="309" spans="1:9">
      <c r="A309" s="13" t="s">
        <v>1237</v>
      </c>
      <c r="B309" s="284">
        <v>69540</v>
      </c>
      <c r="C309" s="296"/>
      <c r="D309" s="309"/>
      <c r="E309" s="326"/>
      <c r="F309" s="100">
        <f t="shared" si="4"/>
        <v>69540</v>
      </c>
      <c r="G309" t="s">
        <v>1351</v>
      </c>
      <c r="H309" s="263"/>
      <c r="I309" s="100"/>
    </row>
    <row r="310" spans="1:9">
      <c r="A310" s="13" t="s">
        <v>863</v>
      </c>
      <c r="B310" s="284">
        <v>6023</v>
      </c>
      <c r="C310" s="296"/>
      <c r="D310" s="309"/>
      <c r="E310" s="326"/>
      <c r="F310" s="100">
        <f t="shared" si="4"/>
        <v>6023</v>
      </c>
      <c r="G310" t="s">
        <v>1351</v>
      </c>
      <c r="H310" s="263"/>
      <c r="I310" s="100"/>
    </row>
    <row r="311" spans="1:9">
      <c r="A311" s="13" t="s">
        <v>1089</v>
      </c>
      <c r="B311" s="284">
        <v>40029.199999999997</v>
      </c>
      <c r="C311" s="296"/>
      <c r="D311" s="309"/>
      <c r="E311" s="326"/>
      <c r="F311" s="100">
        <f t="shared" si="4"/>
        <v>40029.199999999997</v>
      </c>
      <c r="G311" t="s">
        <v>1351</v>
      </c>
      <c r="H311" s="267"/>
      <c r="I311" s="100"/>
    </row>
    <row r="312" spans="1:9">
      <c r="A312" s="13" t="s">
        <v>1236</v>
      </c>
      <c r="B312" s="284">
        <v>38444</v>
      </c>
      <c r="C312" s="296"/>
      <c r="D312" s="309"/>
      <c r="E312" s="326"/>
      <c r="F312" s="100">
        <f t="shared" si="4"/>
        <v>38444</v>
      </c>
      <c r="G312" t="s">
        <v>1351</v>
      </c>
      <c r="H312" s="267"/>
      <c r="I312" s="100"/>
    </row>
    <row r="313" spans="1:9">
      <c r="A313" s="13" t="s">
        <v>1235</v>
      </c>
      <c r="B313" s="283"/>
      <c r="C313" s="296"/>
      <c r="D313" s="309"/>
      <c r="E313" s="325">
        <v>2987</v>
      </c>
      <c r="F313" s="100">
        <f t="shared" si="4"/>
        <v>2987</v>
      </c>
      <c r="G313" t="s">
        <v>2108</v>
      </c>
      <c r="H313" s="263"/>
      <c r="I313" s="100"/>
    </row>
    <row r="314" spans="1:9">
      <c r="A314" s="13" t="s">
        <v>864</v>
      </c>
      <c r="B314" s="283"/>
      <c r="C314" s="296"/>
      <c r="D314" s="310">
        <v>19090</v>
      </c>
      <c r="E314" s="326"/>
      <c r="F314" s="100">
        <f t="shared" si="4"/>
        <v>19090</v>
      </c>
      <c r="G314" t="s">
        <v>1351</v>
      </c>
      <c r="H314" s="267"/>
      <c r="I314" s="100"/>
    </row>
    <row r="315" spans="1:9">
      <c r="A315" s="13" t="s">
        <v>865</v>
      </c>
      <c r="B315" s="283"/>
      <c r="C315" s="296"/>
      <c r="D315" s="310">
        <v>6188</v>
      </c>
      <c r="E315" s="326"/>
      <c r="F315" s="100">
        <f t="shared" si="4"/>
        <v>6188</v>
      </c>
      <c r="G315" t="s">
        <v>1351</v>
      </c>
      <c r="H315" s="267"/>
      <c r="I315" s="100"/>
    </row>
    <row r="316" spans="1:9">
      <c r="A316" s="13" t="s">
        <v>866</v>
      </c>
      <c r="B316" s="283"/>
      <c r="C316" s="296"/>
      <c r="D316" s="310">
        <v>6576</v>
      </c>
      <c r="E316" s="326"/>
      <c r="F316" s="100">
        <f t="shared" si="4"/>
        <v>6576</v>
      </c>
      <c r="G316" t="s">
        <v>1351</v>
      </c>
      <c r="H316" s="267"/>
      <c r="I316" s="100"/>
    </row>
    <row r="317" spans="1:9">
      <c r="A317" s="13" t="s">
        <v>867</v>
      </c>
      <c r="B317" s="283"/>
      <c r="C317" s="296"/>
      <c r="D317" s="310">
        <v>486</v>
      </c>
      <c r="E317" s="326"/>
      <c r="F317" s="100">
        <f t="shared" si="4"/>
        <v>486</v>
      </c>
      <c r="G317" t="s">
        <v>1351</v>
      </c>
      <c r="H317" s="267"/>
      <c r="I317" s="100"/>
    </row>
    <row r="318" spans="1:9">
      <c r="A318" s="13" t="s">
        <v>868</v>
      </c>
      <c r="B318" s="283"/>
      <c r="C318" s="296"/>
      <c r="D318" s="310">
        <v>2101</v>
      </c>
      <c r="E318" s="326"/>
      <c r="F318" s="100">
        <f t="shared" si="4"/>
        <v>2101</v>
      </c>
      <c r="G318" t="s">
        <v>1351</v>
      </c>
      <c r="H318" s="267"/>
      <c r="I318" s="100"/>
    </row>
    <row r="319" spans="1:9">
      <c r="A319" s="13" t="s">
        <v>869</v>
      </c>
      <c r="B319" s="283"/>
      <c r="C319" s="296"/>
      <c r="D319" s="309"/>
      <c r="E319" s="325">
        <v>300</v>
      </c>
      <c r="F319" s="100">
        <f t="shared" si="4"/>
        <v>300</v>
      </c>
      <c r="G319" t="s">
        <v>2108</v>
      </c>
      <c r="H319" s="267"/>
      <c r="I319" s="100"/>
    </row>
    <row r="320" spans="1:9">
      <c r="A320" s="13" t="s">
        <v>1530</v>
      </c>
      <c r="B320" s="284">
        <v>18273</v>
      </c>
      <c r="C320" s="296"/>
      <c r="D320" s="309"/>
      <c r="E320" s="326"/>
      <c r="F320" s="100">
        <f t="shared" si="4"/>
        <v>18273</v>
      </c>
      <c r="G320" t="s">
        <v>1351</v>
      </c>
      <c r="H320" s="263"/>
      <c r="I320" s="100"/>
    </row>
    <row r="321" spans="1:9">
      <c r="A321" s="1" t="s">
        <v>101</v>
      </c>
      <c r="B321" s="341"/>
      <c r="C321" s="109"/>
      <c r="D321" s="342">
        <v>310631.7</v>
      </c>
      <c r="E321" s="204">
        <v>37399.699999999997</v>
      </c>
      <c r="F321" s="100">
        <f>D321-E321</f>
        <v>273232</v>
      </c>
      <c r="G321" t="s">
        <v>1351</v>
      </c>
      <c r="H321" s="267"/>
      <c r="I321" s="100"/>
    </row>
    <row r="322" spans="1:9">
      <c r="A322" s="13" t="s">
        <v>870</v>
      </c>
      <c r="B322" s="281"/>
      <c r="C322" s="294"/>
      <c r="D322" s="311">
        <v>2171.5</v>
      </c>
      <c r="E322" s="327"/>
      <c r="F322" s="100">
        <f t="shared" si="4"/>
        <v>2171.5</v>
      </c>
      <c r="G322" t="s">
        <v>1351</v>
      </c>
      <c r="H322" s="267"/>
      <c r="I322" s="100"/>
    </row>
    <row r="323" spans="1:9">
      <c r="A323" s="13" t="s">
        <v>871</v>
      </c>
      <c r="B323" s="283"/>
      <c r="C323" s="296"/>
      <c r="D323" s="310">
        <v>1922.5</v>
      </c>
      <c r="E323" s="326"/>
      <c r="F323" s="100">
        <f t="shared" si="4"/>
        <v>1922.5</v>
      </c>
      <c r="G323" t="s">
        <v>1351</v>
      </c>
      <c r="H323" s="267"/>
      <c r="I323" s="100"/>
    </row>
    <row r="324" spans="1:9">
      <c r="A324" s="13" t="s">
        <v>873</v>
      </c>
      <c r="B324" s="283"/>
      <c r="C324" s="296"/>
      <c r="D324" s="310">
        <v>2037</v>
      </c>
      <c r="E324" s="326"/>
      <c r="F324" s="100">
        <f t="shared" si="4"/>
        <v>2037</v>
      </c>
      <c r="G324" t="s">
        <v>1351</v>
      </c>
      <c r="H324" s="267"/>
      <c r="I324" s="100"/>
    </row>
    <row r="325" spans="1:9">
      <c r="A325" s="13" t="s">
        <v>874</v>
      </c>
      <c r="B325" s="283"/>
      <c r="C325" s="296"/>
      <c r="D325" s="310">
        <v>23534.2</v>
      </c>
      <c r="E325" s="326"/>
      <c r="F325" s="100">
        <f t="shared" si="4"/>
        <v>23534.2</v>
      </c>
      <c r="G325" t="s">
        <v>1351</v>
      </c>
      <c r="H325" s="267"/>
      <c r="I325" s="100"/>
    </row>
    <row r="326" spans="1:9">
      <c r="A326" s="13" t="s">
        <v>875</v>
      </c>
      <c r="B326" s="283"/>
      <c r="C326" s="296"/>
      <c r="D326" s="310">
        <v>908</v>
      </c>
      <c r="E326" s="326"/>
      <c r="F326" s="100">
        <f t="shared" si="4"/>
        <v>908</v>
      </c>
      <c r="G326" t="s">
        <v>1351</v>
      </c>
      <c r="H326" s="263"/>
      <c r="I326" s="100"/>
    </row>
    <row r="327" spans="1:9">
      <c r="A327" s="13" t="s">
        <v>1747</v>
      </c>
      <c r="B327" s="283"/>
      <c r="C327" s="296"/>
      <c r="D327" s="310">
        <v>29105</v>
      </c>
      <c r="E327" s="326"/>
      <c r="F327" s="100">
        <f t="shared" si="4"/>
        <v>29105</v>
      </c>
      <c r="G327" t="s">
        <v>1351</v>
      </c>
      <c r="H327" s="267"/>
      <c r="I327" s="100"/>
    </row>
    <row r="328" spans="1:9">
      <c r="A328" s="13" t="s">
        <v>876</v>
      </c>
      <c r="B328" s="283"/>
      <c r="C328" s="296"/>
      <c r="D328" s="310">
        <v>5128</v>
      </c>
      <c r="E328" s="326"/>
      <c r="F328" s="100">
        <f t="shared" si="4"/>
        <v>5128</v>
      </c>
      <c r="G328" t="s">
        <v>1351</v>
      </c>
      <c r="H328" s="267"/>
      <c r="I328" s="100"/>
    </row>
    <row r="329" spans="1:9">
      <c r="A329" s="13" t="s">
        <v>2057</v>
      </c>
      <c r="B329" s="283"/>
      <c r="C329" s="296"/>
      <c r="D329" s="310">
        <v>15000</v>
      </c>
      <c r="E329" s="326"/>
      <c r="F329" s="100">
        <f t="shared" ref="F329:F350" si="5">B329+C329+D329+E329</f>
        <v>15000</v>
      </c>
      <c r="G329" t="s">
        <v>1351</v>
      </c>
      <c r="H329" s="270"/>
      <c r="I329" s="100"/>
    </row>
    <row r="330" spans="1:9">
      <c r="A330" s="13" t="s">
        <v>877</v>
      </c>
      <c r="B330" s="283"/>
      <c r="C330" s="296"/>
      <c r="D330" s="310">
        <v>169004</v>
      </c>
      <c r="E330" s="326"/>
      <c r="F330" s="100">
        <f t="shared" si="5"/>
        <v>169004</v>
      </c>
      <c r="G330" t="s">
        <v>1351</v>
      </c>
      <c r="H330" s="267"/>
      <c r="I330" s="100"/>
    </row>
    <row r="331" spans="1:9">
      <c r="A331" s="13" t="s">
        <v>2062</v>
      </c>
      <c r="B331" s="283"/>
      <c r="C331" s="296"/>
      <c r="D331" s="309"/>
      <c r="E331" s="325">
        <v>3000</v>
      </c>
      <c r="F331" s="100">
        <f t="shared" si="5"/>
        <v>3000</v>
      </c>
      <c r="G331" t="s">
        <v>2108</v>
      </c>
      <c r="H331" s="267"/>
      <c r="I331" s="100"/>
    </row>
    <row r="332" spans="1:9">
      <c r="A332" s="13" t="s">
        <v>879</v>
      </c>
      <c r="B332" s="283"/>
      <c r="C332" s="296"/>
      <c r="D332" s="309"/>
      <c r="E332" s="325">
        <v>24410</v>
      </c>
      <c r="F332" s="100">
        <f t="shared" si="5"/>
        <v>24410</v>
      </c>
      <c r="G332" t="s">
        <v>2108</v>
      </c>
      <c r="H332" s="267"/>
      <c r="I332" s="100"/>
    </row>
    <row r="333" spans="1:9">
      <c r="A333" s="13" t="s">
        <v>2063</v>
      </c>
      <c r="B333" s="283"/>
      <c r="C333" s="296"/>
      <c r="D333" s="309"/>
      <c r="E333" s="325">
        <v>6000</v>
      </c>
      <c r="F333" s="100">
        <f t="shared" si="5"/>
        <v>6000</v>
      </c>
      <c r="G333" t="s">
        <v>2108</v>
      </c>
      <c r="H333" s="267"/>
      <c r="I333" s="100"/>
    </row>
    <row r="334" spans="1:9">
      <c r="A334" s="13" t="s">
        <v>1532</v>
      </c>
      <c r="B334" s="283"/>
      <c r="C334" s="296"/>
      <c r="D334" s="309"/>
      <c r="E334" s="325">
        <v>1</v>
      </c>
      <c r="F334" s="100">
        <f t="shared" si="5"/>
        <v>1</v>
      </c>
      <c r="G334" t="s">
        <v>2108</v>
      </c>
      <c r="H334" s="267"/>
      <c r="I334" s="100"/>
    </row>
    <row r="335" spans="1:9">
      <c r="A335" s="13" t="s">
        <v>880</v>
      </c>
      <c r="B335" s="283"/>
      <c r="C335" s="296"/>
      <c r="D335" s="310">
        <v>4362.5</v>
      </c>
      <c r="E335" s="326"/>
      <c r="F335" s="100">
        <f t="shared" si="5"/>
        <v>4362.5</v>
      </c>
      <c r="G335" t="s">
        <v>1351</v>
      </c>
      <c r="H335" s="267"/>
      <c r="I335" s="100"/>
    </row>
    <row r="336" spans="1:9">
      <c r="A336" s="13" t="s">
        <v>1533</v>
      </c>
      <c r="B336" s="283"/>
      <c r="C336" s="296"/>
      <c r="D336" s="310">
        <v>11866</v>
      </c>
      <c r="E336" s="326"/>
      <c r="F336" s="100">
        <f t="shared" si="5"/>
        <v>11866</v>
      </c>
      <c r="G336" t="s">
        <v>1351</v>
      </c>
      <c r="H336" s="267"/>
      <c r="I336" s="100"/>
    </row>
    <row r="337" spans="1:9">
      <c r="A337" s="13" t="s">
        <v>1534</v>
      </c>
      <c r="B337" s="283"/>
      <c r="C337" s="296"/>
      <c r="D337" s="310">
        <v>4415</v>
      </c>
      <c r="E337" s="326"/>
      <c r="F337" s="100">
        <f t="shared" si="5"/>
        <v>4415</v>
      </c>
      <c r="G337" t="s">
        <v>1351</v>
      </c>
      <c r="H337" s="267"/>
      <c r="I337" s="100"/>
    </row>
    <row r="338" spans="1:9">
      <c r="A338" s="13" t="s">
        <v>883</v>
      </c>
      <c r="B338" s="283"/>
      <c r="C338" s="296"/>
      <c r="D338" s="310">
        <v>6125</v>
      </c>
      <c r="E338" s="326"/>
      <c r="F338" s="100">
        <f t="shared" si="5"/>
        <v>6125</v>
      </c>
      <c r="G338" t="s">
        <v>1351</v>
      </c>
      <c r="H338" s="267"/>
      <c r="I338" s="100"/>
    </row>
    <row r="339" spans="1:9">
      <c r="A339" s="13" t="s">
        <v>884</v>
      </c>
      <c r="B339" s="283"/>
      <c r="C339" s="296"/>
      <c r="D339" s="309"/>
      <c r="E339" s="325">
        <v>3988.7</v>
      </c>
      <c r="F339" s="100">
        <f t="shared" si="5"/>
        <v>3988.7</v>
      </c>
      <c r="G339" t="s">
        <v>2108</v>
      </c>
      <c r="H339" s="263"/>
      <c r="I339" s="100"/>
    </row>
    <row r="340" spans="1:9">
      <c r="A340" s="13" t="s">
        <v>885</v>
      </c>
      <c r="B340" s="283"/>
      <c r="C340" s="296"/>
      <c r="D340" s="310">
        <v>5134</v>
      </c>
      <c r="E340" s="326"/>
      <c r="F340" s="100">
        <f t="shared" si="5"/>
        <v>5134</v>
      </c>
      <c r="G340" t="s">
        <v>1351</v>
      </c>
      <c r="H340" s="263"/>
      <c r="I340" s="100"/>
    </row>
    <row r="341" spans="1:9">
      <c r="A341" s="13" t="s">
        <v>1748</v>
      </c>
      <c r="B341" s="283"/>
      <c r="C341" s="296"/>
      <c r="D341" s="310">
        <v>18383</v>
      </c>
      <c r="E341" s="326"/>
      <c r="F341" s="100">
        <f t="shared" si="5"/>
        <v>18383</v>
      </c>
      <c r="G341" t="s">
        <v>1351</v>
      </c>
      <c r="H341" s="263"/>
      <c r="I341" s="100"/>
    </row>
    <row r="342" spans="1:9">
      <c r="A342" s="13" t="s">
        <v>2065</v>
      </c>
      <c r="B342" s="283"/>
      <c r="C342" s="296"/>
      <c r="D342" s="310">
        <v>886</v>
      </c>
      <c r="E342" s="326"/>
      <c r="F342" s="100">
        <f t="shared" si="5"/>
        <v>886</v>
      </c>
      <c r="G342" t="s">
        <v>1351</v>
      </c>
      <c r="H342" s="263"/>
      <c r="I342" s="100"/>
    </row>
    <row r="343" spans="1:9">
      <c r="A343" s="13" t="s">
        <v>2066</v>
      </c>
      <c r="B343" s="283"/>
      <c r="C343" s="296"/>
      <c r="D343" s="310">
        <v>1495</v>
      </c>
      <c r="E343" s="326"/>
      <c r="F343" s="100">
        <f t="shared" si="5"/>
        <v>1495</v>
      </c>
      <c r="G343" t="s">
        <v>1351</v>
      </c>
      <c r="H343" s="267"/>
      <c r="I343" s="100"/>
    </row>
    <row r="344" spans="1:9">
      <c r="A344" s="13" t="s">
        <v>1749</v>
      </c>
      <c r="B344" s="283"/>
      <c r="C344" s="296"/>
      <c r="D344" s="310">
        <v>3000</v>
      </c>
      <c r="E344" s="326"/>
      <c r="F344" s="100">
        <f t="shared" si="5"/>
        <v>3000</v>
      </c>
      <c r="G344" t="s">
        <v>1351</v>
      </c>
      <c r="H344" s="267"/>
      <c r="I344" s="100"/>
    </row>
    <row r="345" spans="1:9">
      <c r="A345" s="13" t="s">
        <v>887</v>
      </c>
      <c r="B345" s="283"/>
      <c r="C345" s="296"/>
      <c r="D345" s="310">
        <v>500</v>
      </c>
      <c r="E345" s="326"/>
      <c r="F345" s="100">
        <f t="shared" si="5"/>
        <v>500</v>
      </c>
      <c r="G345" t="s">
        <v>1351</v>
      </c>
      <c r="H345" s="267"/>
      <c r="I345" s="100"/>
    </row>
    <row r="346" spans="1:9">
      <c r="A346" s="13" t="s">
        <v>888</v>
      </c>
      <c r="B346" s="283"/>
      <c r="C346" s="296"/>
      <c r="D346" s="310">
        <v>750</v>
      </c>
      <c r="E346" s="326"/>
      <c r="F346" s="100">
        <f t="shared" si="5"/>
        <v>750</v>
      </c>
      <c r="G346" t="s">
        <v>1351</v>
      </c>
      <c r="H346" s="267"/>
      <c r="I346" s="100"/>
    </row>
    <row r="347" spans="1:9">
      <c r="A347" s="13" t="s">
        <v>889</v>
      </c>
      <c r="B347" s="283"/>
      <c r="C347" s="296"/>
      <c r="D347" s="310">
        <v>1500</v>
      </c>
      <c r="E347" s="326"/>
      <c r="F347" s="100">
        <f t="shared" si="5"/>
        <v>1500</v>
      </c>
      <c r="G347" t="s">
        <v>1351</v>
      </c>
      <c r="H347" s="263"/>
      <c r="I347" s="100"/>
    </row>
    <row r="348" spans="1:9">
      <c r="A348" s="13" t="s">
        <v>1750</v>
      </c>
      <c r="B348" s="283"/>
      <c r="C348" s="296"/>
      <c r="D348" s="310">
        <v>3405</v>
      </c>
      <c r="E348" s="326"/>
      <c r="F348" s="100">
        <f t="shared" si="5"/>
        <v>3405</v>
      </c>
      <c r="G348" t="s">
        <v>1351</v>
      </c>
      <c r="H348" s="267"/>
      <c r="I348" s="100"/>
    </row>
    <row r="349" spans="1:9">
      <c r="A349" s="1" t="s">
        <v>102</v>
      </c>
      <c r="B349" s="341"/>
      <c r="C349" s="109"/>
      <c r="D349" s="347"/>
      <c r="E349" s="204">
        <v>290306480.25999999</v>
      </c>
      <c r="F349" s="100">
        <f t="shared" si="5"/>
        <v>290306480.25999999</v>
      </c>
      <c r="G349" t="s">
        <v>1351</v>
      </c>
      <c r="H349" s="267"/>
      <c r="I349" s="100"/>
    </row>
    <row r="350" spans="1:9">
      <c r="A350" s="13" t="s">
        <v>103</v>
      </c>
      <c r="B350" s="281"/>
      <c r="C350" s="294"/>
      <c r="D350" s="307"/>
      <c r="E350" s="323">
        <v>290306480.25999999</v>
      </c>
      <c r="F350" s="100">
        <f t="shared" si="5"/>
        <v>290306480.25999999</v>
      </c>
      <c r="G350" t="s">
        <v>1351</v>
      </c>
      <c r="H350" s="267"/>
      <c r="I350" s="100"/>
    </row>
    <row r="351" spans="1:9">
      <c r="A351" s="1" t="s">
        <v>104</v>
      </c>
      <c r="B351" s="348">
        <v>19122705.600000001</v>
      </c>
      <c r="C351" s="109"/>
      <c r="D351" s="342">
        <v>43583859.469999999</v>
      </c>
      <c r="E351" s="204">
        <v>7976893</v>
      </c>
      <c r="F351" s="100">
        <f>D351+B351-E351</f>
        <v>54729672.07</v>
      </c>
      <c r="G351" t="s">
        <v>1351</v>
      </c>
      <c r="H351" s="267"/>
      <c r="I351" s="100"/>
    </row>
    <row r="352" spans="1:9">
      <c r="A352" s="13" t="s">
        <v>105</v>
      </c>
      <c r="B352" s="281"/>
      <c r="C352" s="294"/>
      <c r="D352" s="311">
        <v>718783</v>
      </c>
      <c r="E352" s="327"/>
      <c r="F352" s="100">
        <f t="shared" ref="F352:F392" si="6">B352+C352+D352+E352</f>
        <v>718783</v>
      </c>
      <c r="G352" t="s">
        <v>1351</v>
      </c>
      <c r="H352" s="267"/>
      <c r="I352" s="100"/>
    </row>
    <row r="353" spans="1:9">
      <c r="A353" s="13" t="s">
        <v>115</v>
      </c>
      <c r="B353" s="284">
        <v>135500</v>
      </c>
      <c r="C353" s="296"/>
      <c r="D353" s="310">
        <v>477793</v>
      </c>
      <c r="E353" s="326"/>
      <c r="F353" s="100">
        <f t="shared" si="6"/>
        <v>613293</v>
      </c>
      <c r="G353" t="s">
        <v>1351</v>
      </c>
      <c r="H353" s="267"/>
      <c r="I353" s="100"/>
    </row>
    <row r="354" spans="1:9">
      <c r="A354" s="13" t="s">
        <v>116</v>
      </c>
      <c r="B354" s="284">
        <v>516310</v>
      </c>
      <c r="C354" s="296"/>
      <c r="D354" s="310">
        <v>1885467</v>
      </c>
      <c r="E354" s="326"/>
      <c r="F354" s="100">
        <f t="shared" si="6"/>
        <v>2401777</v>
      </c>
      <c r="G354" t="s">
        <v>1351</v>
      </c>
      <c r="H354" s="267"/>
      <c r="I354" s="100"/>
    </row>
    <row r="355" spans="1:9">
      <c r="A355" s="13" t="s">
        <v>2069</v>
      </c>
      <c r="B355" s="284">
        <v>51800</v>
      </c>
      <c r="C355" s="296"/>
      <c r="D355" s="310">
        <v>213480</v>
      </c>
      <c r="E355" s="326"/>
      <c r="F355" s="100">
        <f t="shared" si="6"/>
        <v>265280</v>
      </c>
      <c r="G355" t="s">
        <v>1351</v>
      </c>
      <c r="H355" s="267"/>
      <c r="I355" s="100"/>
    </row>
    <row r="356" spans="1:9">
      <c r="A356" s="13" t="s">
        <v>2070</v>
      </c>
      <c r="B356" s="284">
        <v>30200</v>
      </c>
      <c r="C356" s="296"/>
      <c r="D356" s="309"/>
      <c r="E356" s="326"/>
      <c r="F356" s="100">
        <f t="shared" si="6"/>
        <v>30200</v>
      </c>
      <c r="G356" t="s">
        <v>1351</v>
      </c>
      <c r="H356" s="267"/>
      <c r="I356" s="100"/>
    </row>
    <row r="357" spans="1:9">
      <c r="A357" s="13" t="s">
        <v>106</v>
      </c>
      <c r="B357" s="283"/>
      <c r="C357" s="296"/>
      <c r="D357" s="310">
        <v>293714</v>
      </c>
      <c r="E357" s="326"/>
      <c r="F357" s="100">
        <f t="shared" si="6"/>
        <v>293714</v>
      </c>
      <c r="G357" t="s">
        <v>1351</v>
      </c>
      <c r="H357" s="264"/>
      <c r="I357" s="100"/>
    </row>
    <row r="358" spans="1:9">
      <c r="A358" s="13" t="s">
        <v>107</v>
      </c>
      <c r="B358" s="283"/>
      <c r="C358" s="296"/>
      <c r="D358" s="310">
        <v>203156</v>
      </c>
      <c r="E358" s="326"/>
      <c r="F358" s="100">
        <f t="shared" si="6"/>
        <v>203156</v>
      </c>
      <c r="G358" t="s">
        <v>1351</v>
      </c>
      <c r="H358" s="263"/>
      <c r="I358" s="100"/>
    </row>
    <row r="359" spans="1:9">
      <c r="A359" s="13" t="s">
        <v>1232</v>
      </c>
      <c r="B359" s="283"/>
      <c r="C359" s="296"/>
      <c r="D359" s="310">
        <v>684909.4</v>
      </c>
      <c r="E359" s="326"/>
      <c r="F359" s="100">
        <f t="shared" si="6"/>
        <v>684909.4</v>
      </c>
      <c r="G359" t="s">
        <v>1351</v>
      </c>
      <c r="H359" s="270"/>
      <c r="I359" s="100"/>
    </row>
    <row r="360" spans="1:9">
      <c r="A360" s="13" t="s">
        <v>108</v>
      </c>
      <c r="B360" s="283"/>
      <c r="C360" s="296"/>
      <c r="D360" s="310">
        <v>460157</v>
      </c>
      <c r="E360" s="326"/>
      <c r="F360" s="100">
        <f t="shared" si="6"/>
        <v>460157</v>
      </c>
      <c r="G360" t="s">
        <v>1351</v>
      </c>
      <c r="H360" s="267"/>
      <c r="I360" s="100"/>
    </row>
    <row r="361" spans="1:9">
      <c r="A361" s="16" t="s">
        <v>2071</v>
      </c>
      <c r="B361" s="284">
        <v>1562353</v>
      </c>
      <c r="C361" s="296"/>
      <c r="D361" s="310">
        <v>114650</v>
      </c>
      <c r="E361" s="326"/>
      <c r="F361" s="100">
        <f t="shared" si="6"/>
        <v>1677003</v>
      </c>
      <c r="G361" t="s">
        <v>1351</v>
      </c>
      <c r="H361" s="267"/>
      <c r="I361" s="100"/>
    </row>
    <row r="362" spans="1:9">
      <c r="A362" s="13" t="s">
        <v>2072</v>
      </c>
      <c r="B362" s="284">
        <v>2085260</v>
      </c>
      <c r="C362" s="296"/>
      <c r="D362" s="310">
        <v>862920</v>
      </c>
      <c r="E362" s="326"/>
      <c r="F362" s="100">
        <f t="shared" si="6"/>
        <v>2948180</v>
      </c>
      <c r="G362" t="s">
        <v>1351</v>
      </c>
      <c r="H362" s="267"/>
      <c r="I362" s="100"/>
    </row>
    <row r="363" spans="1:9">
      <c r="A363" s="13" t="s">
        <v>109</v>
      </c>
      <c r="B363" s="283"/>
      <c r="C363" s="296"/>
      <c r="D363" s="310">
        <v>510586</v>
      </c>
      <c r="E363" s="326"/>
      <c r="F363" s="100">
        <f t="shared" si="6"/>
        <v>510586</v>
      </c>
      <c r="G363" t="s">
        <v>1351</v>
      </c>
      <c r="H363" s="267"/>
      <c r="I363" s="100"/>
    </row>
    <row r="364" spans="1:9">
      <c r="A364" s="13" t="s">
        <v>939</v>
      </c>
      <c r="B364" s="284">
        <v>240780</v>
      </c>
      <c r="C364" s="296"/>
      <c r="D364" s="310">
        <v>6537395.7699999996</v>
      </c>
      <c r="E364" s="326"/>
      <c r="F364" s="100">
        <f t="shared" si="6"/>
        <v>6778175.7699999996</v>
      </c>
      <c r="G364" t="s">
        <v>1351</v>
      </c>
      <c r="H364" s="267"/>
      <c r="I364" s="100"/>
    </row>
    <row r="365" spans="1:9">
      <c r="A365" s="13" t="s">
        <v>938</v>
      </c>
      <c r="B365" s="284">
        <v>1052808</v>
      </c>
      <c r="C365" s="296"/>
      <c r="D365" s="310">
        <v>2453658.7999999998</v>
      </c>
      <c r="E365" s="326"/>
      <c r="F365" s="100">
        <f t="shared" si="6"/>
        <v>3506466.8</v>
      </c>
      <c r="G365" t="s">
        <v>1351</v>
      </c>
      <c r="H365" s="267"/>
      <c r="I365" s="100"/>
    </row>
    <row r="366" spans="1:9">
      <c r="A366" s="13" t="s">
        <v>110</v>
      </c>
      <c r="B366" s="283"/>
      <c r="C366" s="296"/>
      <c r="D366" s="310">
        <v>4049746.2</v>
      </c>
      <c r="E366" s="326"/>
      <c r="F366" s="100">
        <f t="shared" si="6"/>
        <v>4049746.2</v>
      </c>
      <c r="G366" t="s">
        <v>1351</v>
      </c>
      <c r="H366" s="267"/>
      <c r="I366" s="100"/>
    </row>
    <row r="367" spans="1:9">
      <c r="A367" s="13" t="s">
        <v>111</v>
      </c>
      <c r="B367" s="283"/>
      <c r="C367" s="296"/>
      <c r="D367" s="310">
        <v>391636</v>
      </c>
      <c r="E367" s="326"/>
      <c r="F367" s="100">
        <f t="shared" si="6"/>
        <v>391636</v>
      </c>
      <c r="G367" t="s">
        <v>1351</v>
      </c>
      <c r="H367" s="263"/>
      <c r="I367" s="100"/>
    </row>
    <row r="368" spans="1:9">
      <c r="A368" s="13" t="s">
        <v>2073</v>
      </c>
      <c r="B368" s="283"/>
      <c r="C368" s="296"/>
      <c r="D368" s="310">
        <v>577538</v>
      </c>
      <c r="E368" s="326"/>
      <c r="F368" s="100">
        <f t="shared" si="6"/>
        <v>577538</v>
      </c>
      <c r="G368" t="s">
        <v>1351</v>
      </c>
      <c r="H368" s="267"/>
      <c r="I368" s="100"/>
    </row>
    <row r="369" spans="1:9">
      <c r="A369" s="13" t="s">
        <v>936</v>
      </c>
      <c r="B369" s="284">
        <v>359334</v>
      </c>
      <c r="C369" s="296"/>
      <c r="D369" s="310">
        <v>2129767</v>
      </c>
      <c r="E369" s="326"/>
      <c r="F369" s="100">
        <f t="shared" si="6"/>
        <v>2489101</v>
      </c>
      <c r="G369" t="s">
        <v>1351</v>
      </c>
      <c r="H369" s="267"/>
      <c r="I369" s="100"/>
    </row>
    <row r="370" spans="1:9">
      <c r="A370" s="13" t="s">
        <v>935</v>
      </c>
      <c r="B370" s="284">
        <v>67002.600000000006</v>
      </c>
      <c r="C370" s="296"/>
      <c r="D370" s="310">
        <v>281744.3</v>
      </c>
      <c r="E370" s="326"/>
      <c r="F370" s="100">
        <f t="shared" si="6"/>
        <v>348746.9</v>
      </c>
      <c r="G370" t="s">
        <v>1351</v>
      </c>
      <c r="H370" s="267"/>
      <c r="I370" s="100"/>
    </row>
    <row r="371" spans="1:9">
      <c r="A371" s="13" t="s">
        <v>2074</v>
      </c>
      <c r="B371" s="284">
        <v>737358</v>
      </c>
      <c r="C371" s="296"/>
      <c r="D371" s="310">
        <v>3810254</v>
      </c>
      <c r="E371" s="326"/>
      <c r="F371" s="100">
        <f t="shared" si="6"/>
        <v>4547612</v>
      </c>
      <c r="G371" t="s">
        <v>1351</v>
      </c>
      <c r="H371" s="267"/>
      <c r="I371" s="100"/>
    </row>
    <row r="372" spans="1:9">
      <c r="A372" s="13" t="s">
        <v>1226</v>
      </c>
      <c r="B372" s="284">
        <v>442202</v>
      </c>
      <c r="C372" s="296"/>
      <c r="D372" s="310">
        <v>120807</v>
      </c>
      <c r="E372" s="326"/>
      <c r="F372" s="100">
        <f t="shared" si="6"/>
        <v>563009</v>
      </c>
      <c r="G372" t="s">
        <v>1351</v>
      </c>
      <c r="H372" s="267"/>
      <c r="I372" s="100"/>
    </row>
    <row r="373" spans="1:9">
      <c r="A373" s="13" t="s">
        <v>1875</v>
      </c>
      <c r="B373" s="283"/>
      <c r="C373" s="296"/>
      <c r="D373" s="309"/>
      <c r="E373" s="325">
        <v>7976893</v>
      </c>
      <c r="F373" s="100">
        <f t="shared" si="6"/>
        <v>7976893</v>
      </c>
      <c r="G373" t="s">
        <v>2108</v>
      </c>
      <c r="H373" s="267"/>
      <c r="I373" s="100"/>
    </row>
    <row r="374" spans="1:9">
      <c r="A374" s="16" t="s">
        <v>112</v>
      </c>
      <c r="B374" s="284">
        <v>1161700</v>
      </c>
      <c r="C374" s="296"/>
      <c r="D374" s="309"/>
      <c r="E374" s="326"/>
      <c r="F374" s="100">
        <f t="shared" si="6"/>
        <v>1161700</v>
      </c>
      <c r="G374" t="s">
        <v>1351</v>
      </c>
      <c r="H374" s="267"/>
      <c r="I374" s="100"/>
    </row>
    <row r="375" spans="1:9">
      <c r="A375" s="13" t="s">
        <v>113</v>
      </c>
      <c r="B375" s="283"/>
      <c r="C375" s="296"/>
      <c r="D375" s="310">
        <v>1768133</v>
      </c>
      <c r="E375" s="326"/>
      <c r="F375" s="100">
        <f t="shared" si="6"/>
        <v>1768133</v>
      </c>
      <c r="G375" t="s">
        <v>1351</v>
      </c>
      <c r="H375" s="267"/>
      <c r="I375" s="100"/>
    </row>
    <row r="376" spans="1:9">
      <c r="A376" s="16" t="s">
        <v>2075</v>
      </c>
      <c r="B376" s="284">
        <v>2918446</v>
      </c>
      <c r="C376" s="296"/>
      <c r="D376" s="310">
        <v>2264402</v>
      </c>
      <c r="E376" s="326"/>
      <c r="F376" s="100">
        <f t="shared" si="6"/>
        <v>5182848</v>
      </c>
      <c r="G376" t="s">
        <v>1351</v>
      </c>
      <c r="H376" s="267"/>
      <c r="I376" s="100"/>
    </row>
    <row r="377" spans="1:9">
      <c r="A377" s="13" t="s">
        <v>933</v>
      </c>
      <c r="B377" s="284">
        <v>258435</v>
      </c>
      <c r="C377" s="296"/>
      <c r="D377" s="309"/>
      <c r="E377" s="326"/>
      <c r="F377" s="100">
        <f t="shared" si="6"/>
        <v>258435</v>
      </c>
      <c r="G377" t="s">
        <v>1351</v>
      </c>
      <c r="H377" s="267"/>
      <c r="I377" s="100"/>
    </row>
    <row r="378" spans="1:9">
      <c r="A378" s="13" t="s">
        <v>2068</v>
      </c>
      <c r="B378" s="283"/>
      <c r="C378" s="296"/>
      <c r="D378" s="310">
        <v>78506</v>
      </c>
      <c r="E378" s="326"/>
      <c r="F378" s="100">
        <f t="shared" si="6"/>
        <v>78506</v>
      </c>
      <c r="G378" t="s">
        <v>1351</v>
      </c>
      <c r="H378" s="267"/>
      <c r="I378" s="100"/>
    </row>
    <row r="379" spans="1:9">
      <c r="A379" s="13" t="s">
        <v>114</v>
      </c>
      <c r="B379" s="283"/>
      <c r="C379" s="296"/>
      <c r="D379" s="310">
        <v>54138</v>
      </c>
      <c r="E379" s="326"/>
      <c r="F379" s="100">
        <f t="shared" si="6"/>
        <v>54138</v>
      </c>
      <c r="G379" t="s">
        <v>1351</v>
      </c>
      <c r="H379" s="267"/>
      <c r="I379" s="100"/>
    </row>
    <row r="380" spans="1:9">
      <c r="A380" s="16" t="s">
        <v>2076</v>
      </c>
      <c r="B380" s="284">
        <v>4203699</v>
      </c>
      <c r="C380" s="296"/>
      <c r="D380" s="310">
        <v>8118953</v>
      </c>
      <c r="E380" s="326"/>
      <c r="F380" s="100">
        <f t="shared" si="6"/>
        <v>12322652</v>
      </c>
      <c r="G380" t="s">
        <v>1351</v>
      </c>
      <c r="H380" s="267"/>
      <c r="I380" s="100"/>
    </row>
    <row r="381" spans="1:9">
      <c r="A381" s="16" t="s">
        <v>932</v>
      </c>
      <c r="B381" s="284">
        <v>1477983</v>
      </c>
      <c r="C381" s="296"/>
      <c r="D381" s="309"/>
      <c r="E381" s="326"/>
      <c r="F381" s="100">
        <f t="shared" si="6"/>
        <v>1477983</v>
      </c>
      <c r="G381" t="s">
        <v>1351</v>
      </c>
      <c r="H381" s="267"/>
      <c r="I381" s="100"/>
    </row>
    <row r="382" spans="1:9">
      <c r="A382" s="13" t="s">
        <v>124</v>
      </c>
      <c r="B382" s="284">
        <v>54227</v>
      </c>
      <c r="C382" s="296"/>
      <c r="D382" s="310">
        <v>4405715</v>
      </c>
      <c r="E382" s="326"/>
      <c r="F382" s="100">
        <f t="shared" si="6"/>
        <v>4459942</v>
      </c>
      <c r="G382" t="s">
        <v>1351</v>
      </c>
      <c r="H382" s="267"/>
      <c r="I382" s="100"/>
    </row>
    <row r="383" spans="1:9">
      <c r="A383" s="13" t="s">
        <v>1535</v>
      </c>
      <c r="B383" s="283"/>
      <c r="C383" s="296"/>
      <c r="D383" s="310">
        <v>115850</v>
      </c>
      <c r="E383" s="326"/>
      <c r="F383" s="100">
        <f t="shared" si="6"/>
        <v>115850</v>
      </c>
      <c r="G383" t="s">
        <v>1351</v>
      </c>
      <c r="H383" s="267"/>
      <c r="I383" s="100"/>
    </row>
    <row r="384" spans="1:9">
      <c r="A384" s="13" t="s">
        <v>890</v>
      </c>
      <c r="B384" s="284">
        <v>4700</v>
      </c>
      <c r="C384" s="296"/>
      <c r="D384" s="309"/>
      <c r="E384" s="326"/>
      <c r="F384" s="100">
        <f t="shared" si="6"/>
        <v>4700</v>
      </c>
      <c r="G384" t="s">
        <v>1351</v>
      </c>
      <c r="H384" s="267"/>
      <c r="I384" s="100"/>
    </row>
    <row r="385" spans="1:9">
      <c r="A385" s="13" t="s">
        <v>931</v>
      </c>
      <c r="B385" s="284">
        <v>1762608</v>
      </c>
      <c r="C385" s="296"/>
      <c r="D385" s="309"/>
      <c r="E385" s="326"/>
      <c r="F385" s="100">
        <f t="shared" si="6"/>
        <v>1762608</v>
      </c>
      <c r="G385" t="s">
        <v>1351</v>
      </c>
      <c r="H385" s="267"/>
      <c r="I385" s="100"/>
    </row>
    <row r="386" spans="1:9">
      <c r="A386" s="1" t="s">
        <v>160</v>
      </c>
      <c r="B386" s="348">
        <v>14263803.6</v>
      </c>
      <c r="C386" s="109"/>
      <c r="D386" s="342">
        <v>115337068.98999999</v>
      </c>
      <c r="E386" s="343"/>
      <c r="F386" s="100">
        <f t="shared" si="6"/>
        <v>129600872.58999999</v>
      </c>
      <c r="G386" t="s">
        <v>1351</v>
      </c>
      <c r="H386" s="267"/>
      <c r="I386" s="100"/>
    </row>
    <row r="387" spans="1:9">
      <c r="A387" s="14" t="s">
        <v>2084</v>
      </c>
      <c r="B387" s="349">
        <v>13990090</v>
      </c>
      <c r="C387" s="111"/>
      <c r="D387" s="345">
        <v>83378996.700000003</v>
      </c>
      <c r="E387" s="113"/>
      <c r="F387" s="100">
        <f t="shared" si="6"/>
        <v>97369086.700000003</v>
      </c>
      <c r="G387" t="s">
        <v>1351</v>
      </c>
      <c r="H387" s="267"/>
      <c r="I387" s="100"/>
    </row>
    <row r="388" spans="1:9">
      <c r="A388" s="17" t="s">
        <v>1099</v>
      </c>
      <c r="B388" s="286">
        <v>2278502</v>
      </c>
      <c r="C388" s="300"/>
      <c r="D388" s="316">
        <v>21484810</v>
      </c>
      <c r="E388" s="329"/>
      <c r="F388" s="100">
        <f t="shared" si="6"/>
        <v>23763312</v>
      </c>
      <c r="G388" t="s">
        <v>1351</v>
      </c>
      <c r="H388" s="267"/>
      <c r="I388" s="100"/>
    </row>
    <row r="389" spans="1:9">
      <c r="A389" s="17" t="s">
        <v>2086</v>
      </c>
      <c r="B389" s="289">
        <v>1018122</v>
      </c>
      <c r="C389" s="301"/>
      <c r="D389" s="313">
        <v>2026647</v>
      </c>
      <c r="E389" s="330"/>
      <c r="F389" s="100">
        <f t="shared" si="6"/>
        <v>3044769</v>
      </c>
      <c r="G389" t="s">
        <v>1351</v>
      </c>
      <c r="H389" s="267"/>
      <c r="I389" s="100"/>
    </row>
    <row r="390" spans="1:9">
      <c r="A390" s="17" t="s">
        <v>2087</v>
      </c>
      <c r="B390" s="289">
        <v>697353</v>
      </c>
      <c r="C390" s="301"/>
      <c r="D390" s="313">
        <v>4330251</v>
      </c>
      <c r="E390" s="330"/>
      <c r="F390" s="100">
        <f t="shared" si="6"/>
        <v>5027604</v>
      </c>
      <c r="G390" t="s">
        <v>1351</v>
      </c>
      <c r="H390" s="267"/>
      <c r="I390" s="100"/>
    </row>
    <row r="391" spans="1:9">
      <c r="A391" s="17" t="s">
        <v>1100</v>
      </c>
      <c r="B391" s="289">
        <v>139878</v>
      </c>
      <c r="C391" s="301"/>
      <c r="D391" s="313">
        <v>248010</v>
      </c>
      <c r="E391" s="330"/>
      <c r="F391" s="100">
        <f t="shared" si="6"/>
        <v>387888</v>
      </c>
      <c r="G391" t="s">
        <v>1351</v>
      </c>
      <c r="H391" s="267"/>
      <c r="I391" s="100"/>
    </row>
    <row r="392" spans="1:9">
      <c r="A392" s="17" t="s">
        <v>1101</v>
      </c>
      <c r="B392" s="289">
        <v>106474</v>
      </c>
      <c r="C392" s="301"/>
      <c r="D392" s="313">
        <v>1506029</v>
      </c>
      <c r="E392" s="330"/>
      <c r="F392" s="100">
        <f t="shared" si="6"/>
        <v>1612503</v>
      </c>
      <c r="G392" t="s">
        <v>1351</v>
      </c>
      <c r="H392" s="267"/>
      <c r="I392" s="100"/>
    </row>
    <row r="393" spans="1:9">
      <c r="A393" s="17" t="s">
        <v>2088</v>
      </c>
      <c r="B393" s="289">
        <v>453503</v>
      </c>
      <c r="C393" s="301"/>
      <c r="D393" s="313">
        <v>1532686</v>
      </c>
      <c r="E393" s="330"/>
      <c r="F393" s="100">
        <f t="shared" ref="F393:F456" si="7">B393+C393+D393+E393</f>
        <v>1986189</v>
      </c>
      <c r="G393" t="s">
        <v>1351</v>
      </c>
      <c r="H393" s="267"/>
      <c r="I393" s="100"/>
    </row>
    <row r="394" spans="1:9">
      <c r="A394" s="17" t="s">
        <v>2089</v>
      </c>
      <c r="B394" s="289">
        <v>5694153</v>
      </c>
      <c r="C394" s="301"/>
      <c r="D394" s="313">
        <v>3167494.7</v>
      </c>
      <c r="E394" s="330"/>
      <c r="F394" s="100">
        <f t="shared" si="7"/>
        <v>8861647.6999999993</v>
      </c>
      <c r="G394" t="s">
        <v>1351</v>
      </c>
      <c r="H394" s="264"/>
      <c r="I394" s="100"/>
    </row>
    <row r="395" spans="1:9">
      <c r="A395" s="17" t="s">
        <v>1103</v>
      </c>
      <c r="B395" s="287"/>
      <c r="C395" s="301"/>
      <c r="D395" s="313">
        <v>30150603</v>
      </c>
      <c r="E395" s="330"/>
      <c r="F395" s="100">
        <f t="shared" si="7"/>
        <v>30150603</v>
      </c>
      <c r="G395" t="s">
        <v>1351</v>
      </c>
      <c r="H395" s="263"/>
      <c r="I395" s="100"/>
    </row>
    <row r="396" spans="1:9">
      <c r="A396" s="17" t="s">
        <v>164</v>
      </c>
      <c r="B396" s="287"/>
      <c r="C396" s="301"/>
      <c r="D396" s="313">
        <v>54978</v>
      </c>
      <c r="E396" s="330"/>
      <c r="F396" s="100">
        <f t="shared" si="7"/>
        <v>54978</v>
      </c>
      <c r="G396" t="s">
        <v>1351</v>
      </c>
      <c r="H396" s="263"/>
      <c r="I396" s="100"/>
    </row>
    <row r="397" spans="1:9">
      <c r="A397" s="17" t="s">
        <v>2090</v>
      </c>
      <c r="B397" s="289">
        <v>80792</v>
      </c>
      <c r="C397" s="301"/>
      <c r="D397" s="313">
        <v>2960613</v>
      </c>
      <c r="E397" s="330"/>
      <c r="F397" s="100">
        <f t="shared" si="7"/>
        <v>3041405</v>
      </c>
      <c r="G397" t="s">
        <v>1351</v>
      </c>
      <c r="H397" s="263"/>
      <c r="I397" s="100"/>
    </row>
    <row r="398" spans="1:9">
      <c r="A398" s="17" t="s">
        <v>177</v>
      </c>
      <c r="B398" s="289">
        <v>516602</v>
      </c>
      <c r="C398" s="301"/>
      <c r="D398" s="313">
        <v>5623234</v>
      </c>
      <c r="E398" s="330"/>
      <c r="F398" s="100">
        <f t="shared" si="7"/>
        <v>6139836</v>
      </c>
      <c r="G398" t="s">
        <v>1351</v>
      </c>
      <c r="H398" s="263"/>
      <c r="I398" s="100"/>
    </row>
    <row r="399" spans="1:9">
      <c r="A399" s="17" t="s">
        <v>1104</v>
      </c>
      <c r="B399" s="289">
        <v>883540</v>
      </c>
      <c r="C399" s="301"/>
      <c r="D399" s="313">
        <v>200881</v>
      </c>
      <c r="E399" s="330"/>
      <c r="F399" s="100">
        <f t="shared" si="7"/>
        <v>1084421</v>
      </c>
      <c r="G399" t="s">
        <v>1351</v>
      </c>
      <c r="H399" s="264"/>
      <c r="I399" s="100"/>
    </row>
    <row r="400" spans="1:9">
      <c r="A400" s="17" t="s">
        <v>165</v>
      </c>
      <c r="B400" s="289">
        <v>270960</v>
      </c>
      <c r="C400" s="301"/>
      <c r="D400" s="314"/>
      <c r="E400" s="330"/>
      <c r="F400" s="100">
        <f t="shared" si="7"/>
        <v>270960</v>
      </c>
      <c r="G400" t="s">
        <v>1351</v>
      </c>
      <c r="H400" s="263"/>
      <c r="I400" s="100"/>
    </row>
    <row r="401" spans="1:9">
      <c r="A401" s="15" t="s">
        <v>168</v>
      </c>
      <c r="B401" s="287"/>
      <c r="C401" s="301"/>
      <c r="D401" s="313">
        <v>396755</v>
      </c>
      <c r="E401" s="330"/>
      <c r="F401" s="100">
        <f t="shared" si="7"/>
        <v>396755</v>
      </c>
      <c r="G401" t="s">
        <v>1351</v>
      </c>
      <c r="H401" s="264"/>
      <c r="I401" s="100"/>
    </row>
    <row r="402" spans="1:9">
      <c r="A402" s="17" t="s">
        <v>2085</v>
      </c>
      <c r="B402" s="287"/>
      <c r="C402" s="301"/>
      <c r="D402" s="313">
        <v>9409448</v>
      </c>
      <c r="E402" s="330"/>
      <c r="F402" s="100">
        <f t="shared" si="7"/>
        <v>9409448</v>
      </c>
      <c r="G402" t="s">
        <v>1351</v>
      </c>
      <c r="H402" s="263"/>
      <c r="I402" s="100"/>
    </row>
    <row r="403" spans="1:9">
      <c r="A403" s="15" t="s">
        <v>205</v>
      </c>
      <c r="B403" s="289">
        <v>1850211</v>
      </c>
      <c r="C403" s="301"/>
      <c r="D403" s="314"/>
      <c r="E403" s="330"/>
      <c r="F403" s="100">
        <f t="shared" si="7"/>
        <v>1850211</v>
      </c>
      <c r="G403" t="s">
        <v>1351</v>
      </c>
      <c r="H403" s="267"/>
      <c r="I403" s="100"/>
    </row>
    <row r="404" spans="1:9">
      <c r="A404" s="15" t="s">
        <v>170</v>
      </c>
      <c r="B404" s="287"/>
      <c r="C404" s="301"/>
      <c r="D404" s="313">
        <v>124707</v>
      </c>
      <c r="E404" s="330"/>
      <c r="F404" s="100">
        <f t="shared" si="7"/>
        <v>124707</v>
      </c>
      <c r="G404" t="s">
        <v>1351</v>
      </c>
      <c r="H404" s="267"/>
      <c r="I404" s="100"/>
    </row>
    <row r="405" spans="1:9">
      <c r="A405" s="15" t="s">
        <v>171</v>
      </c>
      <c r="B405" s="287"/>
      <c r="C405" s="301"/>
      <c r="D405" s="313">
        <v>76850</v>
      </c>
      <c r="E405" s="330"/>
      <c r="F405" s="100">
        <f t="shared" si="7"/>
        <v>76850</v>
      </c>
      <c r="G405" t="s">
        <v>1351</v>
      </c>
      <c r="H405" s="270"/>
      <c r="I405" s="100"/>
    </row>
    <row r="406" spans="1:9">
      <c r="A406" s="15" t="s">
        <v>172</v>
      </c>
      <c r="B406" s="287"/>
      <c r="C406" s="301"/>
      <c r="D406" s="313">
        <v>85000</v>
      </c>
      <c r="E406" s="330"/>
      <c r="F406" s="100">
        <f t="shared" si="7"/>
        <v>85000</v>
      </c>
      <c r="G406" t="s">
        <v>1351</v>
      </c>
      <c r="H406" s="267"/>
      <c r="I406" s="100"/>
    </row>
    <row r="407" spans="1:9">
      <c r="A407" s="14" t="s">
        <v>178</v>
      </c>
      <c r="B407" s="353">
        <v>273713.59999999998</v>
      </c>
      <c r="C407" s="114"/>
      <c r="D407" s="340">
        <v>31800620.289999999</v>
      </c>
      <c r="E407" s="108"/>
      <c r="F407" s="100">
        <f t="shared" si="7"/>
        <v>32074333.890000001</v>
      </c>
      <c r="G407" t="s">
        <v>1351</v>
      </c>
      <c r="H407" s="264"/>
      <c r="I407" s="100"/>
    </row>
    <row r="408" spans="1:9">
      <c r="A408" s="13" t="s">
        <v>179</v>
      </c>
      <c r="B408" s="285"/>
      <c r="C408" s="300"/>
      <c r="D408" s="316">
        <v>302358</v>
      </c>
      <c r="E408" s="329"/>
      <c r="F408" s="100">
        <f t="shared" si="7"/>
        <v>302358</v>
      </c>
      <c r="G408" t="s">
        <v>1351</v>
      </c>
      <c r="H408" s="263"/>
      <c r="I408" s="100"/>
    </row>
    <row r="409" spans="1:9">
      <c r="A409" s="15" t="s">
        <v>2091</v>
      </c>
      <c r="B409" s="287"/>
      <c r="C409" s="301"/>
      <c r="D409" s="313">
        <v>3104320</v>
      </c>
      <c r="E409" s="330"/>
      <c r="F409" s="100">
        <f t="shared" si="7"/>
        <v>3104320</v>
      </c>
      <c r="G409" t="s">
        <v>1351</v>
      </c>
      <c r="H409" s="263"/>
      <c r="I409" s="100"/>
    </row>
    <row r="410" spans="1:9">
      <c r="A410" s="15" t="s">
        <v>1105</v>
      </c>
      <c r="B410" s="289">
        <v>35052</v>
      </c>
      <c r="C410" s="301"/>
      <c r="D410" s="313">
        <v>565907</v>
      </c>
      <c r="E410" s="330"/>
      <c r="F410" s="100">
        <f t="shared" si="7"/>
        <v>600959</v>
      </c>
      <c r="G410" t="s">
        <v>1351</v>
      </c>
      <c r="H410" s="267"/>
      <c r="I410" s="100"/>
    </row>
    <row r="411" spans="1:9">
      <c r="A411" s="17" t="s">
        <v>181</v>
      </c>
      <c r="B411" s="287"/>
      <c r="C411" s="301"/>
      <c r="D411" s="313">
        <v>1388644</v>
      </c>
      <c r="E411" s="330"/>
      <c r="F411" s="100">
        <f t="shared" si="7"/>
        <v>1388644</v>
      </c>
      <c r="G411" t="s">
        <v>1351</v>
      </c>
      <c r="H411" s="267"/>
      <c r="I411" s="100"/>
    </row>
    <row r="412" spans="1:9">
      <c r="A412" s="15" t="s">
        <v>188</v>
      </c>
      <c r="B412" s="289">
        <v>47680</v>
      </c>
      <c r="C412" s="301"/>
      <c r="D412" s="314"/>
      <c r="E412" s="330"/>
      <c r="F412" s="100">
        <f t="shared" si="7"/>
        <v>47680</v>
      </c>
      <c r="G412" t="s">
        <v>1351</v>
      </c>
      <c r="H412" s="267"/>
      <c r="I412" s="100"/>
    </row>
    <row r="413" spans="1:9">
      <c r="A413" s="15" t="s">
        <v>1106</v>
      </c>
      <c r="B413" s="289">
        <v>8400</v>
      </c>
      <c r="C413" s="301"/>
      <c r="D413" s="313">
        <v>1925651</v>
      </c>
      <c r="E413" s="330"/>
      <c r="F413" s="100">
        <f t="shared" si="7"/>
        <v>1934051</v>
      </c>
      <c r="G413" t="s">
        <v>1351</v>
      </c>
      <c r="H413" s="263"/>
      <c r="I413" s="100"/>
    </row>
    <row r="414" spans="1:9">
      <c r="A414" s="15" t="s">
        <v>1306</v>
      </c>
      <c r="B414" s="289">
        <v>126400</v>
      </c>
      <c r="C414" s="301"/>
      <c r="D414" s="314"/>
      <c r="E414" s="330"/>
      <c r="F414" s="100">
        <f t="shared" si="7"/>
        <v>126400</v>
      </c>
      <c r="G414" t="s">
        <v>1351</v>
      </c>
      <c r="H414" s="263"/>
      <c r="I414" s="100"/>
    </row>
    <row r="415" spans="1:9">
      <c r="A415" s="17" t="s">
        <v>1107</v>
      </c>
      <c r="B415" s="289">
        <v>16650</v>
      </c>
      <c r="C415" s="301"/>
      <c r="D415" s="313">
        <v>396572</v>
      </c>
      <c r="E415" s="330"/>
      <c r="F415" s="100">
        <f t="shared" si="7"/>
        <v>413222</v>
      </c>
      <c r="G415" t="s">
        <v>1351</v>
      </c>
      <c r="H415" s="263"/>
      <c r="I415" s="100"/>
    </row>
    <row r="416" spans="1:9">
      <c r="A416" s="15" t="s">
        <v>183</v>
      </c>
      <c r="B416" s="287"/>
      <c r="C416" s="301"/>
      <c r="D416" s="313">
        <v>30471</v>
      </c>
      <c r="E416" s="330"/>
      <c r="F416" s="100">
        <f t="shared" si="7"/>
        <v>30471</v>
      </c>
      <c r="G416" t="s">
        <v>1351</v>
      </c>
      <c r="H416" s="263"/>
      <c r="I416" s="100"/>
    </row>
    <row r="417" spans="1:9">
      <c r="A417" s="17" t="s">
        <v>2092</v>
      </c>
      <c r="B417" s="287"/>
      <c r="C417" s="301"/>
      <c r="D417" s="313">
        <v>3467257.09</v>
      </c>
      <c r="E417" s="330"/>
      <c r="F417" s="100">
        <f t="shared" si="7"/>
        <v>3467257.09</v>
      </c>
      <c r="G417" t="s">
        <v>1351</v>
      </c>
      <c r="H417" s="263"/>
      <c r="I417" s="100"/>
    </row>
    <row r="418" spans="1:9">
      <c r="A418" s="15" t="s">
        <v>185</v>
      </c>
      <c r="B418" s="289">
        <v>4600</v>
      </c>
      <c r="C418" s="301"/>
      <c r="D418" s="314"/>
      <c r="E418" s="330"/>
      <c r="F418" s="100">
        <f t="shared" si="7"/>
        <v>4600</v>
      </c>
      <c r="G418" t="s">
        <v>1351</v>
      </c>
      <c r="H418" s="263"/>
      <c r="I418" s="100"/>
    </row>
    <row r="419" spans="1:9">
      <c r="A419" s="15" t="s">
        <v>186</v>
      </c>
      <c r="B419" s="287"/>
      <c r="C419" s="301"/>
      <c r="D419" s="313">
        <v>6106702</v>
      </c>
      <c r="E419" s="330"/>
      <c r="F419" s="100">
        <f t="shared" si="7"/>
        <v>6106702</v>
      </c>
      <c r="G419" t="s">
        <v>1351</v>
      </c>
      <c r="H419" s="263"/>
      <c r="I419" s="100"/>
    </row>
    <row r="420" spans="1:9">
      <c r="A420" s="15" t="s">
        <v>1108</v>
      </c>
      <c r="B420" s="287"/>
      <c r="C420" s="301"/>
      <c r="D420" s="313">
        <v>2340212.2000000002</v>
      </c>
      <c r="E420" s="330"/>
      <c r="F420" s="100">
        <f t="shared" si="7"/>
        <v>2340212.2000000002</v>
      </c>
      <c r="G420" t="s">
        <v>1351</v>
      </c>
      <c r="H420" s="263"/>
      <c r="I420" s="100"/>
    </row>
    <row r="421" spans="1:9">
      <c r="A421" s="17" t="s">
        <v>187</v>
      </c>
      <c r="B421" s="287"/>
      <c r="C421" s="301"/>
      <c r="D421" s="313">
        <v>2299085</v>
      </c>
      <c r="E421" s="330"/>
      <c r="F421" s="100">
        <f t="shared" si="7"/>
        <v>2299085</v>
      </c>
      <c r="G421" t="s">
        <v>1351</v>
      </c>
      <c r="H421" s="263"/>
      <c r="I421" s="100"/>
    </row>
    <row r="422" spans="1:9">
      <c r="A422" s="17" t="s">
        <v>1311</v>
      </c>
      <c r="B422" s="287"/>
      <c r="C422" s="301"/>
      <c r="D422" s="313">
        <v>2139917</v>
      </c>
      <c r="E422" s="330"/>
      <c r="F422" s="100">
        <f t="shared" si="7"/>
        <v>2139917</v>
      </c>
      <c r="G422" t="s">
        <v>1351</v>
      </c>
      <c r="H422" s="263"/>
      <c r="I422" s="100"/>
    </row>
    <row r="423" spans="1:9">
      <c r="A423" s="15" t="s">
        <v>1110</v>
      </c>
      <c r="B423" s="287"/>
      <c r="C423" s="301"/>
      <c r="D423" s="313">
        <v>3147379</v>
      </c>
      <c r="E423" s="330"/>
      <c r="F423" s="100">
        <f t="shared" si="7"/>
        <v>3147379</v>
      </c>
      <c r="G423" t="s">
        <v>1351</v>
      </c>
      <c r="H423" s="263"/>
      <c r="I423" s="100"/>
    </row>
    <row r="424" spans="1:9">
      <c r="A424" s="15" t="s">
        <v>1111</v>
      </c>
      <c r="B424" s="287"/>
      <c r="C424" s="301"/>
      <c r="D424" s="313">
        <v>1153498</v>
      </c>
      <c r="E424" s="330"/>
      <c r="F424" s="100">
        <f t="shared" si="7"/>
        <v>1153498</v>
      </c>
      <c r="G424" t="s">
        <v>1351</v>
      </c>
      <c r="H424" s="263"/>
      <c r="I424" s="100"/>
    </row>
    <row r="425" spans="1:9">
      <c r="A425" s="15" t="s">
        <v>1112</v>
      </c>
      <c r="B425" s="289">
        <v>34931.599999999999</v>
      </c>
      <c r="C425" s="301"/>
      <c r="D425" s="313">
        <v>3432647</v>
      </c>
      <c r="E425" s="330"/>
      <c r="F425" s="100">
        <f t="shared" si="7"/>
        <v>3467578.6</v>
      </c>
      <c r="G425" t="s">
        <v>1351</v>
      </c>
      <c r="H425" s="263"/>
      <c r="I425" s="100"/>
    </row>
    <row r="426" spans="1:9">
      <c r="A426" s="13" t="s">
        <v>1539</v>
      </c>
      <c r="B426" s="283"/>
      <c r="C426" s="296"/>
      <c r="D426" s="310">
        <v>157452</v>
      </c>
      <c r="E426" s="326"/>
      <c r="F426" s="100">
        <f t="shared" si="7"/>
        <v>157452</v>
      </c>
      <c r="G426" t="s">
        <v>1351</v>
      </c>
      <c r="H426" s="263"/>
      <c r="I426" s="100"/>
    </row>
    <row r="427" spans="1:9">
      <c r="A427" s="1" t="s">
        <v>189</v>
      </c>
      <c r="B427" s="341"/>
      <c r="C427" s="109"/>
      <c r="D427" s="347"/>
      <c r="E427" s="204">
        <v>6167419</v>
      </c>
      <c r="F427" s="100">
        <f t="shared" si="7"/>
        <v>6167419</v>
      </c>
      <c r="H427" s="267"/>
      <c r="I427" s="100"/>
    </row>
    <row r="428" spans="1:9">
      <c r="A428" s="13" t="s">
        <v>2093</v>
      </c>
      <c r="B428" s="281"/>
      <c r="C428" s="294"/>
      <c r="D428" s="307"/>
      <c r="E428" s="323">
        <v>6167419</v>
      </c>
      <c r="F428" s="100">
        <f t="shared" si="7"/>
        <v>6167419</v>
      </c>
      <c r="G428" t="s">
        <v>2108</v>
      </c>
      <c r="H428" s="267"/>
      <c r="I428" s="100"/>
    </row>
    <row r="429" spans="1:9">
      <c r="A429" s="1" t="s">
        <v>192</v>
      </c>
      <c r="B429" s="348">
        <v>318390</v>
      </c>
      <c r="C429" s="109"/>
      <c r="D429" s="342">
        <v>55669781.079999998</v>
      </c>
      <c r="E429" s="343"/>
      <c r="F429" s="100">
        <f t="shared" si="7"/>
        <v>55988171.079999998</v>
      </c>
      <c r="H429" s="270"/>
      <c r="I429" s="100"/>
    </row>
    <row r="430" spans="1:9">
      <c r="A430" s="14" t="s">
        <v>193</v>
      </c>
      <c r="B430" s="344"/>
      <c r="C430" s="111"/>
      <c r="D430" s="345">
        <v>465049.85</v>
      </c>
      <c r="E430" s="113"/>
      <c r="F430" s="100">
        <f t="shared" si="7"/>
        <v>465049.85</v>
      </c>
      <c r="H430" s="267"/>
      <c r="I430" s="100"/>
    </row>
    <row r="431" spans="1:9">
      <c r="A431" s="17" t="s">
        <v>1134</v>
      </c>
      <c r="B431" s="285"/>
      <c r="C431" s="300"/>
      <c r="D431" s="316">
        <v>465049.85</v>
      </c>
      <c r="E431" s="329"/>
      <c r="F431" s="100">
        <f t="shared" si="7"/>
        <v>465049.85</v>
      </c>
      <c r="G431" t="s">
        <v>1351</v>
      </c>
      <c r="H431" s="267"/>
      <c r="I431" s="100"/>
    </row>
    <row r="432" spans="1:9">
      <c r="A432" s="14" t="s">
        <v>194</v>
      </c>
      <c r="B432" s="339"/>
      <c r="C432" s="114"/>
      <c r="D432" s="340">
        <v>15875</v>
      </c>
      <c r="E432" s="108"/>
      <c r="F432" s="100">
        <f t="shared" si="7"/>
        <v>15875</v>
      </c>
      <c r="H432" s="270"/>
      <c r="I432" s="100"/>
    </row>
    <row r="433" spans="1:9">
      <c r="A433" s="17" t="s">
        <v>2094</v>
      </c>
      <c r="B433" s="285"/>
      <c r="C433" s="300"/>
      <c r="D433" s="316">
        <v>15875</v>
      </c>
      <c r="E433" s="329"/>
      <c r="F433" s="100">
        <f t="shared" si="7"/>
        <v>15875</v>
      </c>
      <c r="G433" t="s">
        <v>1351</v>
      </c>
      <c r="H433" s="271"/>
      <c r="I433" s="100"/>
    </row>
    <row r="434" spans="1:9">
      <c r="A434" s="13" t="s">
        <v>2095</v>
      </c>
      <c r="B434" s="283"/>
      <c r="C434" s="296"/>
      <c r="D434" s="310">
        <v>20962</v>
      </c>
      <c r="E434" s="326"/>
      <c r="F434" s="100">
        <f t="shared" si="7"/>
        <v>20962</v>
      </c>
      <c r="G434" t="s">
        <v>1351</v>
      </c>
      <c r="H434" s="198"/>
      <c r="I434" s="100"/>
    </row>
    <row r="435" spans="1:9">
      <c r="A435" s="13" t="s">
        <v>2096</v>
      </c>
      <c r="B435" s="283"/>
      <c r="C435" s="296"/>
      <c r="D435" s="310">
        <v>308000</v>
      </c>
      <c r="E435" s="326"/>
      <c r="F435" s="100">
        <f t="shared" si="7"/>
        <v>308000</v>
      </c>
      <c r="G435" t="s">
        <v>1351</v>
      </c>
      <c r="H435" s="198"/>
      <c r="I435" s="100"/>
    </row>
    <row r="436" spans="1:9">
      <c r="A436" s="13" t="s">
        <v>1540</v>
      </c>
      <c r="B436" s="283"/>
      <c r="C436" s="296"/>
      <c r="D436" s="310">
        <v>474051.8</v>
      </c>
      <c r="E436" s="326"/>
      <c r="F436" s="100">
        <f t="shared" si="7"/>
        <v>474051.8</v>
      </c>
      <c r="G436" t="s">
        <v>1351</v>
      </c>
      <c r="H436" s="198"/>
      <c r="I436" s="100"/>
    </row>
    <row r="437" spans="1:9">
      <c r="A437" s="13" t="s">
        <v>72</v>
      </c>
      <c r="B437" s="283"/>
      <c r="C437" s="296"/>
      <c r="D437" s="310">
        <v>154194</v>
      </c>
      <c r="E437" s="326"/>
      <c r="F437" s="100">
        <f t="shared" si="7"/>
        <v>154194</v>
      </c>
      <c r="G437" t="s">
        <v>1351</v>
      </c>
      <c r="H437" s="198"/>
      <c r="I437" s="100"/>
    </row>
    <row r="438" spans="1:9">
      <c r="A438" s="16" t="s">
        <v>1541</v>
      </c>
      <c r="B438" s="283"/>
      <c r="C438" s="296"/>
      <c r="D438" s="310">
        <v>383850</v>
      </c>
      <c r="E438" s="326"/>
      <c r="F438" s="100">
        <f t="shared" si="7"/>
        <v>383850</v>
      </c>
      <c r="G438" t="s">
        <v>1351</v>
      </c>
      <c r="H438" s="198"/>
      <c r="I438" s="100"/>
    </row>
    <row r="439" spans="1:9">
      <c r="A439" s="13" t="s">
        <v>196</v>
      </c>
      <c r="B439" s="283"/>
      <c r="C439" s="296"/>
      <c r="D439" s="310">
        <v>4800</v>
      </c>
      <c r="E439" s="326"/>
      <c r="F439" s="100">
        <f t="shared" si="7"/>
        <v>4800</v>
      </c>
      <c r="G439" t="s">
        <v>1351</v>
      </c>
      <c r="H439" s="198"/>
      <c r="I439" s="100"/>
    </row>
    <row r="440" spans="1:9">
      <c r="A440" s="13" t="s">
        <v>1222</v>
      </c>
      <c r="B440" s="283"/>
      <c r="C440" s="296"/>
      <c r="D440" s="310">
        <v>19454</v>
      </c>
      <c r="E440" s="326"/>
      <c r="F440" s="100">
        <f t="shared" si="7"/>
        <v>19454</v>
      </c>
      <c r="G440" t="s">
        <v>1351</v>
      </c>
      <c r="H440" s="198"/>
      <c r="I440" s="100"/>
    </row>
    <row r="441" spans="1:9">
      <c r="A441" s="13" t="s">
        <v>1751</v>
      </c>
      <c r="B441" s="283"/>
      <c r="C441" s="296"/>
      <c r="D441" s="310">
        <v>710</v>
      </c>
      <c r="E441" s="326"/>
      <c r="F441" s="100">
        <f t="shared" si="7"/>
        <v>710</v>
      </c>
      <c r="G441" t="s">
        <v>1351</v>
      </c>
      <c r="H441" s="198"/>
      <c r="I441" s="100"/>
    </row>
    <row r="442" spans="1:9">
      <c r="A442" s="13" t="s">
        <v>893</v>
      </c>
      <c r="B442" s="283"/>
      <c r="C442" s="296"/>
      <c r="D442" s="310">
        <v>299262</v>
      </c>
      <c r="E442" s="326"/>
      <c r="F442" s="100">
        <f t="shared" si="7"/>
        <v>299262</v>
      </c>
      <c r="G442" t="s">
        <v>1351</v>
      </c>
      <c r="H442" s="198"/>
      <c r="I442" s="100"/>
    </row>
    <row r="443" spans="1:9">
      <c r="A443" s="13" t="s">
        <v>197</v>
      </c>
      <c r="B443" s="283"/>
      <c r="C443" s="296"/>
      <c r="D443" s="310">
        <v>3780000</v>
      </c>
      <c r="E443" s="326"/>
      <c r="F443" s="100">
        <f t="shared" si="7"/>
        <v>3780000</v>
      </c>
      <c r="G443" t="s">
        <v>1351</v>
      </c>
      <c r="H443" s="198"/>
      <c r="I443" s="100"/>
    </row>
    <row r="444" spans="1:9">
      <c r="A444" s="13" t="s">
        <v>211</v>
      </c>
      <c r="B444" s="283"/>
      <c r="C444" s="296"/>
      <c r="D444" s="310">
        <v>298616</v>
      </c>
      <c r="E444" s="326"/>
      <c r="F444" s="100">
        <f t="shared" si="7"/>
        <v>298616</v>
      </c>
      <c r="G444" t="s">
        <v>1351</v>
      </c>
      <c r="H444" s="198"/>
      <c r="I444" s="100"/>
    </row>
    <row r="445" spans="1:9">
      <c r="A445" s="13" t="s">
        <v>198</v>
      </c>
      <c r="B445" s="283"/>
      <c r="C445" s="296"/>
      <c r="D445" s="310">
        <v>18644</v>
      </c>
      <c r="E445" s="326"/>
      <c r="F445" s="100">
        <f t="shared" si="7"/>
        <v>18644</v>
      </c>
      <c r="G445" t="s">
        <v>1351</v>
      </c>
      <c r="H445" s="198"/>
      <c r="I445" s="100"/>
    </row>
    <row r="446" spans="1:9">
      <c r="A446" s="13" t="s">
        <v>212</v>
      </c>
      <c r="B446" s="284">
        <v>23548</v>
      </c>
      <c r="C446" s="296"/>
      <c r="D446" s="310">
        <v>254732</v>
      </c>
      <c r="E446" s="326"/>
      <c r="F446" s="100">
        <f t="shared" si="7"/>
        <v>278280</v>
      </c>
      <c r="G446" t="s">
        <v>1351</v>
      </c>
      <c r="H446" s="198"/>
      <c r="I446" s="100"/>
    </row>
    <row r="447" spans="1:9">
      <c r="A447" s="13" t="s">
        <v>199</v>
      </c>
      <c r="B447" s="283"/>
      <c r="C447" s="296"/>
      <c r="D447" s="310">
        <v>204000</v>
      </c>
      <c r="E447" s="326"/>
      <c r="F447" s="100">
        <f t="shared" si="7"/>
        <v>204000</v>
      </c>
      <c r="G447" t="s">
        <v>1351</v>
      </c>
      <c r="H447" s="198"/>
      <c r="I447" s="100"/>
    </row>
    <row r="448" spans="1:9">
      <c r="A448" s="13" t="s">
        <v>57</v>
      </c>
      <c r="B448" s="284">
        <v>85054</v>
      </c>
      <c r="C448" s="296"/>
      <c r="D448" s="310">
        <v>1858595</v>
      </c>
      <c r="E448" s="326"/>
      <c r="F448" s="100">
        <f t="shared" si="7"/>
        <v>1943649</v>
      </c>
      <c r="G448" t="s">
        <v>1351</v>
      </c>
      <c r="H448" s="198"/>
      <c r="I448" s="100"/>
    </row>
    <row r="449" spans="1:9">
      <c r="A449" s="13" t="s">
        <v>201</v>
      </c>
      <c r="B449" s="284">
        <v>37831</v>
      </c>
      <c r="C449" s="296"/>
      <c r="D449" s="309"/>
      <c r="E449" s="326"/>
      <c r="F449" s="100">
        <f t="shared" si="7"/>
        <v>37831</v>
      </c>
      <c r="G449" t="s">
        <v>1351</v>
      </c>
      <c r="H449" s="198"/>
      <c r="I449" s="100"/>
    </row>
    <row r="450" spans="1:9">
      <c r="A450" s="13" t="s">
        <v>930</v>
      </c>
      <c r="B450" s="284">
        <v>35262</v>
      </c>
      <c r="C450" s="296"/>
      <c r="D450" s="310">
        <v>920062</v>
      </c>
      <c r="E450" s="326"/>
      <c r="F450" s="100">
        <f t="shared" si="7"/>
        <v>955324</v>
      </c>
      <c r="G450" t="s">
        <v>1351</v>
      </c>
      <c r="H450" s="198"/>
      <c r="I450" s="100"/>
    </row>
    <row r="451" spans="1:9">
      <c r="A451" s="13" t="s">
        <v>202</v>
      </c>
      <c r="B451" s="283"/>
      <c r="C451" s="296"/>
      <c r="D451" s="310">
        <v>250060</v>
      </c>
      <c r="E451" s="326"/>
      <c r="F451" s="100">
        <f t="shared" si="7"/>
        <v>250060</v>
      </c>
      <c r="G451" t="s">
        <v>1351</v>
      </c>
      <c r="H451" s="198"/>
      <c r="I451" s="100"/>
    </row>
    <row r="452" spans="1:9">
      <c r="A452" s="13" t="s">
        <v>203</v>
      </c>
      <c r="B452" s="284">
        <v>44646</v>
      </c>
      <c r="C452" s="296"/>
      <c r="D452" s="309"/>
      <c r="E452" s="326"/>
      <c r="F452" s="100">
        <f t="shared" si="7"/>
        <v>44646</v>
      </c>
      <c r="G452" t="s">
        <v>1351</v>
      </c>
      <c r="H452" s="272"/>
      <c r="I452" s="100"/>
    </row>
    <row r="453" spans="1:9">
      <c r="A453" s="13" t="s">
        <v>1216</v>
      </c>
      <c r="B453" s="283"/>
      <c r="C453" s="296"/>
      <c r="D453" s="310">
        <v>74997.7</v>
      </c>
      <c r="E453" s="326"/>
      <c r="F453" s="100">
        <f t="shared" si="7"/>
        <v>74997.7</v>
      </c>
      <c r="G453" t="s">
        <v>1351</v>
      </c>
      <c r="H453" s="198"/>
      <c r="I453" s="100"/>
    </row>
    <row r="454" spans="1:9">
      <c r="A454" s="13" t="s">
        <v>73</v>
      </c>
      <c r="B454" s="284">
        <v>4658</v>
      </c>
      <c r="C454" s="296"/>
      <c r="D454" s="310">
        <v>429477</v>
      </c>
      <c r="E454" s="326"/>
      <c r="F454" s="100">
        <f t="shared" si="7"/>
        <v>434135</v>
      </c>
      <c r="G454" t="s">
        <v>1351</v>
      </c>
      <c r="H454" s="267"/>
      <c r="I454" s="100"/>
    </row>
    <row r="455" spans="1:9">
      <c r="A455" s="13" t="s">
        <v>928</v>
      </c>
      <c r="B455" s="284">
        <v>13375</v>
      </c>
      <c r="C455" s="296"/>
      <c r="D455" s="310">
        <v>610368.43000000005</v>
      </c>
      <c r="E455" s="326"/>
      <c r="F455" s="100">
        <f t="shared" si="7"/>
        <v>623743.43000000005</v>
      </c>
      <c r="G455" t="s">
        <v>1351</v>
      </c>
      <c r="H455" s="267"/>
      <c r="I455" s="100"/>
    </row>
    <row r="456" spans="1:9">
      <c r="A456" s="13" t="s">
        <v>77</v>
      </c>
      <c r="B456" s="284">
        <v>1544</v>
      </c>
      <c r="C456" s="296"/>
      <c r="D456" s="310">
        <v>474015</v>
      </c>
      <c r="E456" s="326"/>
      <c r="F456" s="100">
        <f t="shared" si="7"/>
        <v>475559</v>
      </c>
      <c r="G456" t="s">
        <v>1351</v>
      </c>
      <c r="H456" s="267"/>
      <c r="I456" s="100"/>
    </row>
    <row r="457" spans="1:9">
      <c r="A457" s="13" t="s">
        <v>71</v>
      </c>
      <c r="B457" s="284">
        <v>65392</v>
      </c>
      <c r="C457" s="296"/>
      <c r="D457" s="310">
        <v>887036</v>
      </c>
      <c r="E457" s="326"/>
      <c r="F457" s="100">
        <f t="shared" ref="F457:F520" si="8">B457+C457+D457+E457</f>
        <v>952428</v>
      </c>
      <c r="G457" t="s">
        <v>1351</v>
      </c>
      <c r="H457" s="267"/>
      <c r="I457" s="100"/>
    </row>
    <row r="458" spans="1:9">
      <c r="A458" s="13" t="s">
        <v>1542</v>
      </c>
      <c r="B458" s="283"/>
      <c r="C458" s="296"/>
      <c r="D458" s="310">
        <v>17500</v>
      </c>
      <c r="E458" s="326"/>
      <c r="F458" s="100">
        <f t="shared" si="8"/>
        <v>17500</v>
      </c>
      <c r="G458" t="s">
        <v>1351</v>
      </c>
      <c r="H458" s="267"/>
      <c r="I458" s="100"/>
    </row>
    <row r="459" spans="1:9">
      <c r="A459" s="16" t="s">
        <v>927</v>
      </c>
      <c r="B459" s="283"/>
      <c r="C459" s="296"/>
      <c r="D459" s="310">
        <v>1005225</v>
      </c>
      <c r="E459" s="326"/>
      <c r="F459" s="100">
        <f t="shared" si="8"/>
        <v>1005225</v>
      </c>
      <c r="G459" t="s">
        <v>1351</v>
      </c>
      <c r="H459" s="267"/>
      <c r="I459" s="100"/>
    </row>
    <row r="460" spans="1:9">
      <c r="A460" s="13" t="s">
        <v>926</v>
      </c>
      <c r="B460" s="284">
        <v>7080</v>
      </c>
      <c r="C460" s="296"/>
      <c r="D460" s="310">
        <v>6424650.2999999998</v>
      </c>
      <c r="E460" s="326"/>
      <c r="F460" s="100">
        <f t="shared" si="8"/>
        <v>6431730.2999999998</v>
      </c>
      <c r="G460" t="s">
        <v>1351</v>
      </c>
      <c r="H460" s="267"/>
      <c r="I460" s="100"/>
    </row>
    <row r="461" spans="1:9">
      <c r="A461" s="13" t="s">
        <v>204</v>
      </c>
      <c r="B461" s="283"/>
      <c r="C461" s="296"/>
      <c r="D461" s="310">
        <v>32945945</v>
      </c>
      <c r="E461" s="326"/>
      <c r="F461" s="100">
        <f t="shared" si="8"/>
        <v>32945945</v>
      </c>
      <c r="G461" t="s">
        <v>1351</v>
      </c>
      <c r="H461" s="267"/>
      <c r="I461" s="100"/>
    </row>
    <row r="462" spans="1:9">
      <c r="A462" s="13" t="s">
        <v>1753</v>
      </c>
      <c r="B462" s="283"/>
      <c r="C462" s="296"/>
      <c r="D462" s="310">
        <v>710</v>
      </c>
      <c r="E462" s="326"/>
      <c r="F462" s="100">
        <f t="shared" si="8"/>
        <v>710</v>
      </c>
      <c r="G462" t="s">
        <v>1351</v>
      </c>
      <c r="H462" s="267"/>
      <c r="I462" s="100"/>
    </row>
    <row r="463" spans="1:9">
      <c r="A463" s="13" t="s">
        <v>206</v>
      </c>
      <c r="B463" s="283"/>
      <c r="C463" s="296"/>
      <c r="D463" s="310">
        <v>241440</v>
      </c>
      <c r="E463" s="326"/>
      <c r="F463" s="100">
        <f t="shared" si="8"/>
        <v>241440</v>
      </c>
      <c r="G463" t="s">
        <v>1351</v>
      </c>
      <c r="H463" s="267"/>
      <c r="I463" s="100"/>
    </row>
    <row r="464" spans="1:9">
      <c r="A464" s="13" t="s">
        <v>207</v>
      </c>
      <c r="B464" s="283"/>
      <c r="C464" s="296"/>
      <c r="D464" s="310">
        <v>2359818</v>
      </c>
      <c r="E464" s="326"/>
      <c r="F464" s="100">
        <f t="shared" si="8"/>
        <v>2359818</v>
      </c>
      <c r="G464" t="s">
        <v>1351</v>
      </c>
      <c r="H464" s="267"/>
      <c r="I464" s="100"/>
    </row>
    <row r="465" spans="1:9">
      <c r="A465" s="13" t="s">
        <v>208</v>
      </c>
      <c r="B465" s="283"/>
      <c r="C465" s="296"/>
      <c r="D465" s="310">
        <v>355593</v>
      </c>
      <c r="E465" s="326"/>
      <c r="F465" s="100">
        <f t="shared" si="8"/>
        <v>355593</v>
      </c>
      <c r="G465" t="s">
        <v>1351</v>
      </c>
      <c r="H465" s="267"/>
      <c r="I465" s="100"/>
    </row>
    <row r="466" spans="1:9">
      <c r="A466" s="13" t="s">
        <v>2097</v>
      </c>
      <c r="B466" s="283"/>
      <c r="C466" s="296"/>
      <c r="D466" s="310">
        <v>112088</v>
      </c>
      <c r="E466" s="326"/>
      <c r="F466" s="100">
        <f t="shared" si="8"/>
        <v>112088</v>
      </c>
      <c r="G466" t="s">
        <v>1351</v>
      </c>
      <c r="H466" s="267"/>
      <c r="I466" s="100"/>
    </row>
    <row r="467" spans="1:9">
      <c r="A467" s="1" t="s">
        <v>125</v>
      </c>
      <c r="B467" s="341"/>
      <c r="C467" s="109"/>
      <c r="D467" s="347"/>
      <c r="E467" s="204">
        <v>12452141</v>
      </c>
      <c r="F467" s="100">
        <f t="shared" si="8"/>
        <v>12452141</v>
      </c>
      <c r="H467" s="264"/>
      <c r="I467" s="100"/>
    </row>
    <row r="468" spans="1:9">
      <c r="A468" s="13" t="s">
        <v>126</v>
      </c>
      <c r="B468" s="281"/>
      <c r="C468" s="294"/>
      <c r="D468" s="307"/>
      <c r="E468" s="323">
        <v>30000</v>
      </c>
      <c r="F468" s="100">
        <f t="shared" si="8"/>
        <v>30000</v>
      </c>
      <c r="G468" t="s">
        <v>2108</v>
      </c>
      <c r="H468" s="267"/>
      <c r="I468" s="100"/>
    </row>
    <row r="469" spans="1:9">
      <c r="A469" s="13" t="s">
        <v>127</v>
      </c>
      <c r="B469" s="283"/>
      <c r="C469" s="296"/>
      <c r="D469" s="309"/>
      <c r="E469" s="325">
        <v>230500</v>
      </c>
      <c r="F469" s="100">
        <f t="shared" si="8"/>
        <v>230500</v>
      </c>
      <c r="G469" t="s">
        <v>2108</v>
      </c>
      <c r="H469" s="267"/>
      <c r="I469" s="100"/>
    </row>
    <row r="470" spans="1:9">
      <c r="A470" s="13" t="s">
        <v>128</v>
      </c>
      <c r="B470" s="283"/>
      <c r="C470" s="296"/>
      <c r="D470" s="309"/>
      <c r="E470" s="325">
        <v>12071641</v>
      </c>
      <c r="F470" s="100">
        <f t="shared" si="8"/>
        <v>12071641</v>
      </c>
      <c r="G470" t="s">
        <v>2108</v>
      </c>
      <c r="H470" s="263"/>
      <c r="I470" s="100"/>
    </row>
    <row r="471" spans="1:9">
      <c r="A471" s="13" t="s">
        <v>129</v>
      </c>
      <c r="B471" s="283"/>
      <c r="C471" s="296"/>
      <c r="D471" s="309"/>
      <c r="E471" s="325">
        <v>120000</v>
      </c>
      <c r="F471" s="100">
        <f t="shared" si="8"/>
        <v>120000</v>
      </c>
      <c r="G471" t="s">
        <v>2108</v>
      </c>
      <c r="H471" s="263"/>
      <c r="I471" s="100"/>
    </row>
    <row r="472" spans="1:9">
      <c r="A472" s="1" t="s">
        <v>2077</v>
      </c>
      <c r="B472" s="341"/>
      <c r="C472" s="109"/>
      <c r="D472" s="347"/>
      <c r="E472" s="204">
        <v>331366.21999999997</v>
      </c>
      <c r="F472" s="100">
        <f t="shared" si="8"/>
        <v>331366.21999999997</v>
      </c>
      <c r="H472" s="270"/>
      <c r="I472" s="100"/>
    </row>
    <row r="473" spans="1:9">
      <c r="A473" s="13" t="s">
        <v>2077</v>
      </c>
      <c r="B473" s="281"/>
      <c r="C473" s="294"/>
      <c r="D473" s="307"/>
      <c r="E473" s="323">
        <v>331366.21999999997</v>
      </c>
      <c r="F473" s="100">
        <f t="shared" si="8"/>
        <v>331366.21999999997</v>
      </c>
      <c r="G473" t="s">
        <v>2108</v>
      </c>
      <c r="H473" s="267"/>
      <c r="I473" s="100"/>
    </row>
    <row r="474" spans="1:9">
      <c r="A474" s="1" t="s">
        <v>2078</v>
      </c>
      <c r="B474" s="341"/>
      <c r="C474" s="109"/>
      <c r="D474" s="342">
        <v>44819</v>
      </c>
      <c r="E474" s="204">
        <v>86254</v>
      </c>
      <c r="F474" s="100">
        <f>E474-D474</f>
        <v>41435</v>
      </c>
      <c r="G474" t="s">
        <v>2108</v>
      </c>
      <c r="H474" s="270"/>
      <c r="I474" s="100"/>
    </row>
    <row r="475" spans="1:9">
      <c r="A475" s="13" t="s">
        <v>1225</v>
      </c>
      <c r="B475" s="281"/>
      <c r="C475" s="294"/>
      <c r="D475" s="307"/>
      <c r="E475" s="323">
        <v>86254</v>
      </c>
      <c r="F475" s="100">
        <f t="shared" si="8"/>
        <v>86254</v>
      </c>
      <c r="G475" t="s">
        <v>2108</v>
      </c>
      <c r="H475" s="271"/>
      <c r="I475" s="100"/>
    </row>
    <row r="476" spans="1:9">
      <c r="A476" s="13" t="s">
        <v>1536</v>
      </c>
      <c r="B476" s="283"/>
      <c r="C476" s="296"/>
      <c r="D476" s="310">
        <v>4127</v>
      </c>
      <c r="E476" s="326"/>
      <c r="F476" s="100">
        <f t="shared" si="8"/>
        <v>4127</v>
      </c>
      <c r="G476" t="s">
        <v>1351</v>
      </c>
      <c r="H476" s="198"/>
      <c r="I476" s="100"/>
    </row>
    <row r="477" spans="1:9">
      <c r="A477" s="13" t="s">
        <v>1224</v>
      </c>
      <c r="B477" s="283"/>
      <c r="C477" s="296"/>
      <c r="D477" s="310">
        <v>40692</v>
      </c>
      <c r="E477" s="326"/>
      <c r="F477" s="100">
        <f t="shared" si="8"/>
        <v>40692</v>
      </c>
      <c r="G477" t="s">
        <v>1351</v>
      </c>
      <c r="H477" s="198"/>
      <c r="I477" s="100"/>
    </row>
    <row r="478" spans="1:9">
      <c r="A478" s="1" t="s">
        <v>132</v>
      </c>
      <c r="B478" s="341"/>
      <c r="C478" s="109"/>
      <c r="D478" s="342">
        <v>58913773</v>
      </c>
      <c r="E478" s="343"/>
      <c r="F478" s="100">
        <f t="shared" si="8"/>
        <v>58913773</v>
      </c>
      <c r="G478" t="s">
        <v>1351</v>
      </c>
      <c r="H478" s="198"/>
      <c r="I478" s="100"/>
    </row>
    <row r="479" spans="1:9">
      <c r="A479" s="13" t="s">
        <v>132</v>
      </c>
      <c r="B479" s="281"/>
      <c r="C479" s="294"/>
      <c r="D479" s="311">
        <v>58913773</v>
      </c>
      <c r="E479" s="327"/>
      <c r="F479" s="100">
        <f t="shared" si="8"/>
        <v>58913773</v>
      </c>
      <c r="G479" t="s">
        <v>1351</v>
      </c>
      <c r="H479" s="198"/>
      <c r="I479" s="100"/>
    </row>
    <row r="480" spans="1:9">
      <c r="A480" s="1" t="s">
        <v>1754</v>
      </c>
      <c r="B480" s="341"/>
      <c r="C480" s="109"/>
      <c r="D480" s="342">
        <v>13384366.16</v>
      </c>
      <c r="E480" s="204">
        <v>21799269</v>
      </c>
      <c r="F480" s="100">
        <f>E480-D480</f>
        <v>8414902.8399999999</v>
      </c>
      <c r="G480" t="s">
        <v>2108</v>
      </c>
      <c r="H480" s="198"/>
      <c r="I480" s="100"/>
    </row>
    <row r="481" spans="1:9">
      <c r="A481" s="13" t="s">
        <v>1755</v>
      </c>
      <c r="B481" s="281"/>
      <c r="C481" s="294"/>
      <c r="D481" s="307"/>
      <c r="E481" s="323">
        <v>3836155.75</v>
      </c>
      <c r="F481" s="100">
        <f t="shared" si="8"/>
        <v>3836155.75</v>
      </c>
      <c r="G481" t="s">
        <v>2108</v>
      </c>
      <c r="H481" s="198"/>
      <c r="I481" s="100"/>
    </row>
    <row r="482" spans="1:9">
      <c r="A482" s="13" t="s">
        <v>1756</v>
      </c>
      <c r="B482" s="283"/>
      <c r="C482" s="296"/>
      <c r="D482" s="309"/>
      <c r="E482" s="325">
        <v>2465832.75</v>
      </c>
      <c r="F482" s="100">
        <f t="shared" si="8"/>
        <v>2465832.75</v>
      </c>
      <c r="G482" t="s">
        <v>2108</v>
      </c>
      <c r="H482" s="198"/>
      <c r="I482" s="100"/>
    </row>
    <row r="483" spans="1:9">
      <c r="A483" s="13" t="s">
        <v>1757</v>
      </c>
      <c r="B483" s="283"/>
      <c r="C483" s="296"/>
      <c r="D483" s="310">
        <v>0.36</v>
      </c>
      <c r="E483" s="326"/>
      <c r="F483" s="100">
        <f t="shared" si="8"/>
        <v>0.36</v>
      </c>
      <c r="G483" t="s">
        <v>1351</v>
      </c>
      <c r="H483" s="198"/>
      <c r="I483" s="100"/>
    </row>
    <row r="484" spans="1:9">
      <c r="A484" s="13" t="s">
        <v>1758</v>
      </c>
      <c r="B484" s="283"/>
      <c r="C484" s="296"/>
      <c r="D484" s="310">
        <v>0.36</v>
      </c>
      <c r="E484" s="326"/>
      <c r="F484" s="100">
        <f t="shared" si="8"/>
        <v>0.36</v>
      </c>
      <c r="G484" t="s">
        <v>1351</v>
      </c>
      <c r="H484" s="198"/>
      <c r="I484" s="100"/>
    </row>
    <row r="485" spans="1:9">
      <c r="A485" s="16" t="s">
        <v>1754</v>
      </c>
      <c r="B485" s="283"/>
      <c r="C485" s="296"/>
      <c r="D485" s="310">
        <v>13131236</v>
      </c>
      <c r="E485" s="326"/>
      <c r="F485" s="100">
        <f t="shared" si="8"/>
        <v>13131236</v>
      </c>
      <c r="G485" t="s">
        <v>1351</v>
      </c>
      <c r="H485" s="198"/>
      <c r="I485" s="100"/>
    </row>
    <row r="486" spans="1:9">
      <c r="A486" s="13" t="s">
        <v>1759</v>
      </c>
      <c r="B486" s="283"/>
      <c r="C486" s="296"/>
      <c r="D486" s="309"/>
      <c r="E486" s="325">
        <v>2009910.64</v>
      </c>
      <c r="F486" s="100">
        <f t="shared" si="8"/>
        <v>2009910.64</v>
      </c>
      <c r="G486" s="346" t="s">
        <v>2108</v>
      </c>
      <c r="H486" s="198"/>
      <c r="I486" s="100"/>
    </row>
    <row r="487" spans="1:9">
      <c r="A487" s="13" t="s">
        <v>1760</v>
      </c>
      <c r="B487" s="283"/>
      <c r="C487" s="296"/>
      <c r="D487" s="309"/>
      <c r="E487" s="325">
        <v>2794896.64</v>
      </c>
      <c r="F487" s="100">
        <f t="shared" si="8"/>
        <v>2794896.64</v>
      </c>
      <c r="G487" s="346" t="s">
        <v>2108</v>
      </c>
      <c r="H487" s="198"/>
      <c r="I487" s="100"/>
    </row>
    <row r="488" spans="1:9">
      <c r="A488" s="13" t="s">
        <v>1761</v>
      </c>
      <c r="B488" s="283"/>
      <c r="C488" s="296"/>
      <c r="D488" s="309"/>
      <c r="E488" s="325">
        <v>105892.77</v>
      </c>
      <c r="F488" s="100">
        <f t="shared" si="8"/>
        <v>105892.77</v>
      </c>
      <c r="G488" s="346" t="s">
        <v>2108</v>
      </c>
      <c r="H488" s="198"/>
      <c r="I488" s="100"/>
    </row>
    <row r="489" spans="1:9">
      <c r="A489" s="13" t="s">
        <v>1762</v>
      </c>
      <c r="B489" s="283"/>
      <c r="C489" s="296"/>
      <c r="D489" s="309"/>
      <c r="E489" s="325">
        <v>82604.77</v>
      </c>
      <c r="F489" s="100">
        <f t="shared" si="8"/>
        <v>82604.77</v>
      </c>
      <c r="G489" s="346" t="s">
        <v>2108</v>
      </c>
      <c r="H489" s="198"/>
      <c r="I489" s="100"/>
    </row>
    <row r="490" spans="1:9">
      <c r="A490" s="13" t="s">
        <v>1763</v>
      </c>
      <c r="B490" s="283"/>
      <c r="C490" s="296"/>
      <c r="D490" s="309"/>
      <c r="E490" s="325">
        <v>108043.25</v>
      </c>
      <c r="F490" s="100">
        <f t="shared" si="8"/>
        <v>108043.25</v>
      </c>
      <c r="G490" s="346" t="s">
        <v>2108</v>
      </c>
      <c r="H490" s="198"/>
      <c r="I490" s="100"/>
    </row>
    <row r="491" spans="1:9">
      <c r="A491" s="13" t="s">
        <v>1764</v>
      </c>
      <c r="B491" s="283"/>
      <c r="C491" s="296"/>
      <c r="D491" s="309"/>
      <c r="E491" s="325">
        <v>3626.25</v>
      </c>
      <c r="F491" s="100">
        <f t="shared" si="8"/>
        <v>3626.25</v>
      </c>
      <c r="G491" s="346" t="s">
        <v>2108</v>
      </c>
      <c r="H491" s="198"/>
      <c r="I491" s="100"/>
    </row>
    <row r="492" spans="1:9">
      <c r="A492" s="13" t="s">
        <v>1765</v>
      </c>
      <c r="B492" s="283"/>
      <c r="C492" s="296"/>
      <c r="D492" s="309"/>
      <c r="E492" s="325">
        <v>108479.47</v>
      </c>
      <c r="F492" s="100">
        <f t="shared" si="8"/>
        <v>108479.47</v>
      </c>
      <c r="G492" s="346" t="s">
        <v>2108</v>
      </c>
      <c r="H492" s="198"/>
      <c r="I492" s="100"/>
    </row>
    <row r="493" spans="1:9">
      <c r="A493" s="13" t="s">
        <v>1766</v>
      </c>
      <c r="B493" s="283"/>
      <c r="C493" s="296"/>
      <c r="D493" s="309"/>
      <c r="E493" s="325">
        <v>92002.47</v>
      </c>
      <c r="F493" s="100">
        <f t="shared" si="8"/>
        <v>92002.47</v>
      </c>
      <c r="G493" s="346" t="s">
        <v>2108</v>
      </c>
      <c r="H493" s="198"/>
      <c r="I493" s="100"/>
    </row>
    <row r="494" spans="1:9">
      <c r="A494" s="13" t="s">
        <v>1769</v>
      </c>
      <c r="B494" s="283"/>
      <c r="C494" s="296"/>
      <c r="D494" s="309"/>
      <c r="E494" s="325">
        <v>115509.31</v>
      </c>
      <c r="F494" s="100">
        <f t="shared" si="8"/>
        <v>115509.31</v>
      </c>
      <c r="G494" s="346" t="s">
        <v>2108</v>
      </c>
      <c r="H494" s="198"/>
      <c r="I494" s="100"/>
    </row>
    <row r="495" spans="1:9">
      <c r="A495" s="13" t="s">
        <v>1770</v>
      </c>
      <c r="B495" s="283"/>
      <c r="C495" s="296"/>
      <c r="D495" s="309"/>
      <c r="E495" s="325">
        <v>100272.31</v>
      </c>
      <c r="F495" s="100">
        <f t="shared" si="8"/>
        <v>100272.31</v>
      </c>
      <c r="G495" s="346" t="s">
        <v>2108</v>
      </c>
      <c r="H495" s="272"/>
      <c r="I495" s="100"/>
    </row>
    <row r="496" spans="1:9">
      <c r="A496" s="13" t="s">
        <v>1771</v>
      </c>
      <c r="B496" s="283"/>
      <c r="C496" s="296"/>
      <c r="D496" s="309"/>
      <c r="E496" s="325">
        <v>1121839.8500000001</v>
      </c>
      <c r="F496" s="100">
        <f t="shared" si="8"/>
        <v>1121839.8500000001</v>
      </c>
      <c r="G496" s="346" t="s">
        <v>2108</v>
      </c>
      <c r="H496" s="198"/>
      <c r="I496" s="100"/>
    </row>
    <row r="497" spans="1:9">
      <c r="A497" s="13" t="s">
        <v>1772</v>
      </c>
      <c r="B497" s="283"/>
      <c r="C497" s="296"/>
      <c r="D497" s="309"/>
      <c r="E497" s="325">
        <v>799478.85</v>
      </c>
      <c r="F497" s="100">
        <f t="shared" si="8"/>
        <v>799478.85</v>
      </c>
      <c r="G497" s="346" t="s">
        <v>2108</v>
      </c>
      <c r="H497" s="198"/>
      <c r="I497" s="100"/>
    </row>
    <row r="498" spans="1:9">
      <c r="A498" s="13" t="s">
        <v>1773</v>
      </c>
      <c r="B498" s="283"/>
      <c r="C498" s="296"/>
      <c r="D498" s="309"/>
      <c r="E498" s="325">
        <v>3969679.46</v>
      </c>
      <c r="F498" s="100">
        <f t="shared" si="8"/>
        <v>3969679.46</v>
      </c>
      <c r="G498" s="346" t="s">
        <v>2108</v>
      </c>
      <c r="H498" s="198"/>
      <c r="I498" s="100"/>
    </row>
    <row r="499" spans="1:9">
      <c r="A499" s="13" t="s">
        <v>2079</v>
      </c>
      <c r="B499" s="283"/>
      <c r="C499" s="296"/>
      <c r="D499" s="309"/>
      <c r="E499" s="325">
        <v>4085044.46</v>
      </c>
      <c r="F499" s="100">
        <f t="shared" si="8"/>
        <v>4085044.46</v>
      </c>
      <c r="G499" s="346" t="s">
        <v>2108</v>
      </c>
      <c r="H499" s="198"/>
      <c r="I499" s="100"/>
    </row>
    <row r="500" spans="1:9">
      <c r="A500" s="13" t="s">
        <v>1775</v>
      </c>
      <c r="B500" s="283"/>
      <c r="C500" s="296"/>
      <c r="D500" s="310">
        <v>90668.72</v>
      </c>
      <c r="E500" s="326"/>
      <c r="F500" s="100">
        <f t="shared" si="8"/>
        <v>90668.72</v>
      </c>
      <c r="G500" t="s">
        <v>1351</v>
      </c>
      <c r="H500" s="198"/>
      <c r="I500" s="100"/>
    </row>
    <row r="501" spans="1:9">
      <c r="A501" s="13" t="s">
        <v>1776</v>
      </c>
      <c r="B501" s="283"/>
      <c r="C501" s="296"/>
      <c r="D501" s="310">
        <v>162460.72</v>
      </c>
      <c r="E501" s="326"/>
      <c r="F501" s="100">
        <f t="shared" si="8"/>
        <v>162460.72</v>
      </c>
      <c r="G501" t="s">
        <v>1351</v>
      </c>
      <c r="H501" s="198"/>
      <c r="I501" s="100"/>
    </row>
    <row r="502" spans="1:9">
      <c r="A502" s="1" t="s">
        <v>134</v>
      </c>
      <c r="B502" s="341"/>
      <c r="C502" s="109"/>
      <c r="D502" s="342">
        <v>117150</v>
      </c>
      <c r="E502" s="343"/>
      <c r="F502" s="100">
        <f t="shared" si="8"/>
        <v>117150</v>
      </c>
      <c r="G502" t="s">
        <v>1351</v>
      </c>
      <c r="H502" s="198"/>
      <c r="I502" s="100"/>
    </row>
    <row r="503" spans="1:9">
      <c r="A503" s="13" t="s">
        <v>135</v>
      </c>
      <c r="B503" s="281"/>
      <c r="C503" s="294"/>
      <c r="D503" s="311">
        <v>116150</v>
      </c>
      <c r="E503" s="327"/>
      <c r="F503" s="100">
        <f t="shared" si="8"/>
        <v>116150</v>
      </c>
      <c r="G503" t="s">
        <v>1351</v>
      </c>
      <c r="H503" s="198"/>
      <c r="I503" s="100"/>
    </row>
    <row r="504" spans="1:9">
      <c r="A504" s="13" t="s">
        <v>136</v>
      </c>
      <c r="B504" s="283"/>
      <c r="C504" s="296"/>
      <c r="D504" s="310">
        <v>1000</v>
      </c>
      <c r="E504" s="326"/>
      <c r="F504" s="100">
        <f t="shared" si="8"/>
        <v>1000</v>
      </c>
      <c r="G504" t="s">
        <v>1351</v>
      </c>
      <c r="H504" s="198"/>
      <c r="I504" s="100"/>
    </row>
    <row r="505" spans="1:9">
      <c r="A505" s="1" t="s">
        <v>2080</v>
      </c>
      <c r="B505" s="341"/>
      <c r="C505" s="109"/>
      <c r="D505" s="342">
        <v>62901548.049999997</v>
      </c>
      <c r="E505" s="343"/>
      <c r="F505" s="100">
        <f t="shared" si="8"/>
        <v>62901548.049999997</v>
      </c>
      <c r="H505" s="274"/>
      <c r="I505" s="100"/>
    </row>
    <row r="506" spans="1:9">
      <c r="A506" s="14" t="s">
        <v>29</v>
      </c>
      <c r="B506" s="344"/>
      <c r="C506" s="111"/>
      <c r="D506" s="345">
        <v>45767292.170000002</v>
      </c>
      <c r="E506" s="113"/>
      <c r="F506" s="100">
        <f t="shared" si="8"/>
        <v>45767292.170000002</v>
      </c>
      <c r="H506" s="198"/>
      <c r="I506" s="100"/>
    </row>
    <row r="507" spans="1:9">
      <c r="A507" s="15" t="s">
        <v>894</v>
      </c>
      <c r="B507" s="285"/>
      <c r="C507" s="300"/>
      <c r="D507" s="316">
        <v>23000</v>
      </c>
      <c r="E507" s="329"/>
      <c r="F507" s="100">
        <f t="shared" si="8"/>
        <v>23000</v>
      </c>
      <c r="G507" t="s">
        <v>1351</v>
      </c>
      <c r="H507" s="198"/>
      <c r="I507" s="100"/>
    </row>
    <row r="508" spans="1:9">
      <c r="A508" s="15" t="s">
        <v>895</v>
      </c>
      <c r="B508" s="287"/>
      <c r="C508" s="301"/>
      <c r="D508" s="313">
        <v>6258</v>
      </c>
      <c r="E508" s="330"/>
      <c r="F508" s="100">
        <f t="shared" si="8"/>
        <v>6258</v>
      </c>
      <c r="G508" t="s">
        <v>1351</v>
      </c>
      <c r="H508" s="198"/>
      <c r="I508" s="100"/>
    </row>
    <row r="509" spans="1:9">
      <c r="A509" s="15" t="s">
        <v>896</v>
      </c>
      <c r="B509" s="287"/>
      <c r="C509" s="301"/>
      <c r="D509" s="313">
        <v>2852</v>
      </c>
      <c r="E509" s="330"/>
      <c r="F509" s="100">
        <f t="shared" si="8"/>
        <v>2852</v>
      </c>
      <c r="G509" t="s">
        <v>1351</v>
      </c>
      <c r="H509" s="198"/>
      <c r="I509" s="100"/>
    </row>
    <row r="510" spans="1:9">
      <c r="A510" s="15" t="s">
        <v>897</v>
      </c>
      <c r="B510" s="287"/>
      <c r="C510" s="301"/>
      <c r="D510" s="313">
        <v>3792</v>
      </c>
      <c r="E510" s="330"/>
      <c r="F510" s="100">
        <f t="shared" si="8"/>
        <v>3792</v>
      </c>
      <c r="G510" t="s">
        <v>1351</v>
      </c>
      <c r="H510" s="198"/>
      <c r="I510" s="100"/>
    </row>
    <row r="511" spans="1:9">
      <c r="A511" s="15" t="s">
        <v>898</v>
      </c>
      <c r="B511" s="287"/>
      <c r="C511" s="301"/>
      <c r="D511" s="313">
        <v>13000</v>
      </c>
      <c r="E511" s="330"/>
      <c r="F511" s="100">
        <f t="shared" si="8"/>
        <v>13000</v>
      </c>
      <c r="G511" t="s">
        <v>1351</v>
      </c>
      <c r="H511" s="198"/>
      <c r="I511" s="100"/>
    </row>
    <row r="512" spans="1:9">
      <c r="A512" s="15" t="s">
        <v>899</v>
      </c>
      <c r="B512" s="287"/>
      <c r="C512" s="301"/>
      <c r="D512" s="313">
        <v>35000</v>
      </c>
      <c r="E512" s="330"/>
      <c r="F512" s="100">
        <f t="shared" si="8"/>
        <v>35000</v>
      </c>
      <c r="G512" t="s">
        <v>1351</v>
      </c>
      <c r="H512" s="198"/>
      <c r="I512" s="100"/>
    </row>
    <row r="513" spans="1:9">
      <c r="A513" s="15" t="s">
        <v>900</v>
      </c>
      <c r="B513" s="287"/>
      <c r="C513" s="301"/>
      <c r="D513" s="313">
        <v>10000</v>
      </c>
      <c r="E513" s="330"/>
      <c r="F513" s="100">
        <f t="shared" si="8"/>
        <v>10000</v>
      </c>
      <c r="G513" t="s">
        <v>1351</v>
      </c>
      <c r="H513" s="198"/>
      <c r="I513" s="100"/>
    </row>
    <row r="514" spans="1:9">
      <c r="A514" s="17" t="s">
        <v>901</v>
      </c>
      <c r="B514" s="287"/>
      <c r="C514" s="301"/>
      <c r="D514" s="313">
        <v>130161</v>
      </c>
      <c r="E514" s="330"/>
      <c r="F514" s="100">
        <f t="shared" si="8"/>
        <v>130161</v>
      </c>
      <c r="G514" t="s">
        <v>1351</v>
      </c>
      <c r="H514" s="267"/>
      <c r="I514" s="100"/>
    </row>
    <row r="515" spans="1:9">
      <c r="A515" s="17" t="s">
        <v>902</v>
      </c>
      <c r="B515" s="287"/>
      <c r="C515" s="301"/>
      <c r="D515" s="313">
        <v>48314.43</v>
      </c>
      <c r="E515" s="330"/>
      <c r="F515" s="100">
        <f t="shared" si="8"/>
        <v>48314.43</v>
      </c>
      <c r="G515" t="s">
        <v>1351</v>
      </c>
      <c r="H515" s="264"/>
      <c r="I515" s="100"/>
    </row>
    <row r="516" spans="1:9">
      <c r="A516" s="15" t="s">
        <v>903</v>
      </c>
      <c r="B516" s="287"/>
      <c r="C516" s="301"/>
      <c r="D516" s="313">
        <v>56000</v>
      </c>
      <c r="E516" s="330"/>
      <c r="F516" s="100">
        <f t="shared" si="8"/>
        <v>56000</v>
      </c>
      <c r="G516" t="s">
        <v>1351</v>
      </c>
      <c r="H516" s="263"/>
      <c r="I516" s="100"/>
    </row>
    <row r="517" spans="1:9">
      <c r="A517" s="17" t="s">
        <v>904</v>
      </c>
      <c r="B517" s="287"/>
      <c r="C517" s="301"/>
      <c r="D517" s="313">
        <v>4781.92</v>
      </c>
      <c r="E517" s="330"/>
      <c r="F517" s="100">
        <f t="shared" si="8"/>
        <v>4781.92</v>
      </c>
      <c r="G517" t="s">
        <v>1351</v>
      </c>
      <c r="H517" s="270"/>
      <c r="I517" s="100"/>
    </row>
    <row r="518" spans="1:9">
      <c r="A518" s="17" t="s">
        <v>905</v>
      </c>
      <c r="B518" s="287"/>
      <c r="C518" s="301"/>
      <c r="D518" s="313">
        <v>20556</v>
      </c>
      <c r="E518" s="330"/>
      <c r="F518" s="100">
        <f t="shared" si="8"/>
        <v>20556</v>
      </c>
      <c r="G518" t="s">
        <v>1351</v>
      </c>
      <c r="H518" s="271"/>
      <c r="I518" s="100"/>
    </row>
    <row r="519" spans="1:9">
      <c r="A519" s="13" t="s">
        <v>906</v>
      </c>
      <c r="B519" s="287"/>
      <c r="C519" s="301"/>
      <c r="D519" s="313">
        <v>44931016.93</v>
      </c>
      <c r="E519" s="330"/>
      <c r="F519" s="100">
        <f t="shared" si="8"/>
        <v>44931016.93</v>
      </c>
      <c r="G519" t="s">
        <v>1351</v>
      </c>
      <c r="H519" s="198"/>
      <c r="I519" s="100"/>
    </row>
    <row r="520" spans="1:9">
      <c r="A520" s="15" t="s">
        <v>907</v>
      </c>
      <c r="B520" s="287"/>
      <c r="C520" s="301"/>
      <c r="D520" s="313">
        <v>149259.89000000001</v>
      </c>
      <c r="E520" s="330"/>
      <c r="F520" s="100">
        <f t="shared" si="8"/>
        <v>149259.89000000001</v>
      </c>
      <c r="G520" t="s">
        <v>1351</v>
      </c>
      <c r="H520" s="272"/>
      <c r="I520" s="100"/>
    </row>
    <row r="521" spans="1:9">
      <c r="A521" s="17" t="s">
        <v>908</v>
      </c>
      <c r="B521" s="287"/>
      <c r="C521" s="301"/>
      <c r="D521" s="313">
        <v>4000</v>
      </c>
      <c r="E521" s="330"/>
      <c r="F521" s="100">
        <f t="shared" ref="F521:F549" si="9">B521+C521+D521+E521</f>
        <v>4000</v>
      </c>
      <c r="G521" t="s">
        <v>1351</v>
      </c>
      <c r="H521" s="198"/>
      <c r="I521" s="100"/>
    </row>
    <row r="522" spans="1:9">
      <c r="A522" s="15" t="s">
        <v>909</v>
      </c>
      <c r="B522" s="287"/>
      <c r="C522" s="301"/>
      <c r="D522" s="313">
        <v>176124</v>
      </c>
      <c r="E522" s="330"/>
      <c r="F522" s="100">
        <f t="shared" si="9"/>
        <v>176124</v>
      </c>
      <c r="G522" t="s">
        <v>1351</v>
      </c>
      <c r="H522" s="267"/>
      <c r="I522" s="100"/>
    </row>
    <row r="523" spans="1:9">
      <c r="A523" s="15" t="s">
        <v>910</v>
      </c>
      <c r="B523" s="287"/>
      <c r="C523" s="301"/>
      <c r="D523" s="313">
        <v>145476</v>
      </c>
      <c r="E523" s="330"/>
      <c r="F523" s="100">
        <f t="shared" si="9"/>
        <v>145476</v>
      </c>
      <c r="G523" t="s">
        <v>1351</v>
      </c>
      <c r="H523" s="267"/>
      <c r="I523" s="100"/>
    </row>
    <row r="524" spans="1:9">
      <c r="A524" s="17" t="s">
        <v>911</v>
      </c>
      <c r="B524" s="287"/>
      <c r="C524" s="301"/>
      <c r="D524" s="313">
        <v>7700</v>
      </c>
      <c r="E524" s="330"/>
      <c r="F524" s="100">
        <f t="shared" si="9"/>
        <v>7700</v>
      </c>
      <c r="G524" t="s">
        <v>1351</v>
      </c>
      <c r="H524" s="267"/>
      <c r="I524" s="100"/>
    </row>
    <row r="525" spans="1:9">
      <c r="A525" s="14" t="s">
        <v>2081</v>
      </c>
      <c r="B525" s="339"/>
      <c r="C525" s="114"/>
      <c r="D525" s="340">
        <v>8268643.5300000003</v>
      </c>
      <c r="E525" s="108"/>
      <c r="F525" s="100">
        <f t="shared" si="9"/>
        <v>8268643.5300000003</v>
      </c>
      <c r="H525" s="267"/>
      <c r="I525" s="100"/>
    </row>
    <row r="526" spans="1:9">
      <c r="A526" s="13" t="s">
        <v>921</v>
      </c>
      <c r="B526" s="285"/>
      <c r="C526" s="300"/>
      <c r="D526" s="316">
        <v>8268643.5300000003</v>
      </c>
      <c r="E526" s="329"/>
      <c r="F526" s="100">
        <f t="shared" si="9"/>
        <v>8268643.5300000003</v>
      </c>
      <c r="G526" t="s">
        <v>1351</v>
      </c>
      <c r="H526" s="267"/>
      <c r="I526" s="100"/>
    </row>
    <row r="527" spans="1:9">
      <c r="A527" s="13" t="s">
        <v>2082</v>
      </c>
      <c r="B527" s="283"/>
      <c r="C527" s="296"/>
      <c r="D527" s="310">
        <v>5816000</v>
      </c>
      <c r="E527" s="326"/>
      <c r="F527" s="100">
        <f t="shared" si="9"/>
        <v>5816000</v>
      </c>
      <c r="G527" t="s">
        <v>1351</v>
      </c>
      <c r="H527" s="267"/>
      <c r="I527" s="100"/>
    </row>
    <row r="528" spans="1:9">
      <c r="A528" s="13" t="s">
        <v>140</v>
      </c>
      <c r="B528" s="283"/>
      <c r="C528" s="296"/>
      <c r="D528" s="310">
        <v>40000</v>
      </c>
      <c r="E528" s="326"/>
      <c r="F528" s="100">
        <f t="shared" si="9"/>
        <v>40000</v>
      </c>
      <c r="G528" t="s">
        <v>1351</v>
      </c>
      <c r="H528" s="267"/>
      <c r="I528" s="100"/>
    </row>
    <row r="529" spans="1:9">
      <c r="A529" s="13" t="s">
        <v>923</v>
      </c>
      <c r="B529" s="283"/>
      <c r="C529" s="296"/>
      <c r="D529" s="310">
        <v>48000</v>
      </c>
      <c r="E529" s="326"/>
      <c r="F529" s="100">
        <f t="shared" si="9"/>
        <v>48000</v>
      </c>
      <c r="G529" t="s">
        <v>1351</v>
      </c>
      <c r="H529" s="267"/>
      <c r="I529" s="100"/>
    </row>
    <row r="530" spans="1:9">
      <c r="A530" s="13" t="s">
        <v>141</v>
      </c>
      <c r="B530" s="283"/>
      <c r="C530" s="296"/>
      <c r="D530" s="310">
        <v>1010115</v>
      </c>
      <c r="E530" s="326"/>
      <c r="F530" s="100">
        <f t="shared" si="9"/>
        <v>1010115</v>
      </c>
      <c r="G530" t="s">
        <v>1351</v>
      </c>
      <c r="H530" s="267"/>
      <c r="I530" s="100"/>
    </row>
    <row r="531" spans="1:9">
      <c r="A531" s="13" t="s">
        <v>142</v>
      </c>
      <c r="B531" s="283"/>
      <c r="C531" s="296"/>
      <c r="D531" s="310">
        <v>9530</v>
      </c>
      <c r="E531" s="326"/>
      <c r="F531" s="100">
        <f t="shared" si="9"/>
        <v>9530</v>
      </c>
      <c r="G531" t="s">
        <v>1351</v>
      </c>
      <c r="H531" s="267"/>
      <c r="I531" s="100"/>
    </row>
    <row r="532" spans="1:9">
      <c r="A532" s="13" t="s">
        <v>143</v>
      </c>
      <c r="B532" s="283"/>
      <c r="C532" s="296"/>
      <c r="D532" s="310">
        <v>586400</v>
      </c>
      <c r="E532" s="326"/>
      <c r="F532" s="100">
        <f t="shared" si="9"/>
        <v>586400</v>
      </c>
      <c r="G532" t="s">
        <v>1351</v>
      </c>
      <c r="H532" s="267"/>
      <c r="I532" s="100"/>
    </row>
    <row r="533" spans="1:9">
      <c r="A533" s="13" t="s">
        <v>144</v>
      </c>
      <c r="B533" s="283"/>
      <c r="C533" s="296"/>
      <c r="D533" s="310">
        <v>5500</v>
      </c>
      <c r="E533" s="326"/>
      <c r="F533" s="100">
        <f t="shared" si="9"/>
        <v>5500</v>
      </c>
      <c r="G533" t="s">
        <v>1351</v>
      </c>
      <c r="H533" s="267"/>
      <c r="I533" s="100"/>
    </row>
    <row r="534" spans="1:9">
      <c r="A534" s="13" t="s">
        <v>145</v>
      </c>
      <c r="B534" s="283"/>
      <c r="C534" s="296"/>
      <c r="D534" s="310">
        <v>286113</v>
      </c>
      <c r="E534" s="326"/>
      <c r="F534" s="100">
        <f t="shared" si="9"/>
        <v>286113</v>
      </c>
      <c r="G534" t="s">
        <v>1351</v>
      </c>
      <c r="H534" s="267"/>
      <c r="I534" s="100"/>
    </row>
    <row r="535" spans="1:9">
      <c r="A535" s="13" t="s">
        <v>146</v>
      </c>
      <c r="B535" s="283"/>
      <c r="C535" s="296"/>
      <c r="D535" s="310">
        <v>13150</v>
      </c>
      <c r="E535" s="326"/>
      <c r="F535" s="100">
        <f t="shared" si="9"/>
        <v>13150</v>
      </c>
      <c r="G535" t="s">
        <v>1351</v>
      </c>
      <c r="H535" s="267"/>
      <c r="I535" s="100"/>
    </row>
    <row r="536" spans="1:9">
      <c r="A536" s="13" t="s">
        <v>147</v>
      </c>
      <c r="B536" s="283"/>
      <c r="C536" s="296"/>
      <c r="D536" s="310">
        <v>441587</v>
      </c>
      <c r="E536" s="326"/>
      <c r="F536" s="100">
        <f t="shared" si="9"/>
        <v>441587</v>
      </c>
      <c r="G536" t="s">
        <v>1351</v>
      </c>
      <c r="H536" s="267"/>
      <c r="I536" s="100"/>
    </row>
    <row r="537" spans="1:9">
      <c r="A537" s="13" t="s">
        <v>148</v>
      </c>
      <c r="B537" s="283"/>
      <c r="C537" s="296"/>
      <c r="D537" s="310">
        <v>328640.34999999998</v>
      </c>
      <c r="E537" s="326"/>
      <c r="F537" s="100">
        <f t="shared" si="9"/>
        <v>328640.34999999998</v>
      </c>
      <c r="G537" t="s">
        <v>1351</v>
      </c>
      <c r="H537" s="267"/>
      <c r="I537" s="100"/>
    </row>
    <row r="538" spans="1:9">
      <c r="A538" s="13" t="s">
        <v>149</v>
      </c>
      <c r="B538" s="283"/>
      <c r="C538" s="296"/>
      <c r="D538" s="310">
        <v>251995</v>
      </c>
      <c r="E538" s="326"/>
      <c r="F538" s="100">
        <f t="shared" si="9"/>
        <v>251995</v>
      </c>
      <c r="G538" t="s">
        <v>1351</v>
      </c>
      <c r="H538" s="267"/>
      <c r="I538" s="100"/>
    </row>
    <row r="539" spans="1:9">
      <c r="A539" s="13" t="s">
        <v>150</v>
      </c>
      <c r="B539" s="283"/>
      <c r="C539" s="296"/>
      <c r="D539" s="310">
        <v>28582</v>
      </c>
      <c r="E539" s="326"/>
      <c r="F539" s="100">
        <f t="shared" si="9"/>
        <v>28582</v>
      </c>
      <c r="G539" t="s">
        <v>1351</v>
      </c>
      <c r="H539" s="267"/>
      <c r="I539" s="100"/>
    </row>
    <row r="540" spans="1:9">
      <c r="A540" s="1" t="s">
        <v>151</v>
      </c>
      <c r="B540" s="288"/>
      <c r="C540" s="299"/>
      <c r="D540" s="308">
        <v>103000951</v>
      </c>
      <c r="E540" s="324">
        <v>316822509.06</v>
      </c>
      <c r="F540" s="100">
        <f>E540-D540</f>
        <v>213821558.06</v>
      </c>
      <c r="H540" s="267"/>
      <c r="I540" s="100"/>
    </row>
    <row r="541" spans="1:9">
      <c r="A541" s="13" t="s">
        <v>152</v>
      </c>
      <c r="B541" s="281"/>
      <c r="C541" s="294"/>
      <c r="D541" s="311">
        <v>87556385</v>
      </c>
      <c r="E541" s="327"/>
      <c r="F541" s="100">
        <f t="shared" si="9"/>
        <v>87556385</v>
      </c>
      <c r="G541" t="s">
        <v>1351</v>
      </c>
      <c r="H541" s="267"/>
      <c r="I541" s="100"/>
    </row>
    <row r="542" spans="1:9">
      <c r="A542" s="13" t="s">
        <v>153</v>
      </c>
      <c r="B542" s="283"/>
      <c r="C542" s="296"/>
      <c r="D542" s="310">
        <v>15444566</v>
      </c>
      <c r="E542" s="326"/>
      <c r="F542" s="100">
        <f t="shared" si="9"/>
        <v>15444566</v>
      </c>
      <c r="G542" t="s">
        <v>1351</v>
      </c>
      <c r="H542" s="267"/>
      <c r="I542" s="100"/>
    </row>
    <row r="543" spans="1:9">
      <c r="A543" s="13" t="s">
        <v>154</v>
      </c>
      <c r="B543" s="283"/>
      <c r="C543" s="296"/>
      <c r="D543" s="309"/>
      <c r="E543" s="325">
        <v>44374031.420000002</v>
      </c>
      <c r="F543" s="100">
        <f t="shared" si="9"/>
        <v>44374031.420000002</v>
      </c>
      <c r="G543" t="s">
        <v>2108</v>
      </c>
      <c r="H543" s="267"/>
      <c r="I543" s="100"/>
    </row>
    <row r="544" spans="1:9">
      <c r="A544" s="13" t="s">
        <v>155</v>
      </c>
      <c r="B544" s="283"/>
      <c r="C544" s="296"/>
      <c r="D544" s="309"/>
      <c r="E544" s="325">
        <v>272448477.63999999</v>
      </c>
      <c r="F544" s="100">
        <f t="shared" si="9"/>
        <v>272448477.63999999</v>
      </c>
      <c r="G544" t="s">
        <v>2108</v>
      </c>
      <c r="H544" s="267"/>
      <c r="I544" s="100"/>
    </row>
    <row r="545" spans="1:9">
      <c r="A545" s="1" t="s">
        <v>156</v>
      </c>
      <c r="B545" s="288"/>
      <c r="C545" s="299"/>
      <c r="D545" s="315"/>
      <c r="E545" s="328"/>
      <c r="F545" s="100">
        <f t="shared" si="9"/>
        <v>0</v>
      </c>
      <c r="H545" s="267"/>
      <c r="I545" s="100"/>
    </row>
    <row r="546" spans="1:9">
      <c r="A546" s="14" t="s">
        <v>157</v>
      </c>
      <c r="B546" s="285"/>
      <c r="C546" s="300"/>
      <c r="D546" s="312"/>
      <c r="E546" s="329"/>
      <c r="F546" s="100">
        <f t="shared" si="9"/>
        <v>0</v>
      </c>
      <c r="H546" s="267"/>
      <c r="I546" s="100"/>
    </row>
    <row r="547" spans="1:9">
      <c r="A547" s="1" t="s">
        <v>158</v>
      </c>
      <c r="B547" s="288"/>
      <c r="C547" s="299"/>
      <c r="D547" s="308">
        <v>22500000</v>
      </c>
      <c r="E547" s="328"/>
      <c r="F547" s="100">
        <f t="shared" si="9"/>
        <v>22500000</v>
      </c>
      <c r="H547" s="267"/>
      <c r="I547" s="100"/>
    </row>
    <row r="548" spans="1:9">
      <c r="A548" s="16" t="s">
        <v>158</v>
      </c>
      <c r="B548" s="281"/>
      <c r="C548" s="294"/>
      <c r="D548" s="311">
        <v>22500000</v>
      </c>
      <c r="E548" s="327"/>
      <c r="F548" s="100">
        <f t="shared" si="9"/>
        <v>22500000</v>
      </c>
      <c r="H548" s="267"/>
      <c r="I548" s="100"/>
    </row>
    <row r="549" spans="1:9">
      <c r="A549" s="1" t="s">
        <v>2083</v>
      </c>
      <c r="B549" s="290"/>
      <c r="C549" s="302"/>
      <c r="D549" s="317"/>
      <c r="E549" s="333"/>
      <c r="F549" s="100">
        <f t="shared" si="9"/>
        <v>0</v>
      </c>
      <c r="H549" s="267"/>
      <c r="I549" s="100"/>
    </row>
    <row r="550" spans="1:9">
      <c r="A550" s="2" t="s">
        <v>74</v>
      </c>
      <c r="B550" s="289">
        <v>201203933.38</v>
      </c>
      <c r="C550" s="301"/>
      <c r="D550" s="314"/>
      <c r="E550" s="332">
        <v>201203939.09</v>
      </c>
      <c r="F550" s="100">
        <f>E550-B550</f>
        <v>5.7100000083446503</v>
      </c>
      <c r="H550" s="267"/>
    </row>
    <row r="551" spans="1:9">
      <c r="A551" s="19" t="s">
        <v>75</v>
      </c>
      <c r="B551" s="291">
        <v>236029191.78</v>
      </c>
      <c r="C551" s="303">
        <v>236029191.78</v>
      </c>
      <c r="D551" s="318">
        <v>882028879.50999999</v>
      </c>
      <c r="E551" s="322">
        <v>882028879.50999999</v>
      </c>
      <c r="H551" s="267"/>
    </row>
    <row r="552" spans="1:9">
      <c r="H552" s="267"/>
    </row>
    <row r="553" spans="1:9">
      <c r="H553" s="267"/>
    </row>
    <row r="554" spans="1:9">
      <c r="H554" s="267"/>
    </row>
    <row r="555" spans="1:9">
      <c r="H555" s="199"/>
    </row>
  </sheetData>
  <mergeCells count="1">
    <mergeCell ref="A1:C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694"/>
  <sheetViews>
    <sheetView topLeftCell="A584" workbookViewId="0">
      <selection activeCell="B594" sqref="B594"/>
    </sheetView>
  </sheetViews>
  <sheetFormatPr defaultColWidth="8.5546875" defaultRowHeight="14.4"/>
  <cols>
    <col min="1" max="1" width="9.44140625" customWidth="1"/>
    <col min="2" max="2" width="51.44140625" bestFit="1" customWidth="1"/>
    <col min="3" max="4" width="13" bestFit="1" customWidth="1"/>
    <col min="5" max="5" width="13" customWidth="1"/>
    <col min="12" max="12" width="12.5546875" bestFit="1" customWidth="1"/>
    <col min="13" max="13" width="11.5546875" bestFit="1" customWidth="1"/>
    <col min="14" max="14" width="15.5546875" bestFit="1" customWidth="1"/>
  </cols>
  <sheetData>
    <row r="1" spans="1:13" ht="15.6">
      <c r="B1" s="2699" t="s">
        <v>1844</v>
      </c>
      <c r="C1" s="2699"/>
      <c r="D1" s="2699"/>
      <c r="E1" s="276"/>
    </row>
    <row r="2" spans="1:13" ht="15.6">
      <c r="B2" s="2699" t="s">
        <v>81</v>
      </c>
      <c r="C2" s="2699"/>
      <c r="D2" s="2699"/>
      <c r="E2" s="276"/>
    </row>
    <row r="3" spans="1:13">
      <c r="B3" s="2700" t="s">
        <v>1666</v>
      </c>
      <c r="C3" s="2700"/>
      <c r="D3" s="2700"/>
      <c r="E3" s="277"/>
    </row>
    <row r="4" spans="1:13">
      <c r="B4" s="10" t="s">
        <v>82</v>
      </c>
      <c r="C4" s="2911" t="s">
        <v>1844</v>
      </c>
      <c r="D4" s="2908"/>
      <c r="E4" s="335"/>
    </row>
    <row r="5" spans="1:13">
      <c r="B5" s="11" t="s">
        <v>1</v>
      </c>
      <c r="C5" s="2706" t="s">
        <v>1666</v>
      </c>
      <c r="D5" s="2707"/>
      <c r="E5" s="278"/>
    </row>
    <row r="6" spans="1:13">
      <c r="B6" s="11" t="s">
        <v>82</v>
      </c>
      <c r="C6" s="2708" t="s">
        <v>20</v>
      </c>
      <c r="D6" s="2709"/>
      <c r="E6" s="336"/>
    </row>
    <row r="7" spans="1:13">
      <c r="B7" s="12" t="s">
        <v>82</v>
      </c>
      <c r="C7" s="101" t="s">
        <v>66</v>
      </c>
      <c r="D7" s="101" t="s">
        <v>67</v>
      </c>
      <c r="E7" s="337"/>
      <c r="M7" t="s">
        <v>1849</v>
      </c>
    </row>
    <row r="8" spans="1:13">
      <c r="B8" s="1" t="s">
        <v>84</v>
      </c>
      <c r="C8" s="102"/>
      <c r="D8" s="103">
        <v>7147460</v>
      </c>
      <c r="E8" s="193"/>
      <c r="M8" t="s">
        <v>1850</v>
      </c>
    </row>
    <row r="9" spans="1:13">
      <c r="B9" s="13" t="s">
        <v>85</v>
      </c>
      <c r="C9" s="96"/>
      <c r="D9" s="104">
        <v>7147460</v>
      </c>
      <c r="E9" s="104"/>
      <c r="M9" t="s">
        <v>1851</v>
      </c>
    </row>
    <row r="10" spans="1:13">
      <c r="B10" s="1" t="s">
        <v>86</v>
      </c>
      <c r="C10" s="105">
        <v>7242945</v>
      </c>
      <c r="D10" s="105">
        <v>12860904.73</v>
      </c>
      <c r="E10" s="193"/>
      <c r="M10" t="s">
        <v>1852</v>
      </c>
    </row>
    <row r="11" spans="1:13">
      <c r="B11" s="14" t="s">
        <v>87</v>
      </c>
      <c r="C11" s="95"/>
      <c r="D11" s="95"/>
      <c r="E11" s="95"/>
      <c r="M11" t="s">
        <v>1853</v>
      </c>
    </row>
    <row r="12" spans="1:13">
      <c r="B12" s="14" t="s">
        <v>89</v>
      </c>
      <c r="C12" s="106">
        <v>7242945</v>
      </c>
      <c r="D12" s="106">
        <v>12455492.59</v>
      </c>
      <c r="E12" s="112"/>
      <c r="M12" t="s">
        <v>1854</v>
      </c>
    </row>
    <row r="13" spans="1:13">
      <c r="B13" s="203" t="s">
        <v>1295</v>
      </c>
      <c r="C13" s="201">
        <v>889138</v>
      </c>
      <c r="D13" s="201">
        <v>4263548.93</v>
      </c>
      <c r="E13" s="338"/>
    </row>
    <row r="14" spans="1:13">
      <c r="A14" t="s">
        <v>1552</v>
      </c>
      <c r="B14" s="190" t="s">
        <v>1668</v>
      </c>
      <c r="C14" s="96"/>
      <c r="D14" s="104">
        <v>16</v>
      </c>
      <c r="E14" s="253">
        <f>-D14</f>
        <v>-16</v>
      </c>
      <c r="F14" s="249" t="s">
        <v>1777</v>
      </c>
    </row>
    <row r="15" spans="1:13">
      <c r="A15" t="s">
        <v>1643</v>
      </c>
      <c r="B15" s="190" t="s">
        <v>557</v>
      </c>
      <c r="C15" s="96"/>
      <c r="D15" s="104">
        <f>468288.93+412000</f>
        <v>880288.92999999993</v>
      </c>
      <c r="E15" s="253">
        <f t="shared" ref="E15:E20" si="0">-D15</f>
        <v>-880288.92999999993</v>
      </c>
      <c r="F15" s="249" t="s">
        <v>1778</v>
      </c>
    </row>
    <row r="16" spans="1:13">
      <c r="A16" t="s">
        <v>1552</v>
      </c>
      <c r="B16" s="190" t="s">
        <v>558</v>
      </c>
      <c r="C16" s="96"/>
      <c r="D16" s="104">
        <v>4202</v>
      </c>
      <c r="E16" s="253">
        <f t="shared" si="0"/>
        <v>-4202</v>
      </c>
      <c r="F16" s="249" t="s">
        <v>1777</v>
      </c>
    </row>
    <row r="17" spans="1:6">
      <c r="A17" t="s">
        <v>1552</v>
      </c>
      <c r="B17" s="15" t="s">
        <v>1669</v>
      </c>
      <c r="C17" s="96"/>
      <c r="D17" s="104">
        <v>900</v>
      </c>
      <c r="E17" s="253">
        <f t="shared" si="0"/>
        <v>-900</v>
      </c>
      <c r="F17" s="249" t="s">
        <v>1777</v>
      </c>
    </row>
    <row r="18" spans="1:6">
      <c r="A18" t="s">
        <v>1552</v>
      </c>
      <c r="B18" s="190" t="s">
        <v>1378</v>
      </c>
      <c r="C18" s="96"/>
      <c r="D18" s="104">
        <v>24150</v>
      </c>
      <c r="E18" s="253">
        <f t="shared" si="0"/>
        <v>-24150</v>
      </c>
      <c r="F18" s="249" t="s">
        <v>1777</v>
      </c>
    </row>
    <row r="19" spans="1:6">
      <c r="A19" t="s">
        <v>1552</v>
      </c>
      <c r="B19" s="191" t="s">
        <v>1379</v>
      </c>
      <c r="C19" s="96"/>
      <c r="D19" s="104">
        <v>46383</v>
      </c>
      <c r="E19" s="253">
        <f t="shared" si="0"/>
        <v>-46383</v>
      </c>
      <c r="F19" s="249" t="s">
        <v>1777</v>
      </c>
    </row>
    <row r="20" spans="1:6">
      <c r="A20" t="s">
        <v>1552</v>
      </c>
      <c r="B20" s="15" t="s">
        <v>559</v>
      </c>
      <c r="C20" s="96"/>
      <c r="D20" s="104">
        <v>12864</v>
      </c>
      <c r="E20" s="253">
        <f t="shared" si="0"/>
        <v>-12864</v>
      </c>
      <c r="F20" s="249" t="s">
        <v>1777</v>
      </c>
    </row>
    <row r="21" spans="1:6">
      <c r="A21" t="s">
        <v>1575</v>
      </c>
      <c r="B21" s="190" t="s">
        <v>1670</v>
      </c>
      <c r="C21" s="104">
        <v>47780</v>
      </c>
      <c r="D21" s="96"/>
      <c r="E21" s="216">
        <f>C21</f>
        <v>47780</v>
      </c>
      <c r="F21" s="249" t="s">
        <v>1576</v>
      </c>
    </row>
    <row r="22" spans="1:6">
      <c r="A22" t="s">
        <v>1552</v>
      </c>
      <c r="B22" s="190" t="s">
        <v>969</v>
      </c>
      <c r="C22" s="96"/>
      <c r="D22" s="104">
        <v>5439</v>
      </c>
      <c r="E22" s="253">
        <f t="shared" ref="E22:E28" si="1">-D22</f>
        <v>-5439</v>
      </c>
      <c r="F22" s="249" t="s">
        <v>1777</v>
      </c>
    </row>
    <row r="23" spans="1:6">
      <c r="A23" t="s">
        <v>1552</v>
      </c>
      <c r="B23" s="190" t="s">
        <v>1380</v>
      </c>
      <c r="C23" s="96"/>
      <c r="D23" s="104">
        <v>1330</v>
      </c>
      <c r="E23" s="253">
        <f t="shared" si="1"/>
        <v>-1330</v>
      </c>
      <c r="F23" s="249" t="s">
        <v>1777</v>
      </c>
    </row>
    <row r="24" spans="1:6">
      <c r="A24" t="s">
        <v>1552</v>
      </c>
      <c r="B24" s="15" t="s">
        <v>560</v>
      </c>
      <c r="C24" s="96"/>
      <c r="D24" s="104">
        <v>182380</v>
      </c>
      <c r="E24" s="253">
        <f t="shared" si="1"/>
        <v>-182380</v>
      </c>
      <c r="F24" s="249" t="s">
        <v>1777</v>
      </c>
    </row>
    <row r="25" spans="1:6">
      <c r="A25" t="s">
        <v>1552</v>
      </c>
      <c r="B25" s="15" t="s">
        <v>1671</v>
      </c>
      <c r="C25" s="96"/>
      <c r="D25" s="104">
        <v>35000</v>
      </c>
      <c r="E25" s="253">
        <f t="shared" si="1"/>
        <v>-35000</v>
      </c>
      <c r="F25" s="249" t="s">
        <v>1777</v>
      </c>
    </row>
    <row r="26" spans="1:6">
      <c r="A26" t="s">
        <v>1552</v>
      </c>
      <c r="B26" s="13" t="s">
        <v>561</v>
      </c>
      <c r="C26" s="96"/>
      <c r="D26" s="104">
        <v>252786</v>
      </c>
      <c r="E26" s="253">
        <f t="shared" si="1"/>
        <v>-252786</v>
      </c>
      <c r="F26" s="249" t="s">
        <v>1777</v>
      </c>
    </row>
    <row r="27" spans="1:6">
      <c r="A27" t="s">
        <v>1552</v>
      </c>
      <c r="B27" s="190" t="s">
        <v>1293</v>
      </c>
      <c r="C27" s="96"/>
      <c r="D27" s="104">
        <v>17000</v>
      </c>
      <c r="E27" s="253">
        <f t="shared" si="1"/>
        <v>-17000</v>
      </c>
      <c r="F27" s="249" t="s">
        <v>1777</v>
      </c>
    </row>
    <row r="28" spans="1:6">
      <c r="A28" t="s">
        <v>1552</v>
      </c>
      <c r="B28" s="17" t="s">
        <v>563</v>
      </c>
      <c r="C28" s="96"/>
      <c r="D28" s="104">
        <v>111200</v>
      </c>
      <c r="E28" s="253">
        <f t="shared" si="1"/>
        <v>-111200</v>
      </c>
      <c r="F28" s="249" t="s">
        <v>1777</v>
      </c>
    </row>
    <row r="29" spans="1:6">
      <c r="A29" t="s">
        <v>1575</v>
      </c>
      <c r="B29" s="190" t="s">
        <v>1292</v>
      </c>
      <c r="C29" s="104">
        <v>450000</v>
      </c>
      <c r="D29" s="96"/>
      <c r="E29" s="216">
        <f>C29</f>
        <v>450000</v>
      </c>
      <c r="F29" s="249" t="s">
        <v>1576</v>
      </c>
    </row>
    <row r="30" spans="1:6">
      <c r="A30" t="s">
        <v>1552</v>
      </c>
      <c r="B30" s="191" t="s">
        <v>564</v>
      </c>
      <c r="C30" s="96"/>
      <c r="D30" s="104">
        <v>404615</v>
      </c>
      <c r="E30" s="253">
        <f>-D30</f>
        <v>-404615</v>
      </c>
      <c r="F30" s="249" t="s">
        <v>1777</v>
      </c>
    </row>
    <row r="31" spans="1:6">
      <c r="A31" t="s">
        <v>1550</v>
      </c>
      <c r="B31" s="15" t="s">
        <v>565</v>
      </c>
      <c r="C31" s="96"/>
      <c r="D31" s="104">
        <v>340410</v>
      </c>
      <c r="E31" s="253">
        <f>-D31</f>
        <v>-340410</v>
      </c>
      <c r="F31" s="249" t="s">
        <v>1777</v>
      </c>
    </row>
    <row r="32" spans="1:6">
      <c r="A32" t="s">
        <v>1552</v>
      </c>
      <c r="B32" s="15" t="s">
        <v>566</v>
      </c>
      <c r="C32" s="96"/>
      <c r="D32" s="104">
        <v>19833</v>
      </c>
      <c r="E32" s="253">
        <f>-D32</f>
        <v>-19833</v>
      </c>
      <c r="F32" s="249" t="s">
        <v>1777</v>
      </c>
    </row>
    <row r="33" spans="1:6">
      <c r="A33" t="s">
        <v>1552</v>
      </c>
      <c r="B33" s="190" t="s">
        <v>972</v>
      </c>
      <c r="C33" s="96"/>
      <c r="D33" s="104">
        <v>20000</v>
      </c>
      <c r="E33" s="253">
        <f>-D33</f>
        <v>-20000</v>
      </c>
      <c r="F33" s="249" t="s">
        <v>1777</v>
      </c>
    </row>
    <row r="34" spans="1:6">
      <c r="A34" t="s">
        <v>1575</v>
      </c>
      <c r="B34" s="190" t="s">
        <v>1672</v>
      </c>
      <c r="C34" s="104">
        <v>300000</v>
      </c>
      <c r="D34" s="96"/>
      <c r="E34" s="216">
        <f>C34</f>
        <v>300000</v>
      </c>
      <c r="F34" s="249" t="s">
        <v>1576</v>
      </c>
    </row>
    <row r="35" spans="1:6">
      <c r="A35" t="s">
        <v>1552</v>
      </c>
      <c r="B35" s="15" t="s">
        <v>567</v>
      </c>
      <c r="C35" s="96"/>
      <c r="D35" s="104">
        <v>48834</v>
      </c>
      <c r="E35" s="253">
        <f>-D35</f>
        <v>-48834</v>
      </c>
      <c r="F35" s="249" t="s">
        <v>1777</v>
      </c>
    </row>
    <row r="36" spans="1:6">
      <c r="A36" t="s">
        <v>1575</v>
      </c>
      <c r="B36" s="190" t="s">
        <v>568</v>
      </c>
      <c r="C36" s="104">
        <v>38738</v>
      </c>
      <c r="D36" s="96"/>
      <c r="E36" s="216">
        <f>C36</f>
        <v>38738</v>
      </c>
      <c r="F36" s="249" t="s">
        <v>1576</v>
      </c>
    </row>
    <row r="37" spans="1:6">
      <c r="A37" t="s">
        <v>1552</v>
      </c>
      <c r="B37" s="190" t="s">
        <v>569</v>
      </c>
      <c r="C37" s="96"/>
      <c r="D37" s="104">
        <v>1835922</v>
      </c>
      <c r="E37" s="253">
        <f>-D37</f>
        <v>-1835922</v>
      </c>
      <c r="F37" s="249" t="s">
        <v>1777</v>
      </c>
    </row>
    <row r="38" spans="1:6">
      <c r="A38" t="s">
        <v>1552</v>
      </c>
      <c r="B38" s="15" t="s">
        <v>1673</v>
      </c>
      <c r="C38" s="96"/>
      <c r="D38" s="104">
        <v>19815</v>
      </c>
      <c r="E38" s="253">
        <f>-D38</f>
        <v>-19815</v>
      </c>
      <c r="F38" s="249" t="s">
        <v>1777</v>
      </c>
    </row>
    <row r="39" spans="1:6">
      <c r="A39" t="s">
        <v>1552</v>
      </c>
      <c r="B39" s="190" t="s">
        <v>570</v>
      </c>
      <c r="C39" s="96"/>
      <c r="D39" s="104">
        <v>5700</v>
      </c>
      <c r="E39" s="253">
        <f>-D39</f>
        <v>-5700</v>
      </c>
      <c r="F39" s="249" t="s">
        <v>1777</v>
      </c>
    </row>
    <row r="40" spans="1:6">
      <c r="A40" t="s">
        <v>1575</v>
      </c>
      <c r="B40" s="190" t="s">
        <v>1382</v>
      </c>
      <c r="C40" s="104">
        <v>13000</v>
      </c>
      <c r="D40" s="96"/>
      <c r="E40" s="216">
        <f>C40</f>
        <v>13000</v>
      </c>
      <c r="F40" s="249" t="s">
        <v>1576</v>
      </c>
    </row>
    <row r="41" spans="1:6">
      <c r="A41" t="s">
        <v>1575</v>
      </c>
      <c r="B41" s="190" t="s">
        <v>1383</v>
      </c>
      <c r="C41" s="104">
        <v>39620</v>
      </c>
      <c r="D41" s="96"/>
      <c r="E41" s="216">
        <f>C41</f>
        <v>39620</v>
      </c>
      <c r="F41" s="249" t="s">
        <v>1576</v>
      </c>
    </row>
    <row r="42" spans="1:6">
      <c r="A42" t="s">
        <v>1552</v>
      </c>
      <c r="B42" s="15" t="s">
        <v>974</v>
      </c>
      <c r="C42" s="96"/>
      <c r="D42" s="104">
        <v>1550</v>
      </c>
      <c r="E42" s="253">
        <f t="shared" ref="E42:E84" si="2">-D42</f>
        <v>-1550</v>
      </c>
      <c r="F42" s="249" t="s">
        <v>1777</v>
      </c>
    </row>
    <row r="43" spans="1:6">
      <c r="A43" t="s">
        <v>1552</v>
      </c>
      <c r="B43" s="190" t="s">
        <v>1384</v>
      </c>
      <c r="C43" s="96"/>
      <c r="D43" s="104">
        <v>3204</v>
      </c>
      <c r="E43" s="253">
        <f t="shared" si="2"/>
        <v>-3204</v>
      </c>
      <c r="F43" s="249" t="s">
        <v>1777</v>
      </c>
    </row>
    <row r="44" spans="1:6">
      <c r="A44" t="s">
        <v>1551</v>
      </c>
      <c r="B44" s="15" t="s">
        <v>68</v>
      </c>
      <c r="C44" s="96"/>
      <c r="D44" s="104">
        <v>389624</v>
      </c>
      <c r="E44" s="253">
        <f t="shared" si="2"/>
        <v>-389624</v>
      </c>
      <c r="F44" s="249" t="s">
        <v>1651</v>
      </c>
    </row>
    <row r="45" spans="1:6">
      <c r="A45" t="s">
        <v>1552</v>
      </c>
      <c r="B45" s="190" t="s">
        <v>1787</v>
      </c>
      <c r="C45" s="96"/>
      <c r="D45" s="104">
        <v>12103</v>
      </c>
      <c r="E45" s="253">
        <f t="shared" si="2"/>
        <v>-12103</v>
      </c>
      <c r="F45" s="249" t="s">
        <v>1777</v>
      </c>
    </row>
    <row r="46" spans="1:6">
      <c r="B46" s="203" t="s">
        <v>1291</v>
      </c>
      <c r="C46" s="204">
        <v>1319289</v>
      </c>
      <c r="D46" s="204">
        <v>3865271.48</v>
      </c>
      <c r="E46" s="104"/>
    </row>
    <row r="47" spans="1:6">
      <c r="A47" t="s">
        <v>1548</v>
      </c>
      <c r="B47" s="190" t="s">
        <v>1289</v>
      </c>
      <c r="C47" s="96"/>
      <c r="D47" s="104">
        <v>43181</v>
      </c>
      <c r="E47" s="253">
        <f t="shared" si="2"/>
        <v>-43181</v>
      </c>
      <c r="F47" s="249" t="s">
        <v>37</v>
      </c>
    </row>
    <row r="48" spans="1:6">
      <c r="A48" t="s">
        <v>1548</v>
      </c>
      <c r="B48" s="190" t="s">
        <v>1385</v>
      </c>
      <c r="C48" s="96"/>
      <c r="D48" s="104">
        <v>16283.5</v>
      </c>
      <c r="E48" s="253">
        <f t="shared" si="2"/>
        <v>-16283.5</v>
      </c>
      <c r="F48" s="249" t="s">
        <v>37</v>
      </c>
    </row>
    <row r="49" spans="1:10">
      <c r="A49" t="s">
        <v>1548</v>
      </c>
      <c r="B49" s="190" t="s">
        <v>1674</v>
      </c>
      <c r="C49" s="96"/>
      <c r="D49" s="104">
        <v>54253</v>
      </c>
      <c r="E49" s="253">
        <f t="shared" si="2"/>
        <v>-54253</v>
      </c>
      <c r="F49" s="249" t="s">
        <v>37</v>
      </c>
    </row>
    <row r="50" spans="1:10">
      <c r="A50" t="s">
        <v>1548</v>
      </c>
      <c r="B50" s="15" t="s">
        <v>574</v>
      </c>
      <c r="C50" s="96"/>
      <c r="D50" s="104">
        <v>45656</v>
      </c>
      <c r="E50" s="253">
        <f t="shared" si="2"/>
        <v>-45656</v>
      </c>
      <c r="F50" s="249" t="s">
        <v>37</v>
      </c>
    </row>
    <row r="51" spans="1:10">
      <c r="A51" t="s">
        <v>1548</v>
      </c>
      <c r="B51" s="15" t="s">
        <v>1388</v>
      </c>
      <c r="C51" s="96"/>
      <c r="D51" s="104">
        <v>21898</v>
      </c>
      <c r="E51" s="253">
        <f t="shared" si="2"/>
        <v>-21898</v>
      </c>
      <c r="F51" s="249" t="s">
        <v>37</v>
      </c>
    </row>
    <row r="52" spans="1:10">
      <c r="A52" t="s">
        <v>1573</v>
      </c>
      <c r="B52" s="190" t="s">
        <v>1675</v>
      </c>
      <c r="C52" s="104">
        <v>1742</v>
      </c>
      <c r="D52" s="96"/>
      <c r="E52" s="216">
        <f>C52</f>
        <v>1742</v>
      </c>
      <c r="F52" s="249" t="s">
        <v>1574</v>
      </c>
    </row>
    <row r="53" spans="1:10">
      <c r="A53" t="s">
        <v>1548</v>
      </c>
      <c r="B53" s="15" t="s">
        <v>1389</v>
      </c>
      <c r="C53" s="96"/>
      <c r="D53" s="104">
        <v>12126</v>
      </c>
      <c r="E53" s="253">
        <f t="shared" si="2"/>
        <v>-12126</v>
      </c>
      <c r="F53" s="249" t="s">
        <v>37</v>
      </c>
    </row>
    <row r="54" spans="1:10">
      <c r="A54" t="s">
        <v>1573</v>
      </c>
      <c r="B54" s="190" t="s">
        <v>1676</v>
      </c>
      <c r="C54" s="104">
        <v>6</v>
      </c>
      <c r="D54" s="96"/>
      <c r="E54" s="216">
        <f>C54</f>
        <v>6</v>
      </c>
      <c r="F54" s="249" t="s">
        <v>1574</v>
      </c>
    </row>
    <row r="55" spans="1:10">
      <c r="A55" t="s">
        <v>1548</v>
      </c>
      <c r="B55" s="190" t="s">
        <v>1677</v>
      </c>
      <c r="C55" s="96"/>
      <c r="D55" s="104">
        <v>7290</v>
      </c>
      <c r="E55" s="253">
        <f t="shared" si="2"/>
        <v>-7290</v>
      </c>
      <c r="F55" s="249" t="s">
        <v>37</v>
      </c>
    </row>
    <row r="56" spans="1:10">
      <c r="A56" t="s">
        <v>1548</v>
      </c>
      <c r="B56" s="190" t="s">
        <v>1390</v>
      </c>
      <c r="C56" s="96"/>
      <c r="D56" s="104">
        <v>23209</v>
      </c>
      <c r="E56" s="253">
        <f t="shared" si="2"/>
        <v>-23209</v>
      </c>
      <c r="F56" s="249" t="s">
        <v>37</v>
      </c>
    </row>
    <row r="57" spans="1:10">
      <c r="A57" t="s">
        <v>1548</v>
      </c>
      <c r="B57" s="190" t="s">
        <v>1391</v>
      </c>
      <c r="C57" s="96"/>
      <c r="D57" s="104">
        <v>94274</v>
      </c>
      <c r="E57" s="253">
        <f t="shared" si="2"/>
        <v>-94274</v>
      </c>
      <c r="F57" s="249" t="s">
        <v>37</v>
      </c>
      <c r="I57">
        <f>3295359-3865271</f>
        <v>-569912</v>
      </c>
      <c r="J57">
        <f>3295359-3865271</f>
        <v>-569912</v>
      </c>
    </row>
    <row r="58" spans="1:10">
      <c r="A58" t="s">
        <v>1573</v>
      </c>
      <c r="B58" s="190" t="s">
        <v>1788</v>
      </c>
      <c r="C58" s="104">
        <v>36000</v>
      </c>
      <c r="D58" s="96"/>
      <c r="E58" s="216">
        <f>C58</f>
        <v>36000</v>
      </c>
      <c r="F58" s="249" t="s">
        <v>1574</v>
      </c>
    </row>
    <row r="59" spans="1:10">
      <c r="A59" t="s">
        <v>1548</v>
      </c>
      <c r="B59" s="15" t="s">
        <v>1678</v>
      </c>
      <c r="C59" s="96"/>
      <c r="D59" s="104">
        <v>150683</v>
      </c>
      <c r="E59" s="253">
        <f t="shared" si="2"/>
        <v>-150683</v>
      </c>
      <c r="F59" s="249" t="s">
        <v>37</v>
      </c>
    </row>
    <row r="60" spans="1:10">
      <c r="A60" t="s">
        <v>1548</v>
      </c>
      <c r="B60" s="190" t="s">
        <v>1392</v>
      </c>
      <c r="C60" s="96"/>
      <c r="D60" s="104">
        <v>31643</v>
      </c>
      <c r="E60" s="253">
        <f t="shared" si="2"/>
        <v>-31643</v>
      </c>
      <c r="F60" s="249" t="s">
        <v>37</v>
      </c>
    </row>
    <row r="61" spans="1:10">
      <c r="A61" t="s">
        <v>1548</v>
      </c>
      <c r="B61" s="190" t="s">
        <v>578</v>
      </c>
      <c r="C61" s="96"/>
      <c r="D61" s="104">
        <v>107676</v>
      </c>
      <c r="E61" s="253">
        <f t="shared" si="2"/>
        <v>-107676</v>
      </c>
      <c r="F61" s="249" t="s">
        <v>37</v>
      </c>
    </row>
    <row r="62" spans="1:10">
      <c r="A62" t="s">
        <v>1548</v>
      </c>
      <c r="B62" s="15" t="s">
        <v>1393</v>
      </c>
      <c r="C62" s="96"/>
      <c r="D62" s="104">
        <v>70388</v>
      </c>
      <c r="E62" s="253">
        <f t="shared" si="2"/>
        <v>-70388</v>
      </c>
      <c r="F62" s="249" t="s">
        <v>37</v>
      </c>
    </row>
    <row r="63" spans="1:10">
      <c r="A63" t="s">
        <v>1548</v>
      </c>
      <c r="B63" s="190" t="s">
        <v>1394</v>
      </c>
      <c r="C63" s="96"/>
      <c r="D63" s="104">
        <v>16800</v>
      </c>
      <c r="E63" s="253">
        <f t="shared" si="2"/>
        <v>-16800</v>
      </c>
      <c r="F63" s="249" t="s">
        <v>37</v>
      </c>
    </row>
    <row r="64" spans="1:10">
      <c r="A64" t="s">
        <v>1548</v>
      </c>
      <c r="B64" s="190" t="s">
        <v>1789</v>
      </c>
      <c r="C64" s="96"/>
      <c r="D64" s="104">
        <v>200</v>
      </c>
      <c r="E64" s="253">
        <f t="shared" si="2"/>
        <v>-200</v>
      </c>
      <c r="F64" s="249" t="s">
        <v>37</v>
      </c>
    </row>
    <row r="65" spans="1:6">
      <c r="A65" t="s">
        <v>1548</v>
      </c>
      <c r="B65" s="190" t="s">
        <v>1790</v>
      </c>
      <c r="C65" s="96"/>
      <c r="D65" s="104">
        <v>71000</v>
      </c>
      <c r="E65" s="253">
        <f t="shared" si="2"/>
        <v>-71000</v>
      </c>
      <c r="F65" s="249" t="s">
        <v>37</v>
      </c>
    </row>
    <row r="66" spans="1:6">
      <c r="A66" t="s">
        <v>1573</v>
      </c>
      <c r="B66" s="190" t="s">
        <v>1679</v>
      </c>
      <c r="C66" s="104">
        <v>188443</v>
      </c>
      <c r="D66" s="96"/>
      <c r="E66" s="216">
        <f>C66</f>
        <v>188443</v>
      </c>
      <c r="F66" s="249" t="s">
        <v>1574</v>
      </c>
    </row>
    <row r="67" spans="1:6">
      <c r="A67" t="s">
        <v>1548</v>
      </c>
      <c r="B67" s="190" t="s">
        <v>1792</v>
      </c>
      <c r="C67" s="96"/>
      <c r="D67" s="104">
        <v>66513</v>
      </c>
      <c r="E67" s="253">
        <f t="shared" si="2"/>
        <v>-66513</v>
      </c>
      <c r="F67" s="249" t="s">
        <v>37</v>
      </c>
    </row>
    <row r="68" spans="1:6">
      <c r="A68" t="s">
        <v>1548</v>
      </c>
      <c r="B68" s="15" t="s">
        <v>579</v>
      </c>
      <c r="C68" s="96"/>
      <c r="D68" s="104">
        <v>75523</v>
      </c>
      <c r="E68" s="253">
        <f t="shared" si="2"/>
        <v>-75523</v>
      </c>
      <c r="F68" s="249" t="s">
        <v>37</v>
      </c>
    </row>
    <row r="69" spans="1:6">
      <c r="A69" t="s">
        <v>1548</v>
      </c>
      <c r="B69" s="190" t="s">
        <v>581</v>
      </c>
      <c r="C69" s="96"/>
      <c r="D69" s="104">
        <v>28452</v>
      </c>
      <c r="E69" s="253">
        <f t="shared" si="2"/>
        <v>-28452</v>
      </c>
      <c r="F69" s="249" t="s">
        <v>37</v>
      </c>
    </row>
    <row r="70" spans="1:6">
      <c r="A70" t="s">
        <v>1573</v>
      </c>
      <c r="B70" s="190" t="s">
        <v>1395</v>
      </c>
      <c r="C70" s="104">
        <v>64600</v>
      </c>
      <c r="D70" s="96"/>
      <c r="E70" s="216">
        <f>C70</f>
        <v>64600</v>
      </c>
      <c r="F70" s="249" t="s">
        <v>1574</v>
      </c>
    </row>
    <row r="71" spans="1:6">
      <c r="A71" t="s">
        <v>1548</v>
      </c>
      <c r="B71" s="15" t="s">
        <v>1396</v>
      </c>
      <c r="C71" s="96"/>
      <c r="D71" s="104">
        <v>25218</v>
      </c>
      <c r="E71" s="253">
        <f t="shared" si="2"/>
        <v>-25218</v>
      </c>
      <c r="F71" s="249" t="s">
        <v>37</v>
      </c>
    </row>
    <row r="72" spans="1:6">
      <c r="A72" t="s">
        <v>1548</v>
      </c>
      <c r="B72" s="190" t="s">
        <v>1397</v>
      </c>
      <c r="C72" s="96"/>
      <c r="D72" s="104">
        <v>5205</v>
      </c>
      <c r="E72" s="253">
        <f t="shared" si="2"/>
        <v>-5205</v>
      </c>
      <c r="F72" s="249" t="s">
        <v>37</v>
      </c>
    </row>
    <row r="73" spans="1:6">
      <c r="A73" t="s">
        <v>1573</v>
      </c>
      <c r="B73" s="15" t="s">
        <v>1398</v>
      </c>
      <c r="C73" s="104">
        <v>2807</v>
      </c>
      <c r="D73" s="96"/>
      <c r="E73" s="216">
        <f>C73</f>
        <v>2807</v>
      </c>
      <c r="F73" s="249" t="s">
        <v>1574</v>
      </c>
    </row>
    <row r="74" spans="1:6">
      <c r="A74" t="s">
        <v>1548</v>
      </c>
      <c r="B74" s="15" t="s">
        <v>259</v>
      </c>
      <c r="C74" s="96"/>
      <c r="D74" s="104">
        <v>842755.5</v>
      </c>
      <c r="E74" s="253">
        <f t="shared" si="2"/>
        <v>-842755.5</v>
      </c>
      <c r="F74" s="249" t="s">
        <v>37</v>
      </c>
    </row>
    <row r="75" spans="1:6">
      <c r="A75" t="s">
        <v>1548</v>
      </c>
      <c r="B75" s="190" t="s">
        <v>1399</v>
      </c>
      <c r="C75" s="96"/>
      <c r="D75" s="104">
        <v>1794</v>
      </c>
      <c r="E75" s="253">
        <f t="shared" si="2"/>
        <v>-1794</v>
      </c>
      <c r="F75" s="249" t="s">
        <v>37</v>
      </c>
    </row>
    <row r="76" spans="1:6">
      <c r="A76" t="s">
        <v>1548</v>
      </c>
      <c r="B76" s="15" t="s">
        <v>1287</v>
      </c>
      <c r="C76" s="96"/>
      <c r="D76" s="104">
        <v>26111</v>
      </c>
      <c r="E76" s="253">
        <f t="shared" si="2"/>
        <v>-26111</v>
      </c>
      <c r="F76" s="249" t="s">
        <v>37</v>
      </c>
    </row>
    <row r="77" spans="1:6">
      <c r="A77" t="s">
        <v>1548</v>
      </c>
      <c r="B77" s="15" t="s">
        <v>1680</v>
      </c>
      <c r="C77" s="96"/>
      <c r="D77" s="104">
        <v>51</v>
      </c>
      <c r="E77" s="253">
        <f t="shared" si="2"/>
        <v>-51</v>
      </c>
      <c r="F77" s="249" t="s">
        <v>37</v>
      </c>
    </row>
    <row r="78" spans="1:6">
      <c r="A78" t="s">
        <v>1573</v>
      </c>
      <c r="B78" s="190" t="s">
        <v>1286</v>
      </c>
      <c r="C78" s="104">
        <v>3740</v>
      </c>
      <c r="D78" s="96"/>
      <c r="E78" s="216">
        <f>C78</f>
        <v>3740</v>
      </c>
      <c r="F78" s="249" t="s">
        <v>1574</v>
      </c>
    </row>
    <row r="79" spans="1:6">
      <c r="A79" t="s">
        <v>1548</v>
      </c>
      <c r="B79" s="15" t="s">
        <v>1681</v>
      </c>
      <c r="C79" s="96"/>
      <c r="D79" s="104">
        <v>106</v>
      </c>
      <c r="E79" s="253">
        <f t="shared" si="2"/>
        <v>-106</v>
      </c>
      <c r="F79" s="249" t="s">
        <v>37</v>
      </c>
    </row>
    <row r="80" spans="1:6">
      <c r="A80" t="s">
        <v>1548</v>
      </c>
      <c r="B80" s="190" t="s">
        <v>1682</v>
      </c>
      <c r="C80" s="96"/>
      <c r="D80" s="104">
        <v>31120</v>
      </c>
      <c r="E80" s="253">
        <f t="shared" si="2"/>
        <v>-31120</v>
      </c>
      <c r="F80" s="249" t="s">
        <v>37</v>
      </c>
    </row>
    <row r="81" spans="1:6">
      <c r="A81" t="s">
        <v>1548</v>
      </c>
      <c r="B81" s="190" t="s">
        <v>1400</v>
      </c>
      <c r="C81" s="96"/>
      <c r="D81" s="104">
        <v>230</v>
      </c>
      <c r="E81" s="253">
        <f t="shared" si="2"/>
        <v>-230</v>
      </c>
      <c r="F81" s="249" t="s">
        <v>37</v>
      </c>
    </row>
    <row r="82" spans="1:6">
      <c r="A82" t="s">
        <v>1548</v>
      </c>
      <c r="B82" s="15" t="s">
        <v>1683</v>
      </c>
      <c r="C82" s="96"/>
      <c r="D82" s="104">
        <v>7110</v>
      </c>
      <c r="E82" s="253">
        <f t="shared" si="2"/>
        <v>-7110</v>
      </c>
      <c r="F82" s="249" t="s">
        <v>37</v>
      </c>
    </row>
    <row r="83" spans="1:6">
      <c r="A83" t="s">
        <v>1548</v>
      </c>
      <c r="B83" s="190" t="s">
        <v>584</v>
      </c>
      <c r="C83" s="96"/>
      <c r="D83" s="104">
        <v>60100</v>
      </c>
      <c r="E83" s="253">
        <f t="shared" si="2"/>
        <v>-60100</v>
      </c>
      <c r="F83" s="249" t="s">
        <v>37</v>
      </c>
    </row>
    <row r="84" spans="1:6">
      <c r="A84" t="s">
        <v>1548</v>
      </c>
      <c r="B84" s="15" t="s">
        <v>1401</v>
      </c>
      <c r="C84" s="96"/>
      <c r="D84" s="104">
        <v>5400</v>
      </c>
      <c r="E84" s="253">
        <f t="shared" si="2"/>
        <v>-5400</v>
      </c>
      <c r="F84" s="249" t="s">
        <v>37</v>
      </c>
    </row>
    <row r="85" spans="1:6">
      <c r="A85" t="s">
        <v>1573</v>
      </c>
      <c r="B85" s="15" t="s">
        <v>1686</v>
      </c>
      <c r="C85" s="104">
        <v>93562</v>
      </c>
      <c r="D85" s="96"/>
      <c r="E85" s="216">
        <f>C85</f>
        <v>93562</v>
      </c>
      <c r="F85" s="249" t="s">
        <v>1574</v>
      </c>
    </row>
    <row r="86" spans="1:6">
      <c r="A86" t="s">
        <v>1573</v>
      </c>
      <c r="B86" s="15" t="s">
        <v>1687</v>
      </c>
      <c r="C86" s="104">
        <v>69795</v>
      </c>
      <c r="D86" s="96"/>
      <c r="E86" s="216">
        <f>C86</f>
        <v>69795</v>
      </c>
      <c r="F86" s="249" t="s">
        <v>1574</v>
      </c>
    </row>
    <row r="87" spans="1:6">
      <c r="A87" t="s">
        <v>1548</v>
      </c>
      <c r="B87" s="190" t="s">
        <v>1688</v>
      </c>
      <c r="C87" s="96"/>
      <c r="D87" s="104">
        <v>1210</v>
      </c>
      <c r="E87" s="253">
        <f t="shared" ref="E87:E93" si="3">-D87</f>
        <v>-1210</v>
      </c>
      <c r="F87" s="249" t="s">
        <v>37</v>
      </c>
    </row>
    <row r="88" spans="1:6">
      <c r="A88" t="s">
        <v>1548</v>
      </c>
      <c r="B88" s="15" t="s">
        <v>985</v>
      </c>
      <c r="C88" s="96"/>
      <c r="D88" s="104">
        <v>18900</v>
      </c>
      <c r="E88" s="253">
        <f t="shared" si="3"/>
        <v>-18900</v>
      </c>
      <c r="F88" s="249" t="s">
        <v>37</v>
      </c>
    </row>
    <row r="89" spans="1:6">
      <c r="A89" t="s">
        <v>1548</v>
      </c>
      <c r="B89" s="15" t="s">
        <v>1403</v>
      </c>
      <c r="C89" s="96"/>
      <c r="D89" s="104">
        <v>4753</v>
      </c>
      <c r="E89" s="253">
        <f t="shared" si="3"/>
        <v>-4753</v>
      </c>
      <c r="F89" s="249" t="s">
        <v>37</v>
      </c>
    </row>
    <row r="90" spans="1:6">
      <c r="A90" t="s">
        <v>1548</v>
      </c>
      <c r="B90" s="190" t="s">
        <v>1404</v>
      </c>
      <c r="C90" s="96"/>
      <c r="D90" s="104">
        <v>45</v>
      </c>
      <c r="E90" s="253">
        <f t="shared" si="3"/>
        <v>-45</v>
      </c>
      <c r="F90" s="249" t="s">
        <v>37</v>
      </c>
    </row>
    <row r="91" spans="1:6">
      <c r="A91" t="s">
        <v>1548</v>
      </c>
      <c r="B91" s="190" t="s">
        <v>590</v>
      </c>
      <c r="C91" s="96"/>
      <c r="D91" s="104">
        <v>42700</v>
      </c>
      <c r="E91" s="253">
        <f t="shared" si="3"/>
        <v>-42700</v>
      </c>
      <c r="F91" s="249" t="s">
        <v>37</v>
      </c>
    </row>
    <row r="92" spans="1:6">
      <c r="A92" t="s">
        <v>1548</v>
      </c>
      <c r="B92" s="190" t="s">
        <v>258</v>
      </c>
      <c r="C92" s="96"/>
      <c r="D92" s="104">
        <v>196558</v>
      </c>
      <c r="E92" s="253">
        <f t="shared" si="3"/>
        <v>-196558</v>
      </c>
      <c r="F92" s="249" t="s">
        <v>37</v>
      </c>
    </row>
    <row r="93" spans="1:6">
      <c r="A93" t="s">
        <v>1548</v>
      </c>
      <c r="B93" s="15" t="s">
        <v>1689</v>
      </c>
      <c r="C93" s="96"/>
      <c r="D93" s="104">
        <v>5250</v>
      </c>
      <c r="E93" s="253">
        <f t="shared" si="3"/>
        <v>-5250</v>
      </c>
      <c r="F93" s="249" t="s">
        <v>37</v>
      </c>
    </row>
    <row r="94" spans="1:6">
      <c r="A94" t="s">
        <v>1573</v>
      </c>
      <c r="B94" s="190" t="s">
        <v>1405</v>
      </c>
      <c r="C94" s="104">
        <v>2750</v>
      </c>
      <c r="D94" s="96"/>
      <c r="E94" s="216">
        <f>C94</f>
        <v>2750</v>
      </c>
      <c r="F94" s="249" t="s">
        <v>1574</v>
      </c>
    </row>
    <row r="95" spans="1:6">
      <c r="A95" t="s">
        <v>1573</v>
      </c>
      <c r="B95" s="15" t="s">
        <v>1690</v>
      </c>
      <c r="C95" s="104">
        <v>849</v>
      </c>
      <c r="D95" s="96"/>
      <c r="E95" s="216">
        <f>C95</f>
        <v>849</v>
      </c>
      <c r="F95" s="249" t="s">
        <v>1574</v>
      </c>
    </row>
    <row r="96" spans="1:6">
      <c r="A96" t="s">
        <v>1548</v>
      </c>
      <c r="B96" s="190" t="s">
        <v>1691</v>
      </c>
      <c r="C96" s="96"/>
      <c r="D96" s="104">
        <v>645</v>
      </c>
      <c r="E96" s="253">
        <f>-D96</f>
        <v>-645</v>
      </c>
      <c r="F96" s="249" t="s">
        <v>37</v>
      </c>
    </row>
    <row r="97" spans="1:6">
      <c r="A97" t="s">
        <v>1548</v>
      </c>
      <c r="B97" s="190" t="s">
        <v>1406</v>
      </c>
      <c r="C97" s="96"/>
      <c r="D97" s="104">
        <v>2560</v>
      </c>
      <c r="E97" s="253">
        <f>-D97</f>
        <v>-2560</v>
      </c>
      <c r="F97" s="249" t="s">
        <v>37</v>
      </c>
    </row>
    <row r="98" spans="1:6">
      <c r="A98" t="s">
        <v>1548</v>
      </c>
      <c r="B98" s="17" t="s">
        <v>1797</v>
      </c>
      <c r="C98" s="96"/>
      <c r="D98" s="104">
        <v>9086</v>
      </c>
      <c r="E98" s="253">
        <f>-D98</f>
        <v>-9086</v>
      </c>
      <c r="F98" s="249" t="s">
        <v>37</v>
      </c>
    </row>
    <row r="99" spans="1:6">
      <c r="A99" t="s">
        <v>1548</v>
      </c>
      <c r="B99" s="190" t="s">
        <v>1693</v>
      </c>
      <c r="C99" s="96"/>
      <c r="D99" s="104">
        <v>1032.5</v>
      </c>
      <c r="E99" s="253">
        <f>-D99</f>
        <v>-1032.5</v>
      </c>
      <c r="F99" s="249" t="s">
        <v>37</v>
      </c>
    </row>
    <row r="100" spans="1:6">
      <c r="A100" t="s">
        <v>1573</v>
      </c>
      <c r="B100" s="190" t="s">
        <v>1408</v>
      </c>
      <c r="C100" s="104">
        <v>2977</v>
      </c>
      <c r="D100" s="96"/>
      <c r="E100" s="216">
        <f>C100</f>
        <v>2977</v>
      </c>
      <c r="F100" s="249" t="s">
        <v>1574</v>
      </c>
    </row>
    <row r="101" spans="1:6">
      <c r="A101" t="s">
        <v>1548</v>
      </c>
      <c r="B101" s="190" t="s">
        <v>1409</v>
      </c>
      <c r="C101" s="96"/>
      <c r="D101" s="104">
        <v>3505</v>
      </c>
      <c r="E101" s="253">
        <f>-D101</f>
        <v>-3505</v>
      </c>
      <c r="F101" s="249" t="s">
        <v>37</v>
      </c>
    </row>
    <row r="102" spans="1:6">
      <c r="A102" t="s">
        <v>1548</v>
      </c>
      <c r="B102" s="190" t="s">
        <v>598</v>
      </c>
      <c r="C102" s="96"/>
      <c r="D102" s="104">
        <v>2875</v>
      </c>
      <c r="E102" s="253">
        <f>-D102</f>
        <v>-2875</v>
      </c>
      <c r="F102" s="249" t="s">
        <v>37</v>
      </c>
    </row>
    <row r="103" spans="1:6">
      <c r="A103" t="s">
        <v>1573</v>
      </c>
      <c r="B103" s="190" t="s">
        <v>600</v>
      </c>
      <c r="C103" s="104">
        <v>105236</v>
      </c>
      <c r="D103" s="96"/>
      <c r="E103" s="216">
        <f>C103</f>
        <v>105236</v>
      </c>
      <c r="F103" s="249" t="s">
        <v>1574</v>
      </c>
    </row>
    <row r="104" spans="1:6">
      <c r="A104" t="s">
        <v>1548</v>
      </c>
      <c r="B104" s="15" t="s">
        <v>994</v>
      </c>
      <c r="C104" s="96"/>
      <c r="D104" s="104">
        <v>15159</v>
      </c>
      <c r="E104" s="253">
        <f>-D104</f>
        <v>-15159</v>
      </c>
      <c r="F104" s="249" t="s">
        <v>37</v>
      </c>
    </row>
    <row r="105" spans="1:6">
      <c r="A105" t="s">
        <v>1548</v>
      </c>
      <c r="B105" s="190" t="s">
        <v>1694</v>
      </c>
      <c r="C105" s="96"/>
      <c r="D105" s="104">
        <v>68204</v>
      </c>
      <c r="E105" s="253">
        <f>-D105</f>
        <v>-68204</v>
      </c>
      <c r="F105" s="249" t="s">
        <v>37</v>
      </c>
    </row>
    <row r="106" spans="1:6">
      <c r="A106" t="s">
        <v>1573</v>
      </c>
      <c r="B106" s="190" t="s">
        <v>1411</v>
      </c>
      <c r="C106" s="104">
        <v>22633</v>
      </c>
      <c r="D106" s="96"/>
      <c r="E106" s="216">
        <f>C106</f>
        <v>22633</v>
      </c>
      <c r="F106" s="249" t="s">
        <v>1574</v>
      </c>
    </row>
    <row r="107" spans="1:6">
      <c r="A107" t="s">
        <v>1548</v>
      </c>
      <c r="B107" s="190" t="s">
        <v>1695</v>
      </c>
      <c r="C107" s="96"/>
      <c r="D107" s="104">
        <v>1</v>
      </c>
      <c r="E107" s="253">
        <f>-D107</f>
        <v>-1</v>
      </c>
      <c r="F107" s="249" t="s">
        <v>37</v>
      </c>
    </row>
    <row r="108" spans="1:6">
      <c r="A108" t="s">
        <v>1548</v>
      </c>
      <c r="B108" s="190" t="s">
        <v>1696</v>
      </c>
      <c r="C108" s="96"/>
      <c r="D108" s="104">
        <v>0.6</v>
      </c>
      <c r="E108" s="253">
        <f>-D108</f>
        <v>-0.6</v>
      </c>
      <c r="F108" s="249" t="s">
        <v>37</v>
      </c>
    </row>
    <row r="109" spans="1:6">
      <c r="A109" t="s">
        <v>1573</v>
      </c>
      <c r="B109" s="190" t="s">
        <v>603</v>
      </c>
      <c r="C109" s="104">
        <v>83013</v>
      </c>
      <c r="D109" s="96"/>
      <c r="E109" s="216">
        <f>C109</f>
        <v>83013</v>
      </c>
      <c r="F109" s="249" t="s">
        <v>1574</v>
      </c>
    </row>
    <row r="110" spans="1:6">
      <c r="A110" t="s">
        <v>1548</v>
      </c>
      <c r="B110" s="190" t="s">
        <v>1697</v>
      </c>
      <c r="C110" s="96"/>
      <c r="D110" s="104">
        <v>6</v>
      </c>
      <c r="E110" s="253">
        <f>-D110</f>
        <v>-6</v>
      </c>
      <c r="F110" s="249" t="s">
        <v>37</v>
      </c>
    </row>
    <row r="111" spans="1:6">
      <c r="A111" t="s">
        <v>1548</v>
      </c>
      <c r="B111" s="190" t="s">
        <v>1413</v>
      </c>
      <c r="C111" s="96"/>
      <c r="D111" s="104">
        <v>1</v>
      </c>
      <c r="E111" s="253">
        <f>-D111</f>
        <v>-1</v>
      </c>
      <c r="F111" s="249" t="s">
        <v>37</v>
      </c>
    </row>
    <row r="112" spans="1:6">
      <c r="A112" t="s">
        <v>1573</v>
      </c>
      <c r="B112" s="190" t="s">
        <v>1803</v>
      </c>
      <c r="C112" s="104">
        <v>14400</v>
      </c>
      <c r="D112" s="96"/>
      <c r="E112" s="216">
        <f>C112</f>
        <v>14400</v>
      </c>
      <c r="F112" s="249" t="s">
        <v>1574</v>
      </c>
    </row>
    <row r="113" spans="1:6">
      <c r="A113" t="s">
        <v>1548</v>
      </c>
      <c r="B113" s="191" t="s">
        <v>606</v>
      </c>
      <c r="C113" s="96"/>
      <c r="D113" s="104">
        <v>92098</v>
      </c>
      <c r="E113" s="253">
        <f>-D113</f>
        <v>-92098</v>
      </c>
      <c r="F113" s="249" t="s">
        <v>37</v>
      </c>
    </row>
    <row r="114" spans="1:6">
      <c r="A114" t="s">
        <v>1573</v>
      </c>
      <c r="B114" s="17" t="s">
        <v>1698</v>
      </c>
      <c r="C114" s="104">
        <v>396</v>
      </c>
      <c r="D114" s="96"/>
      <c r="E114" s="216">
        <f>C114</f>
        <v>396</v>
      </c>
      <c r="F114" s="249" t="s">
        <v>1574</v>
      </c>
    </row>
    <row r="115" spans="1:6">
      <c r="A115" t="s">
        <v>1548</v>
      </c>
      <c r="B115" s="190" t="s">
        <v>607</v>
      </c>
      <c r="C115" s="96"/>
      <c r="D115" s="104">
        <v>1237</v>
      </c>
      <c r="E115" s="253">
        <f>-D115</f>
        <v>-1237</v>
      </c>
      <c r="F115" s="249" t="s">
        <v>37</v>
      </c>
    </row>
    <row r="116" spans="1:6">
      <c r="A116" t="s">
        <v>1548</v>
      </c>
      <c r="B116" s="190" t="s">
        <v>1699</v>
      </c>
      <c r="C116" s="96"/>
      <c r="D116" s="104">
        <v>649</v>
      </c>
      <c r="E116" s="253">
        <f>-D116</f>
        <v>-649</v>
      </c>
      <c r="F116" s="249" t="s">
        <v>37</v>
      </c>
    </row>
    <row r="117" spans="1:6">
      <c r="A117" t="s">
        <v>1573</v>
      </c>
      <c r="B117" s="15" t="s">
        <v>1804</v>
      </c>
      <c r="C117" s="104">
        <v>1</v>
      </c>
      <c r="D117" s="96"/>
      <c r="E117" s="216">
        <f>C117</f>
        <v>1</v>
      </c>
      <c r="F117" s="249" t="s">
        <v>1574</v>
      </c>
    </row>
    <row r="118" spans="1:6">
      <c r="A118" t="s">
        <v>1548</v>
      </c>
      <c r="B118" s="190" t="s">
        <v>1290</v>
      </c>
      <c r="C118" s="96"/>
      <c r="D118" s="104">
        <v>329449</v>
      </c>
      <c r="E118" s="253">
        <f t="shared" ref="E118:E133" si="4">-D118</f>
        <v>-329449</v>
      </c>
      <c r="F118" s="249" t="s">
        <v>37</v>
      </c>
    </row>
    <row r="119" spans="1:6">
      <c r="A119" t="s">
        <v>1548</v>
      </c>
      <c r="B119" s="190" t="s">
        <v>257</v>
      </c>
      <c r="C119" s="96"/>
      <c r="D119" s="104">
        <v>243501.5</v>
      </c>
      <c r="E119" s="253">
        <f t="shared" si="4"/>
        <v>-243501.5</v>
      </c>
      <c r="F119" s="249" t="s">
        <v>37</v>
      </c>
    </row>
    <row r="120" spans="1:6">
      <c r="A120" t="s">
        <v>1573</v>
      </c>
      <c r="B120" s="15" t="s">
        <v>586</v>
      </c>
      <c r="C120" s="104">
        <v>8750</v>
      </c>
      <c r="D120" s="96"/>
      <c r="E120" s="216">
        <f>C120</f>
        <v>8750</v>
      </c>
      <c r="F120" s="249" t="s">
        <v>1574</v>
      </c>
    </row>
    <row r="121" spans="1:6">
      <c r="A121" t="s">
        <v>1548</v>
      </c>
      <c r="B121" s="190" t="s">
        <v>1684</v>
      </c>
      <c r="C121" s="96"/>
      <c r="D121" s="104">
        <v>5000</v>
      </c>
      <c r="E121" s="253">
        <f t="shared" si="4"/>
        <v>-5000</v>
      </c>
      <c r="F121" s="249" t="s">
        <v>37</v>
      </c>
    </row>
    <row r="122" spans="1:6">
      <c r="A122" t="s">
        <v>1548</v>
      </c>
      <c r="B122" s="15" t="s">
        <v>1685</v>
      </c>
      <c r="C122" s="96"/>
      <c r="D122" s="104">
        <v>805</v>
      </c>
      <c r="E122" s="253">
        <f t="shared" si="4"/>
        <v>-805</v>
      </c>
      <c r="F122" s="249" t="s">
        <v>37</v>
      </c>
    </row>
    <row r="123" spans="1:6">
      <c r="A123" t="s">
        <v>1548</v>
      </c>
      <c r="B123" s="13" t="s">
        <v>587</v>
      </c>
      <c r="C123" s="96"/>
      <c r="D123" s="104">
        <v>249798.88</v>
      </c>
      <c r="E123" s="253">
        <f t="shared" si="4"/>
        <v>-249798.88</v>
      </c>
      <c r="F123" s="249" t="s">
        <v>37</v>
      </c>
    </row>
    <row r="124" spans="1:6">
      <c r="A124" t="s">
        <v>1548</v>
      </c>
      <c r="B124" s="190" t="s">
        <v>593</v>
      </c>
      <c r="C124" s="96"/>
      <c r="D124" s="104">
        <v>165</v>
      </c>
      <c r="E124" s="253">
        <f t="shared" si="4"/>
        <v>-165</v>
      </c>
      <c r="F124" s="249" t="s">
        <v>37</v>
      </c>
    </row>
    <row r="125" spans="1:6">
      <c r="A125" t="s">
        <v>1573</v>
      </c>
      <c r="B125" s="15" t="s">
        <v>1798</v>
      </c>
      <c r="C125" s="104">
        <v>610</v>
      </c>
      <c r="D125" s="96"/>
      <c r="E125" s="216">
        <f>C125</f>
        <v>610</v>
      </c>
      <c r="F125" s="249" t="s">
        <v>1574</v>
      </c>
    </row>
    <row r="126" spans="1:6">
      <c r="A126" t="s">
        <v>1548</v>
      </c>
      <c r="B126" s="190" t="s">
        <v>1692</v>
      </c>
      <c r="C126" s="96"/>
      <c r="D126" s="104">
        <v>10803</v>
      </c>
      <c r="E126" s="253">
        <f t="shared" si="4"/>
        <v>-10803</v>
      </c>
      <c r="F126" s="249" t="s">
        <v>37</v>
      </c>
    </row>
    <row r="127" spans="1:6">
      <c r="A127" t="s">
        <v>1573</v>
      </c>
      <c r="B127" s="190" t="s">
        <v>1799</v>
      </c>
      <c r="C127" s="104">
        <v>1400</v>
      </c>
      <c r="D127" s="96"/>
      <c r="E127" s="216">
        <f>C127</f>
        <v>1400</v>
      </c>
      <c r="F127" s="249" t="s">
        <v>1574</v>
      </c>
    </row>
    <row r="128" spans="1:6">
      <c r="A128" t="s">
        <v>1548</v>
      </c>
      <c r="B128" s="190" t="s">
        <v>1800</v>
      </c>
      <c r="C128" s="96"/>
      <c r="D128" s="104">
        <v>14820</v>
      </c>
      <c r="E128" s="253">
        <f t="shared" si="4"/>
        <v>-14820</v>
      </c>
      <c r="F128" s="249" t="s">
        <v>37</v>
      </c>
    </row>
    <row r="129" spans="1:6">
      <c r="A129" t="s">
        <v>1548</v>
      </c>
      <c r="B129" s="190" t="s">
        <v>597</v>
      </c>
      <c r="C129" s="96"/>
      <c r="D129" s="104">
        <v>3140</v>
      </c>
      <c r="E129" s="253">
        <f t="shared" si="4"/>
        <v>-3140</v>
      </c>
      <c r="F129" s="249" t="s">
        <v>37</v>
      </c>
    </row>
    <row r="130" spans="1:6">
      <c r="A130" t="s">
        <v>1548</v>
      </c>
      <c r="B130" s="15" t="s">
        <v>599</v>
      </c>
      <c r="C130" s="96"/>
      <c r="D130" s="104">
        <v>19060</v>
      </c>
      <c r="E130" s="253">
        <f t="shared" si="4"/>
        <v>-19060</v>
      </c>
      <c r="F130" s="249" t="s">
        <v>37</v>
      </c>
    </row>
    <row r="131" spans="1:6">
      <c r="A131" t="s">
        <v>1548</v>
      </c>
      <c r="B131" s="190" t="s">
        <v>601</v>
      </c>
      <c r="C131" s="96"/>
      <c r="D131" s="104">
        <v>6585</v>
      </c>
      <c r="E131" s="253">
        <f t="shared" si="4"/>
        <v>-6585</v>
      </c>
      <c r="F131" s="249" t="s">
        <v>37</v>
      </c>
    </row>
    <row r="132" spans="1:6">
      <c r="A132" t="s">
        <v>1548</v>
      </c>
      <c r="B132" s="190" t="s">
        <v>1416</v>
      </c>
      <c r="C132" s="96"/>
      <c r="D132" s="104">
        <v>108</v>
      </c>
      <c r="E132" s="253">
        <f t="shared" si="4"/>
        <v>-108</v>
      </c>
      <c r="F132" s="249" t="s">
        <v>37</v>
      </c>
    </row>
    <row r="133" spans="1:6">
      <c r="A133" t="s">
        <v>1548</v>
      </c>
      <c r="B133" s="190" t="s">
        <v>1417</v>
      </c>
      <c r="C133" s="96"/>
      <c r="D133" s="104">
        <v>3400</v>
      </c>
      <c r="E133" s="253">
        <f t="shared" si="4"/>
        <v>-3400</v>
      </c>
      <c r="F133" s="249" t="s">
        <v>37</v>
      </c>
    </row>
    <row r="134" spans="1:6">
      <c r="A134" t="s">
        <v>1573</v>
      </c>
      <c r="B134" s="190" t="s">
        <v>605</v>
      </c>
      <c r="C134" s="104">
        <v>45667</v>
      </c>
      <c r="D134" s="96"/>
      <c r="E134" s="216">
        <f>C134</f>
        <v>45667</v>
      </c>
      <c r="F134" s="249" t="s">
        <v>1574</v>
      </c>
    </row>
    <row r="135" spans="1:6">
      <c r="B135" s="203" t="s">
        <v>1284</v>
      </c>
      <c r="C135" s="204">
        <v>5034162</v>
      </c>
      <c r="D135" s="204">
        <v>2239839.73</v>
      </c>
      <c r="E135" s="104"/>
    </row>
    <row r="136" spans="1:6">
      <c r="A136" t="s">
        <v>1573</v>
      </c>
      <c r="B136" s="190" t="s">
        <v>1283</v>
      </c>
      <c r="C136" s="104">
        <v>363995</v>
      </c>
      <c r="D136" s="96"/>
      <c r="E136" s="216">
        <f>C136</f>
        <v>363995</v>
      </c>
      <c r="F136" s="249" t="s">
        <v>1574</v>
      </c>
    </row>
    <row r="137" spans="1:6">
      <c r="A137" t="s">
        <v>1573</v>
      </c>
      <c r="B137" s="15" t="s">
        <v>1421</v>
      </c>
      <c r="C137" s="104">
        <v>51354</v>
      </c>
      <c r="D137" s="96"/>
      <c r="E137" s="216">
        <f>C137</f>
        <v>51354</v>
      </c>
      <c r="F137" s="249" t="s">
        <v>1574</v>
      </c>
    </row>
    <row r="138" spans="1:6">
      <c r="A138" t="s">
        <v>1548</v>
      </c>
      <c r="B138" s="190" t="s">
        <v>610</v>
      </c>
      <c r="C138" s="96"/>
      <c r="D138" s="104">
        <v>36848</v>
      </c>
      <c r="E138" s="253">
        <f t="shared" ref="E138:E143" si="5">-D138</f>
        <v>-36848</v>
      </c>
      <c r="F138" s="249" t="s">
        <v>37</v>
      </c>
    </row>
    <row r="139" spans="1:6">
      <c r="A139" t="s">
        <v>1548</v>
      </c>
      <c r="B139" s="15" t="s">
        <v>612</v>
      </c>
      <c r="C139" s="96"/>
      <c r="D139" s="104">
        <v>3520</v>
      </c>
      <c r="E139" s="253">
        <f t="shared" si="5"/>
        <v>-3520</v>
      </c>
      <c r="F139" s="249" t="s">
        <v>37</v>
      </c>
    </row>
    <row r="140" spans="1:6">
      <c r="A140" t="s">
        <v>1548</v>
      </c>
      <c r="B140" s="15" t="s">
        <v>613</v>
      </c>
      <c r="C140" s="96"/>
      <c r="D140" s="104">
        <v>12347</v>
      </c>
      <c r="E140" s="253">
        <f t="shared" si="5"/>
        <v>-12347</v>
      </c>
      <c r="F140" s="249" t="s">
        <v>37</v>
      </c>
    </row>
    <row r="141" spans="1:6">
      <c r="A141" t="s">
        <v>1548</v>
      </c>
      <c r="B141" s="190" t="s">
        <v>1805</v>
      </c>
      <c r="C141" s="96"/>
      <c r="D141" s="104">
        <v>76927</v>
      </c>
      <c r="E141" s="253">
        <f t="shared" si="5"/>
        <v>-76927</v>
      </c>
      <c r="F141" s="249" t="s">
        <v>37</v>
      </c>
    </row>
    <row r="142" spans="1:6">
      <c r="A142" t="s">
        <v>1548</v>
      </c>
      <c r="B142" s="190" t="s">
        <v>1700</v>
      </c>
      <c r="C142" s="96"/>
      <c r="D142" s="104">
        <v>115785</v>
      </c>
      <c r="E142" s="253">
        <f t="shared" si="5"/>
        <v>-115785</v>
      </c>
      <c r="F142" s="249" t="s">
        <v>37</v>
      </c>
    </row>
    <row r="143" spans="1:6">
      <c r="A143" t="s">
        <v>1548</v>
      </c>
      <c r="B143" s="190" t="s">
        <v>615</v>
      </c>
      <c r="C143" s="96"/>
      <c r="D143" s="104">
        <v>142197.29999999999</v>
      </c>
      <c r="E143" s="253">
        <f t="shared" si="5"/>
        <v>-142197.29999999999</v>
      </c>
      <c r="F143" s="249" t="s">
        <v>37</v>
      </c>
    </row>
    <row r="144" spans="1:6">
      <c r="A144" t="s">
        <v>1573</v>
      </c>
      <c r="B144" s="190" t="s">
        <v>617</v>
      </c>
      <c r="C144" s="104">
        <v>252828</v>
      </c>
      <c r="D144" s="96"/>
      <c r="E144" s="216">
        <f>C144</f>
        <v>252828</v>
      </c>
      <c r="F144" s="249" t="s">
        <v>1574</v>
      </c>
    </row>
    <row r="145" spans="1:6">
      <c r="A145" t="s">
        <v>1548</v>
      </c>
      <c r="B145" s="190" t="s">
        <v>1423</v>
      </c>
      <c r="C145" s="96"/>
      <c r="D145" s="104">
        <v>78377</v>
      </c>
      <c r="E145" s="253">
        <f>-D145</f>
        <v>-78377</v>
      </c>
      <c r="F145" s="249" t="s">
        <v>37</v>
      </c>
    </row>
    <row r="146" spans="1:6">
      <c r="A146" t="s">
        <v>1573</v>
      </c>
      <c r="B146" s="190" t="s">
        <v>1424</v>
      </c>
      <c r="C146" s="104">
        <v>170</v>
      </c>
      <c r="D146" s="96"/>
      <c r="E146" s="216">
        <f>C146</f>
        <v>170</v>
      </c>
      <c r="F146" s="249" t="s">
        <v>1574</v>
      </c>
    </row>
    <row r="147" spans="1:6">
      <c r="A147" t="s">
        <v>1573</v>
      </c>
      <c r="B147" s="190" t="s">
        <v>1426</v>
      </c>
      <c r="C147" s="104">
        <v>1467</v>
      </c>
      <c r="D147" s="96"/>
      <c r="E147" s="216">
        <f>C147</f>
        <v>1467</v>
      </c>
      <c r="F147" s="249" t="s">
        <v>1574</v>
      </c>
    </row>
    <row r="148" spans="1:6">
      <c r="A148" t="s">
        <v>1573</v>
      </c>
      <c r="B148" s="15" t="s">
        <v>618</v>
      </c>
      <c r="C148" s="104">
        <v>22114</v>
      </c>
      <c r="D148" s="96"/>
      <c r="E148" s="216">
        <f>C148</f>
        <v>22114</v>
      </c>
      <c r="F148" s="249" t="s">
        <v>1574</v>
      </c>
    </row>
    <row r="149" spans="1:6">
      <c r="A149" t="s">
        <v>1548</v>
      </c>
      <c r="B149" s="15" t="s">
        <v>1428</v>
      </c>
      <c r="C149" s="96"/>
      <c r="D149" s="104">
        <v>1500</v>
      </c>
      <c r="E149" s="253">
        <f>-D149</f>
        <v>-1500</v>
      </c>
      <c r="F149" s="249" t="s">
        <v>37</v>
      </c>
    </row>
    <row r="150" spans="1:6">
      <c r="A150" t="s">
        <v>1573</v>
      </c>
      <c r="B150" s="15" t="s">
        <v>619</v>
      </c>
      <c r="C150" s="104">
        <v>6860</v>
      </c>
      <c r="D150" s="96"/>
      <c r="E150" s="216">
        <f>C150</f>
        <v>6860</v>
      </c>
      <c r="F150" s="249" t="s">
        <v>1574</v>
      </c>
    </row>
    <row r="151" spans="1:6">
      <c r="A151" t="s">
        <v>1548</v>
      </c>
      <c r="B151" s="15" t="s">
        <v>621</v>
      </c>
      <c r="C151" s="96"/>
      <c r="D151" s="104">
        <v>58914</v>
      </c>
      <c r="E151" s="253">
        <f>-D151</f>
        <v>-58914</v>
      </c>
      <c r="F151" s="249" t="s">
        <v>37</v>
      </c>
    </row>
    <row r="152" spans="1:6">
      <c r="A152" t="s">
        <v>1548</v>
      </c>
      <c r="B152" s="190" t="s">
        <v>1282</v>
      </c>
      <c r="C152" s="96"/>
      <c r="D152" s="104">
        <v>1665</v>
      </c>
      <c r="E152" s="253">
        <f>-D152</f>
        <v>-1665</v>
      </c>
      <c r="F152" s="249" t="s">
        <v>37</v>
      </c>
    </row>
    <row r="153" spans="1:6">
      <c r="A153" t="s">
        <v>1548</v>
      </c>
      <c r="B153" s="15" t="s">
        <v>1430</v>
      </c>
      <c r="C153" s="96"/>
      <c r="D153" s="104">
        <v>70950</v>
      </c>
      <c r="E153" s="253">
        <f>-D153</f>
        <v>-70950</v>
      </c>
      <c r="F153" s="249" t="s">
        <v>37</v>
      </c>
    </row>
    <row r="154" spans="1:6">
      <c r="A154" t="s">
        <v>1573</v>
      </c>
      <c r="B154" s="190" t="s">
        <v>624</v>
      </c>
      <c r="C154" s="104">
        <v>6000</v>
      </c>
      <c r="D154" s="96"/>
      <c r="E154" s="216">
        <f>C154</f>
        <v>6000</v>
      </c>
      <c r="F154" s="249" t="s">
        <v>1574</v>
      </c>
    </row>
    <row r="155" spans="1:6">
      <c r="A155" t="s">
        <v>1548</v>
      </c>
      <c r="B155" s="190" t="s">
        <v>1431</v>
      </c>
      <c r="C155" s="96"/>
      <c r="D155" s="104">
        <v>1900</v>
      </c>
      <c r="E155" s="253">
        <f>-D155</f>
        <v>-1900</v>
      </c>
      <c r="F155" s="249" t="s">
        <v>37</v>
      </c>
    </row>
    <row r="156" spans="1:6">
      <c r="A156" t="s">
        <v>1548</v>
      </c>
      <c r="B156" s="190" t="s">
        <v>1007</v>
      </c>
      <c r="C156" s="96"/>
      <c r="D156" s="104">
        <v>100</v>
      </c>
      <c r="E156" s="253">
        <f>-D156</f>
        <v>-100</v>
      </c>
      <c r="F156" s="249" t="s">
        <v>37</v>
      </c>
    </row>
    <row r="157" spans="1:6">
      <c r="A157" t="s">
        <v>1573</v>
      </c>
      <c r="B157" s="190" t="s">
        <v>1432</v>
      </c>
      <c r="C157" s="104">
        <v>2716</v>
      </c>
      <c r="D157" s="96"/>
      <c r="E157" s="216">
        <f>C157</f>
        <v>2716</v>
      </c>
      <c r="F157" s="249" t="s">
        <v>1574</v>
      </c>
    </row>
    <row r="158" spans="1:6">
      <c r="A158" t="s">
        <v>1548</v>
      </c>
      <c r="B158" s="190" t="s">
        <v>1433</v>
      </c>
      <c r="C158" s="96"/>
      <c r="D158" s="104">
        <v>1125</v>
      </c>
      <c r="E158" s="253">
        <f>-D158</f>
        <v>-1125</v>
      </c>
      <c r="F158" s="249" t="s">
        <v>37</v>
      </c>
    </row>
    <row r="159" spans="1:6">
      <c r="A159" t="s">
        <v>1573</v>
      </c>
      <c r="B159" s="191" t="s">
        <v>1701</v>
      </c>
      <c r="C159" s="104">
        <v>336435</v>
      </c>
      <c r="D159" s="96"/>
      <c r="E159" s="216">
        <f>C159</f>
        <v>336435</v>
      </c>
      <c r="F159" s="249" t="s">
        <v>1574</v>
      </c>
    </row>
    <row r="160" spans="1:6">
      <c r="A160" t="s">
        <v>1548</v>
      </c>
      <c r="B160" s="190" t="s">
        <v>1009</v>
      </c>
      <c r="C160" s="96"/>
      <c r="D160" s="104">
        <v>6714</v>
      </c>
      <c r="E160" s="253">
        <f>-D160</f>
        <v>-6714</v>
      </c>
      <c r="F160" s="249" t="s">
        <v>37</v>
      </c>
    </row>
    <row r="161" spans="1:6">
      <c r="A161" t="s">
        <v>1548</v>
      </c>
      <c r="B161" s="15" t="s">
        <v>1434</v>
      </c>
      <c r="C161" s="96"/>
      <c r="D161" s="104">
        <v>800</v>
      </c>
      <c r="E161" s="253">
        <f>-D161</f>
        <v>-800</v>
      </c>
      <c r="F161" s="249" t="s">
        <v>37</v>
      </c>
    </row>
    <row r="162" spans="1:6">
      <c r="A162" t="s">
        <v>1573</v>
      </c>
      <c r="B162" s="15" t="s">
        <v>1281</v>
      </c>
      <c r="C162" s="104">
        <v>36025</v>
      </c>
      <c r="D162" s="96"/>
      <c r="E162" s="216">
        <f>C162</f>
        <v>36025</v>
      </c>
      <c r="F162" s="249" t="s">
        <v>1574</v>
      </c>
    </row>
    <row r="163" spans="1:6">
      <c r="A163" t="s">
        <v>1548</v>
      </c>
      <c r="B163" s="190" t="s">
        <v>1435</v>
      </c>
      <c r="C163" s="96"/>
      <c r="D163" s="104">
        <v>13983</v>
      </c>
      <c r="E163" s="253">
        <f>-D163</f>
        <v>-13983</v>
      </c>
      <c r="F163" s="249" t="s">
        <v>37</v>
      </c>
    </row>
    <row r="164" spans="1:6">
      <c r="A164" t="s">
        <v>1573</v>
      </c>
      <c r="B164" s="15" t="s">
        <v>1845</v>
      </c>
      <c r="C164" s="104">
        <v>5000</v>
      </c>
      <c r="D164" s="96"/>
      <c r="E164" s="216">
        <f>C164</f>
        <v>5000</v>
      </c>
      <c r="F164" s="249" t="s">
        <v>1574</v>
      </c>
    </row>
    <row r="165" spans="1:6">
      <c r="A165" t="s">
        <v>1548</v>
      </c>
      <c r="B165" s="190" t="s">
        <v>1702</v>
      </c>
      <c r="C165" s="96"/>
      <c r="D165" s="104">
        <v>80600</v>
      </c>
      <c r="E165" s="253">
        <f>-D165</f>
        <v>-80600</v>
      </c>
      <c r="F165" s="249" t="s">
        <v>37</v>
      </c>
    </row>
    <row r="166" spans="1:6">
      <c r="A166" t="s">
        <v>1548</v>
      </c>
      <c r="B166" s="190" t="s">
        <v>1280</v>
      </c>
      <c r="C166" s="96"/>
      <c r="D166" s="104">
        <v>37763</v>
      </c>
      <c r="E166" s="253">
        <f>-D166</f>
        <v>-37763</v>
      </c>
      <c r="F166" s="249" t="s">
        <v>37</v>
      </c>
    </row>
    <row r="167" spans="1:6">
      <c r="A167" t="s">
        <v>1548</v>
      </c>
      <c r="B167" s="190" t="s">
        <v>1437</v>
      </c>
      <c r="C167" s="96"/>
      <c r="D167" s="104">
        <v>587</v>
      </c>
      <c r="E167" s="253">
        <f>-D167</f>
        <v>-587</v>
      </c>
      <c r="F167" s="249" t="s">
        <v>37</v>
      </c>
    </row>
    <row r="168" spans="1:6">
      <c r="A168" t="s">
        <v>1573</v>
      </c>
      <c r="B168" s="15" t="s">
        <v>1011</v>
      </c>
      <c r="C168" s="104">
        <v>58917</v>
      </c>
      <c r="D168" s="96"/>
      <c r="E168" s="216">
        <f>C168</f>
        <v>58917</v>
      </c>
      <c r="F168" s="249" t="s">
        <v>1574</v>
      </c>
    </row>
    <row r="169" spans="1:6">
      <c r="A169" t="s">
        <v>1548</v>
      </c>
      <c r="B169" s="15" t="s">
        <v>1012</v>
      </c>
      <c r="C169" s="96"/>
      <c r="D169" s="104">
        <v>14685</v>
      </c>
      <c r="E169" s="253">
        <f>-D169</f>
        <v>-14685</v>
      </c>
      <c r="F169" s="249" t="s">
        <v>37</v>
      </c>
    </row>
    <row r="170" spans="1:6">
      <c r="A170" t="s">
        <v>1548</v>
      </c>
      <c r="B170" s="190" t="s">
        <v>1807</v>
      </c>
      <c r="C170" s="96"/>
      <c r="D170" s="104">
        <v>1042</v>
      </c>
      <c r="E170" s="253">
        <f>-D170</f>
        <v>-1042</v>
      </c>
      <c r="F170" s="249" t="s">
        <v>37</v>
      </c>
    </row>
    <row r="171" spans="1:6">
      <c r="A171" t="s">
        <v>1548</v>
      </c>
      <c r="B171" s="190" t="s">
        <v>636</v>
      </c>
      <c r="C171" s="96"/>
      <c r="D171" s="104">
        <v>6100</v>
      </c>
      <c r="E171" s="253">
        <f>-D171</f>
        <v>-6100</v>
      </c>
      <c r="F171" s="249" t="s">
        <v>37</v>
      </c>
    </row>
    <row r="172" spans="1:6">
      <c r="A172" t="s">
        <v>1573</v>
      </c>
      <c r="B172" s="190" t="s">
        <v>637</v>
      </c>
      <c r="C172" s="104">
        <v>8402</v>
      </c>
      <c r="D172" s="96"/>
      <c r="E172" s="216">
        <f>C172</f>
        <v>8402</v>
      </c>
      <c r="F172" s="249" t="s">
        <v>1574</v>
      </c>
    </row>
    <row r="173" spans="1:6">
      <c r="A173" t="s">
        <v>1548</v>
      </c>
      <c r="B173" s="190" t="s">
        <v>1808</v>
      </c>
      <c r="C173" s="96"/>
      <c r="D173" s="104">
        <v>1800</v>
      </c>
      <c r="E173" s="253">
        <f>-D173</f>
        <v>-1800</v>
      </c>
      <c r="F173" s="249" t="s">
        <v>37</v>
      </c>
    </row>
    <row r="174" spans="1:6">
      <c r="A174" t="s">
        <v>1548</v>
      </c>
      <c r="B174" s="190" t="s">
        <v>1439</v>
      </c>
      <c r="C174" s="96"/>
      <c r="D174" s="104">
        <v>5250</v>
      </c>
      <c r="E174" s="253">
        <f>-D174</f>
        <v>-5250</v>
      </c>
      <c r="F174" s="249" t="s">
        <v>37</v>
      </c>
    </row>
    <row r="175" spans="1:6">
      <c r="A175" t="s">
        <v>1573</v>
      </c>
      <c r="B175" s="190" t="s">
        <v>1440</v>
      </c>
      <c r="C175" s="104">
        <v>21840</v>
      </c>
      <c r="D175" s="96"/>
      <c r="E175" s="216">
        <f>C175</f>
        <v>21840</v>
      </c>
      <c r="F175" s="249" t="s">
        <v>1574</v>
      </c>
    </row>
    <row r="176" spans="1:6">
      <c r="A176" t="s">
        <v>1548</v>
      </c>
      <c r="B176" s="15" t="s">
        <v>1441</v>
      </c>
      <c r="C176" s="96"/>
      <c r="D176" s="104">
        <v>5458</v>
      </c>
      <c r="E176" s="253">
        <f>-D176</f>
        <v>-5458</v>
      </c>
      <c r="F176" s="249" t="s">
        <v>37</v>
      </c>
    </row>
    <row r="177" spans="1:6">
      <c r="A177" t="s">
        <v>1548</v>
      </c>
      <c r="B177" s="190" t="s">
        <v>646</v>
      </c>
      <c r="C177" s="96"/>
      <c r="D177" s="104">
        <v>187808</v>
      </c>
      <c r="E177" s="253">
        <f>-D177</f>
        <v>-187808</v>
      </c>
      <c r="F177" s="249" t="s">
        <v>37</v>
      </c>
    </row>
    <row r="178" spans="1:6">
      <c r="A178" t="s">
        <v>1573</v>
      </c>
      <c r="B178" s="190" t="s">
        <v>1809</v>
      </c>
      <c r="C178" s="104">
        <v>10143</v>
      </c>
      <c r="D178" s="96"/>
      <c r="E178" s="216">
        <f>C178</f>
        <v>10143</v>
      </c>
      <c r="F178" s="249" t="s">
        <v>1574</v>
      </c>
    </row>
    <row r="179" spans="1:6">
      <c r="A179" t="s">
        <v>1573</v>
      </c>
      <c r="B179" s="190" t="s">
        <v>649</v>
      </c>
      <c r="C179" s="104">
        <v>674335</v>
      </c>
      <c r="D179" s="96"/>
      <c r="E179" s="216">
        <f>C179</f>
        <v>674335</v>
      </c>
      <c r="F179" s="249" t="s">
        <v>1574</v>
      </c>
    </row>
    <row r="180" spans="1:6">
      <c r="A180" t="s">
        <v>1548</v>
      </c>
      <c r="B180" s="190" t="s">
        <v>1442</v>
      </c>
      <c r="C180" s="96"/>
      <c r="D180" s="104">
        <v>62175</v>
      </c>
      <c r="E180" s="253">
        <f>-D180</f>
        <v>-62175</v>
      </c>
      <c r="F180" s="249" t="s">
        <v>37</v>
      </c>
    </row>
    <row r="181" spans="1:6">
      <c r="A181" t="s">
        <v>1573</v>
      </c>
      <c r="B181" s="190" t="s">
        <v>1017</v>
      </c>
      <c r="C181" s="104">
        <v>27418</v>
      </c>
      <c r="D181" s="96"/>
      <c r="E181" s="216">
        <f>C181</f>
        <v>27418</v>
      </c>
      <c r="F181" s="249" t="s">
        <v>1574</v>
      </c>
    </row>
    <row r="182" spans="1:6">
      <c r="A182" t="s">
        <v>1573</v>
      </c>
      <c r="B182" s="190" t="s">
        <v>1703</v>
      </c>
      <c r="C182" s="104">
        <v>120490</v>
      </c>
      <c r="D182" s="96"/>
      <c r="E182" s="216">
        <f>C182</f>
        <v>120490</v>
      </c>
      <c r="F182" s="249" t="s">
        <v>1574</v>
      </c>
    </row>
    <row r="183" spans="1:6">
      <c r="A183" t="s">
        <v>1548</v>
      </c>
      <c r="B183" s="190" t="s">
        <v>1704</v>
      </c>
      <c r="C183" s="96"/>
      <c r="D183" s="104">
        <v>774</v>
      </c>
      <c r="E183" s="253">
        <f>-D183</f>
        <v>-774</v>
      </c>
      <c r="F183" s="249" t="s">
        <v>37</v>
      </c>
    </row>
    <row r="184" spans="1:6">
      <c r="A184" t="s">
        <v>1548</v>
      </c>
      <c r="B184" s="190" t="s">
        <v>1443</v>
      </c>
      <c r="C184" s="96"/>
      <c r="D184" s="104">
        <v>2000</v>
      </c>
      <c r="E184" s="253">
        <f>-D184</f>
        <v>-2000</v>
      </c>
      <c r="F184" s="249" t="s">
        <v>37</v>
      </c>
    </row>
    <row r="185" spans="1:6">
      <c r="A185" t="s">
        <v>1573</v>
      </c>
      <c r="B185" s="190" t="s">
        <v>1444</v>
      </c>
      <c r="C185" s="104">
        <v>25006</v>
      </c>
      <c r="D185" s="96"/>
      <c r="E185" s="216">
        <f>C185</f>
        <v>25006</v>
      </c>
      <c r="F185" s="249" t="s">
        <v>1574</v>
      </c>
    </row>
    <row r="186" spans="1:6">
      <c r="A186" t="s">
        <v>1573</v>
      </c>
      <c r="B186" s="190" t="s">
        <v>1445</v>
      </c>
      <c r="C186" s="104">
        <v>67735</v>
      </c>
      <c r="D186" s="96"/>
      <c r="E186" s="216">
        <f>C186</f>
        <v>67735</v>
      </c>
      <c r="F186" s="249" t="s">
        <v>1574</v>
      </c>
    </row>
    <row r="187" spans="1:6">
      <c r="A187" t="s">
        <v>1548</v>
      </c>
      <c r="B187" s="15" t="s">
        <v>657</v>
      </c>
      <c r="C187" s="96"/>
      <c r="D187" s="104">
        <v>10392</v>
      </c>
      <c r="E187" s="253">
        <f t="shared" ref="E187:E195" si="6">-D187</f>
        <v>-10392</v>
      </c>
      <c r="F187" s="249" t="s">
        <v>37</v>
      </c>
    </row>
    <row r="188" spans="1:6">
      <c r="A188" t="s">
        <v>1548</v>
      </c>
      <c r="B188" s="15" t="s">
        <v>658</v>
      </c>
      <c r="C188" s="96"/>
      <c r="D188" s="104">
        <v>120</v>
      </c>
      <c r="E188" s="253">
        <f t="shared" si="6"/>
        <v>-120</v>
      </c>
      <c r="F188" s="249" t="s">
        <v>37</v>
      </c>
    </row>
    <row r="189" spans="1:6">
      <c r="A189" t="s">
        <v>1573</v>
      </c>
      <c r="B189" s="15" t="s">
        <v>1705</v>
      </c>
      <c r="C189" s="104">
        <v>3000</v>
      </c>
      <c r="D189" s="96"/>
      <c r="E189" s="216">
        <f>C189</f>
        <v>3000</v>
      </c>
      <c r="F189" s="249" t="s">
        <v>1574</v>
      </c>
    </row>
    <row r="190" spans="1:6">
      <c r="A190" t="s">
        <v>1548</v>
      </c>
      <c r="B190" s="15" t="s">
        <v>659</v>
      </c>
      <c r="C190" s="96"/>
      <c r="D190" s="104">
        <v>23973</v>
      </c>
      <c r="E190" s="253">
        <f t="shared" si="6"/>
        <v>-23973</v>
      </c>
      <c r="F190" s="249" t="s">
        <v>37</v>
      </c>
    </row>
    <row r="191" spans="1:6">
      <c r="A191" t="s">
        <v>1573</v>
      </c>
      <c r="B191" s="190" t="s">
        <v>1448</v>
      </c>
      <c r="C191" s="104">
        <v>109263</v>
      </c>
      <c r="D191" s="96"/>
      <c r="E191" s="216">
        <f>C191</f>
        <v>109263</v>
      </c>
      <c r="F191" s="249" t="s">
        <v>1574</v>
      </c>
    </row>
    <row r="192" spans="1:6">
      <c r="A192" t="s">
        <v>1548</v>
      </c>
      <c r="B192" s="190" t="s">
        <v>661</v>
      </c>
      <c r="C192" s="96"/>
      <c r="D192" s="104">
        <v>60</v>
      </c>
      <c r="E192" s="253">
        <f t="shared" si="6"/>
        <v>-60</v>
      </c>
      <c r="F192" s="249" t="s">
        <v>37</v>
      </c>
    </row>
    <row r="193" spans="1:6">
      <c r="A193" t="s">
        <v>1548</v>
      </c>
      <c r="B193" s="15" t="s">
        <v>664</v>
      </c>
      <c r="C193" s="96"/>
      <c r="D193" s="104">
        <v>11426</v>
      </c>
      <c r="E193" s="253">
        <f t="shared" si="6"/>
        <v>-11426</v>
      </c>
      <c r="F193" s="249" t="s">
        <v>37</v>
      </c>
    </row>
    <row r="194" spans="1:6">
      <c r="A194" t="s">
        <v>1573</v>
      </c>
      <c r="B194" s="190" t="s">
        <v>665</v>
      </c>
      <c r="C194" s="104">
        <v>82856</v>
      </c>
      <c r="D194" s="96"/>
      <c r="E194" s="216">
        <f>C194</f>
        <v>82856</v>
      </c>
      <c r="F194" s="249" t="s">
        <v>1574</v>
      </c>
    </row>
    <row r="195" spans="1:6">
      <c r="A195" t="s">
        <v>1548</v>
      </c>
      <c r="B195" s="190" t="s">
        <v>1706</v>
      </c>
      <c r="C195" s="96"/>
      <c r="D195" s="104">
        <v>146494.5</v>
      </c>
      <c r="E195" s="253">
        <f t="shared" si="6"/>
        <v>-146494.5</v>
      </c>
      <c r="F195" s="249" t="s">
        <v>37</v>
      </c>
    </row>
    <row r="196" spans="1:6">
      <c r="A196" t="s">
        <v>1573</v>
      </c>
      <c r="B196" s="190" t="s">
        <v>666</v>
      </c>
      <c r="C196" s="104">
        <v>7740</v>
      </c>
      <c r="D196" s="96"/>
      <c r="E196" s="216">
        <f>C196</f>
        <v>7740</v>
      </c>
      <c r="F196" s="249" t="s">
        <v>1574</v>
      </c>
    </row>
    <row r="197" spans="1:6">
      <c r="A197" t="s">
        <v>1573</v>
      </c>
      <c r="B197" s="190" t="s">
        <v>667</v>
      </c>
      <c r="C197" s="104">
        <v>42132</v>
      </c>
      <c r="D197" s="96"/>
      <c r="E197" s="216">
        <f>C197</f>
        <v>42132</v>
      </c>
      <c r="F197" s="249" t="s">
        <v>1574</v>
      </c>
    </row>
    <row r="198" spans="1:6">
      <c r="A198" t="s">
        <v>1573</v>
      </c>
      <c r="B198" s="190" t="s">
        <v>1813</v>
      </c>
      <c r="C198" s="104">
        <v>9780</v>
      </c>
      <c r="D198" s="96"/>
      <c r="E198" s="216">
        <f>C198</f>
        <v>9780</v>
      </c>
      <c r="F198" s="249" t="s">
        <v>1574</v>
      </c>
    </row>
    <row r="199" spans="1:6">
      <c r="A199" t="s">
        <v>1573</v>
      </c>
      <c r="B199" s="15" t="s">
        <v>1449</v>
      </c>
      <c r="C199" s="104">
        <v>951838</v>
      </c>
      <c r="D199" s="96"/>
      <c r="E199" s="216">
        <f>C199</f>
        <v>951838</v>
      </c>
      <c r="F199" s="249" t="s">
        <v>1574</v>
      </c>
    </row>
    <row r="200" spans="1:6">
      <c r="A200" t="s">
        <v>1573</v>
      </c>
      <c r="B200" s="190" t="s">
        <v>669</v>
      </c>
      <c r="C200" s="104">
        <v>25367</v>
      </c>
      <c r="D200" s="96"/>
      <c r="E200" s="216">
        <f>C200</f>
        <v>25367</v>
      </c>
      <c r="F200" s="249" t="s">
        <v>1574</v>
      </c>
    </row>
    <row r="201" spans="1:6">
      <c r="A201" t="s">
        <v>1548</v>
      </c>
      <c r="B201" s="190" t="s">
        <v>1450</v>
      </c>
      <c r="C201" s="96"/>
      <c r="D201" s="104">
        <v>100000</v>
      </c>
      <c r="E201" s="253">
        <f>-D201</f>
        <v>-100000</v>
      </c>
      <c r="F201" s="249" t="s">
        <v>37</v>
      </c>
    </row>
    <row r="202" spans="1:6">
      <c r="A202" t="s">
        <v>1573</v>
      </c>
      <c r="B202" s="15" t="s">
        <v>670</v>
      </c>
      <c r="C202" s="104">
        <v>70159</v>
      </c>
      <c r="D202" s="96"/>
      <c r="E202" s="216">
        <f>C202</f>
        <v>70159</v>
      </c>
      <c r="F202" s="249" t="s">
        <v>1574</v>
      </c>
    </row>
    <row r="203" spans="1:6">
      <c r="A203" t="s">
        <v>1573</v>
      </c>
      <c r="B203" s="190" t="s">
        <v>1279</v>
      </c>
      <c r="C203" s="104">
        <v>252389</v>
      </c>
      <c r="D203" s="96"/>
      <c r="E203" s="216">
        <f>C203</f>
        <v>252389</v>
      </c>
      <c r="F203" s="249" t="s">
        <v>1574</v>
      </c>
    </row>
    <row r="204" spans="1:6">
      <c r="A204" t="s">
        <v>1548</v>
      </c>
      <c r="B204" s="190" t="s">
        <v>1707</v>
      </c>
      <c r="C204" s="96"/>
      <c r="D204" s="104">
        <v>90</v>
      </c>
      <c r="E204" s="253">
        <f>-D204</f>
        <v>-90</v>
      </c>
      <c r="F204" s="249" t="s">
        <v>37</v>
      </c>
    </row>
    <row r="205" spans="1:6">
      <c r="A205" t="s">
        <v>1548</v>
      </c>
      <c r="B205" s="190" t="s">
        <v>1708</v>
      </c>
      <c r="C205" s="96"/>
      <c r="D205" s="104">
        <v>212</v>
      </c>
      <c r="E205" s="253">
        <f>-D205</f>
        <v>-212</v>
      </c>
      <c r="F205" s="249" t="s">
        <v>37</v>
      </c>
    </row>
    <row r="206" spans="1:6">
      <c r="A206" t="s">
        <v>1573</v>
      </c>
      <c r="B206" s="190" t="s">
        <v>1709</v>
      </c>
      <c r="C206" s="104">
        <v>2021</v>
      </c>
      <c r="D206" s="96"/>
      <c r="E206" s="216">
        <f>C206</f>
        <v>2021</v>
      </c>
      <c r="F206" s="249" t="s">
        <v>1574</v>
      </c>
    </row>
    <row r="207" spans="1:6">
      <c r="A207" t="s">
        <v>1548</v>
      </c>
      <c r="B207" s="190" t="s">
        <v>1451</v>
      </c>
      <c r="C207" s="96"/>
      <c r="D207" s="104">
        <v>2000</v>
      </c>
      <c r="E207" s="253">
        <f>-D207</f>
        <v>-2000</v>
      </c>
      <c r="F207" s="249" t="s">
        <v>37</v>
      </c>
    </row>
    <row r="208" spans="1:6">
      <c r="A208" t="s">
        <v>1573</v>
      </c>
      <c r="B208" s="15" t="s">
        <v>1452</v>
      </c>
      <c r="C208" s="104">
        <v>1780</v>
      </c>
      <c r="D208" s="96"/>
      <c r="E208" s="216">
        <f>C208</f>
        <v>1780</v>
      </c>
      <c r="F208" s="249" t="s">
        <v>1574</v>
      </c>
    </row>
    <row r="209" spans="1:6">
      <c r="A209" t="s">
        <v>1548</v>
      </c>
      <c r="B209" s="190" t="s">
        <v>672</v>
      </c>
      <c r="C209" s="96"/>
      <c r="D209" s="104">
        <v>16895</v>
      </c>
      <c r="E209" s="253">
        <f>-D209</f>
        <v>-16895</v>
      </c>
      <c r="F209" s="249" t="s">
        <v>37</v>
      </c>
    </row>
    <row r="210" spans="1:6">
      <c r="A210" t="s">
        <v>1548</v>
      </c>
      <c r="B210" s="15" t="s">
        <v>673</v>
      </c>
      <c r="C210" s="96"/>
      <c r="D210" s="104">
        <v>8364</v>
      </c>
      <c r="E210" s="253">
        <f>-D210</f>
        <v>-8364</v>
      </c>
      <c r="F210" s="249" t="s">
        <v>37</v>
      </c>
    </row>
    <row r="211" spans="1:6">
      <c r="A211" t="s">
        <v>1573</v>
      </c>
      <c r="B211" s="190" t="s">
        <v>1710</v>
      </c>
      <c r="C211" s="104">
        <v>1262</v>
      </c>
      <c r="D211" s="96"/>
      <c r="E211" s="216">
        <f>C211</f>
        <v>1262</v>
      </c>
      <c r="F211" s="249" t="s">
        <v>1574</v>
      </c>
    </row>
    <row r="212" spans="1:6">
      <c r="A212" t="s">
        <v>1548</v>
      </c>
      <c r="B212" s="190" t="s">
        <v>1025</v>
      </c>
      <c r="C212" s="96"/>
      <c r="D212" s="104">
        <v>112803</v>
      </c>
      <c r="E212" s="253">
        <f>-D212</f>
        <v>-112803</v>
      </c>
      <c r="F212" s="249" t="s">
        <v>37</v>
      </c>
    </row>
    <row r="213" spans="1:6">
      <c r="A213" t="s">
        <v>1548</v>
      </c>
      <c r="B213" s="190" t="s">
        <v>1711</v>
      </c>
      <c r="C213" s="96"/>
      <c r="D213" s="104">
        <v>2500</v>
      </c>
      <c r="E213" s="253">
        <f>-D213</f>
        <v>-2500</v>
      </c>
      <c r="F213" s="249" t="s">
        <v>37</v>
      </c>
    </row>
    <row r="214" spans="1:6">
      <c r="A214" t="s">
        <v>1548</v>
      </c>
      <c r="B214" s="190" t="s">
        <v>1454</v>
      </c>
      <c r="C214" s="96"/>
      <c r="D214" s="104">
        <v>2600</v>
      </c>
      <c r="E214" s="253">
        <f>-D214</f>
        <v>-2600</v>
      </c>
      <c r="F214" s="249" t="s">
        <v>37</v>
      </c>
    </row>
    <row r="215" spans="1:6">
      <c r="A215" t="s">
        <v>1573</v>
      </c>
      <c r="B215" s="190" t="s">
        <v>1455</v>
      </c>
      <c r="C215" s="104">
        <v>33082</v>
      </c>
      <c r="D215" s="96"/>
      <c r="E215" s="216">
        <f>C215</f>
        <v>33082</v>
      </c>
      <c r="F215" s="249" t="s">
        <v>1574</v>
      </c>
    </row>
    <row r="216" spans="1:6">
      <c r="A216" t="s">
        <v>1573</v>
      </c>
      <c r="B216" s="15" t="s">
        <v>677</v>
      </c>
      <c r="C216" s="104">
        <v>118675</v>
      </c>
      <c r="D216" s="96"/>
      <c r="E216" s="216">
        <f>C216</f>
        <v>118675</v>
      </c>
      <c r="F216" s="249" t="s">
        <v>1574</v>
      </c>
    </row>
    <row r="217" spans="1:6">
      <c r="A217" t="s">
        <v>1548</v>
      </c>
      <c r="B217" s="190" t="s">
        <v>678</v>
      </c>
      <c r="C217" s="96"/>
      <c r="D217" s="104">
        <v>8174</v>
      </c>
      <c r="E217" s="253">
        <f>-D217</f>
        <v>-8174</v>
      </c>
      <c r="F217" s="249" t="s">
        <v>37</v>
      </c>
    </row>
    <row r="218" spans="1:6">
      <c r="A218" t="s">
        <v>1573</v>
      </c>
      <c r="B218" s="190" t="s">
        <v>1816</v>
      </c>
      <c r="C218" s="104">
        <v>40105</v>
      </c>
      <c r="D218" s="96"/>
      <c r="E218" s="216">
        <f>C218</f>
        <v>40105</v>
      </c>
      <c r="F218" s="249" t="s">
        <v>1574</v>
      </c>
    </row>
    <row r="219" spans="1:6">
      <c r="A219" t="s">
        <v>1548</v>
      </c>
      <c r="B219" s="15" t="s">
        <v>679</v>
      </c>
      <c r="C219" s="96"/>
      <c r="D219" s="104">
        <v>42419</v>
      </c>
      <c r="E219" s="253">
        <f>-D219</f>
        <v>-42419</v>
      </c>
      <c r="F219" s="249" t="s">
        <v>37</v>
      </c>
    </row>
    <row r="220" spans="1:6">
      <c r="A220" t="s">
        <v>1548</v>
      </c>
      <c r="B220" s="190" t="s">
        <v>1027</v>
      </c>
      <c r="C220" s="96"/>
      <c r="D220" s="104">
        <v>3225</v>
      </c>
      <c r="E220" s="253">
        <f>-D220</f>
        <v>-3225</v>
      </c>
      <c r="F220" s="249" t="s">
        <v>37</v>
      </c>
    </row>
    <row r="221" spans="1:6">
      <c r="A221" t="s">
        <v>1548</v>
      </c>
      <c r="B221" s="15" t="s">
        <v>681</v>
      </c>
      <c r="C221" s="96"/>
      <c r="D221" s="104">
        <v>2083</v>
      </c>
      <c r="E221" s="253">
        <f>-D221</f>
        <v>-2083</v>
      </c>
      <c r="F221" s="249" t="s">
        <v>37</v>
      </c>
    </row>
    <row r="222" spans="1:6">
      <c r="A222" t="s">
        <v>1573</v>
      </c>
      <c r="B222" s="15" t="s">
        <v>1028</v>
      </c>
      <c r="C222" s="104">
        <v>4180</v>
      </c>
      <c r="D222" s="96"/>
      <c r="E222" s="216">
        <f>C222</f>
        <v>4180</v>
      </c>
      <c r="F222" s="249" t="s">
        <v>1574</v>
      </c>
    </row>
    <row r="223" spans="1:6">
      <c r="A223" t="s">
        <v>1548</v>
      </c>
      <c r="B223" s="190" t="s">
        <v>1712</v>
      </c>
      <c r="C223" s="96"/>
      <c r="D223" s="104">
        <v>185976</v>
      </c>
      <c r="E223" s="253">
        <f>-D223</f>
        <v>-185976</v>
      </c>
      <c r="F223" s="249" t="s">
        <v>37</v>
      </c>
    </row>
    <row r="224" spans="1:6">
      <c r="A224" t="s">
        <v>1548</v>
      </c>
      <c r="B224" s="190" t="s">
        <v>1456</v>
      </c>
      <c r="C224" s="96"/>
      <c r="D224" s="104">
        <v>236</v>
      </c>
      <c r="E224" s="253">
        <f>-D224</f>
        <v>-236</v>
      </c>
      <c r="F224" s="249" t="s">
        <v>37</v>
      </c>
    </row>
    <row r="225" spans="1:6">
      <c r="A225" t="s">
        <v>1573</v>
      </c>
      <c r="B225" s="15" t="s">
        <v>685</v>
      </c>
      <c r="C225" s="104">
        <v>175000</v>
      </c>
      <c r="D225" s="96"/>
      <c r="E225" s="216">
        <f>C225</f>
        <v>175000</v>
      </c>
      <c r="F225" s="249" t="s">
        <v>1574</v>
      </c>
    </row>
    <row r="226" spans="1:6">
      <c r="A226" t="s">
        <v>1548</v>
      </c>
      <c r="B226" s="190" t="s">
        <v>1457</v>
      </c>
      <c r="C226" s="96"/>
      <c r="D226" s="104">
        <v>11801</v>
      </c>
      <c r="E226" s="253">
        <f>-D226</f>
        <v>-11801</v>
      </c>
      <c r="F226" s="249" t="s">
        <v>37</v>
      </c>
    </row>
    <row r="227" spans="1:6">
      <c r="A227" t="s">
        <v>1548</v>
      </c>
      <c r="B227" s="15" t="s">
        <v>1819</v>
      </c>
      <c r="C227" s="96"/>
      <c r="D227" s="104">
        <v>1651</v>
      </c>
      <c r="E227" s="253">
        <f>-D227</f>
        <v>-1651</v>
      </c>
      <c r="F227" s="249" t="s">
        <v>37</v>
      </c>
    </row>
    <row r="228" spans="1:6">
      <c r="A228" t="s">
        <v>1573</v>
      </c>
      <c r="B228" s="190" t="s">
        <v>1713</v>
      </c>
      <c r="C228" s="104">
        <v>2500</v>
      </c>
      <c r="D228" s="96"/>
      <c r="E228" s="216">
        <f>C228</f>
        <v>2500</v>
      </c>
      <c r="F228" s="249" t="s">
        <v>1574</v>
      </c>
    </row>
    <row r="229" spans="1:6">
      <c r="A229" t="s">
        <v>1573</v>
      </c>
      <c r="B229" s="190" t="s">
        <v>1458</v>
      </c>
      <c r="C229" s="104">
        <v>760</v>
      </c>
      <c r="D229" s="96"/>
      <c r="E229" s="216">
        <f>C229</f>
        <v>760</v>
      </c>
      <c r="F229" s="249" t="s">
        <v>1574</v>
      </c>
    </row>
    <row r="230" spans="1:6">
      <c r="A230" t="s">
        <v>1573</v>
      </c>
      <c r="B230" s="190" t="s">
        <v>1278</v>
      </c>
      <c r="C230" s="104">
        <v>99115</v>
      </c>
      <c r="D230" s="96"/>
      <c r="E230" s="216">
        <f>C230</f>
        <v>99115</v>
      </c>
      <c r="F230" s="249" t="s">
        <v>1574</v>
      </c>
    </row>
    <row r="231" spans="1:6">
      <c r="A231" t="s">
        <v>1548</v>
      </c>
      <c r="B231" s="190" t="s">
        <v>1277</v>
      </c>
      <c r="C231" s="96"/>
      <c r="D231" s="104">
        <v>13000</v>
      </c>
      <c r="E231" s="253">
        <f>-D231</f>
        <v>-13000</v>
      </c>
      <c r="F231" s="249" t="s">
        <v>37</v>
      </c>
    </row>
    <row r="232" spans="1:6">
      <c r="A232" t="s">
        <v>1573</v>
      </c>
      <c r="B232" s="190" t="s">
        <v>1714</v>
      </c>
      <c r="C232" s="104">
        <v>3870</v>
      </c>
      <c r="D232" s="96"/>
      <c r="E232" s="216">
        <f>C232</f>
        <v>3870</v>
      </c>
      <c r="F232" s="249" t="s">
        <v>1574</v>
      </c>
    </row>
    <row r="233" spans="1:6">
      <c r="A233" t="s">
        <v>1548</v>
      </c>
      <c r="B233" s="190" t="s">
        <v>1276</v>
      </c>
      <c r="C233" s="96"/>
      <c r="D233" s="104">
        <v>144688</v>
      </c>
      <c r="E233" s="253">
        <f>-D233</f>
        <v>-144688</v>
      </c>
      <c r="F233" s="249" t="s">
        <v>37</v>
      </c>
    </row>
    <row r="234" spans="1:6">
      <c r="A234" t="s">
        <v>1573</v>
      </c>
      <c r="B234" s="190" t="s">
        <v>1031</v>
      </c>
      <c r="C234" s="104">
        <v>357858</v>
      </c>
      <c r="D234" s="96"/>
      <c r="E234" s="216">
        <f t="shared" ref="E234:E239" si="7">C234</f>
        <v>357858</v>
      </c>
      <c r="F234" s="249" t="s">
        <v>1574</v>
      </c>
    </row>
    <row r="235" spans="1:6">
      <c r="A235" t="s">
        <v>1573</v>
      </c>
      <c r="B235" s="190" t="s">
        <v>696</v>
      </c>
      <c r="C235" s="104">
        <v>101667</v>
      </c>
      <c r="D235" s="96"/>
      <c r="E235" s="216">
        <f t="shared" si="7"/>
        <v>101667</v>
      </c>
      <c r="F235" s="249" t="s">
        <v>1574</v>
      </c>
    </row>
    <row r="236" spans="1:6">
      <c r="A236" t="s">
        <v>1573</v>
      </c>
      <c r="B236" s="190" t="s">
        <v>1822</v>
      </c>
      <c r="C236" s="104">
        <v>9250</v>
      </c>
      <c r="D236" s="96"/>
      <c r="E236" s="216">
        <f t="shared" si="7"/>
        <v>9250</v>
      </c>
      <c r="F236" s="249" t="s">
        <v>1574</v>
      </c>
    </row>
    <row r="237" spans="1:6">
      <c r="A237" t="s">
        <v>1573</v>
      </c>
      <c r="B237" s="190" t="s">
        <v>1715</v>
      </c>
      <c r="C237" s="104">
        <v>350</v>
      </c>
      <c r="D237" s="96"/>
      <c r="E237" s="216">
        <f t="shared" si="7"/>
        <v>350</v>
      </c>
      <c r="F237" s="249" t="s">
        <v>1574</v>
      </c>
    </row>
    <row r="238" spans="1:6">
      <c r="A238" t="s">
        <v>1573</v>
      </c>
      <c r="B238" s="190" t="s">
        <v>1823</v>
      </c>
      <c r="C238" s="104">
        <v>5250</v>
      </c>
      <c r="D238" s="96"/>
      <c r="E238" s="216">
        <f t="shared" si="7"/>
        <v>5250</v>
      </c>
      <c r="F238" s="249" t="s">
        <v>1574</v>
      </c>
    </row>
    <row r="239" spans="1:6">
      <c r="A239" t="s">
        <v>1573</v>
      </c>
      <c r="B239" s="190" t="s">
        <v>698</v>
      </c>
      <c r="C239" s="104">
        <v>96238</v>
      </c>
      <c r="D239" s="96"/>
      <c r="E239" s="216">
        <f t="shared" si="7"/>
        <v>96238</v>
      </c>
      <c r="F239" s="249" t="s">
        <v>1574</v>
      </c>
    </row>
    <row r="240" spans="1:6">
      <c r="A240" t="s">
        <v>1548</v>
      </c>
      <c r="B240" s="190" t="s">
        <v>699</v>
      </c>
      <c r="C240" s="96"/>
      <c r="D240" s="104">
        <v>3696</v>
      </c>
      <c r="E240" s="253">
        <f>-D240</f>
        <v>-3696</v>
      </c>
      <c r="F240" s="249" t="s">
        <v>37</v>
      </c>
    </row>
    <row r="241" spans="1:6">
      <c r="A241" t="s">
        <v>1573</v>
      </c>
      <c r="B241" s="15" t="s">
        <v>700</v>
      </c>
      <c r="C241" s="104">
        <v>129822</v>
      </c>
      <c r="D241" s="96"/>
      <c r="E241" s="216">
        <f>C241</f>
        <v>129822</v>
      </c>
      <c r="F241" s="249" t="s">
        <v>1574</v>
      </c>
    </row>
    <row r="242" spans="1:6">
      <c r="A242" t="s">
        <v>1548</v>
      </c>
      <c r="B242" s="190" t="s">
        <v>1275</v>
      </c>
      <c r="C242" s="96"/>
      <c r="D242" s="104">
        <v>5500</v>
      </c>
      <c r="E242" s="253">
        <f>-D242</f>
        <v>-5500</v>
      </c>
      <c r="F242" s="249" t="s">
        <v>37</v>
      </c>
    </row>
    <row r="243" spans="1:6">
      <c r="A243" t="s">
        <v>1548</v>
      </c>
      <c r="B243" s="190" t="s">
        <v>1032</v>
      </c>
      <c r="C243" s="96"/>
      <c r="D243" s="104">
        <v>316617.93</v>
      </c>
      <c r="E243" s="253">
        <f>-D243</f>
        <v>-316617.93</v>
      </c>
      <c r="F243" s="249" t="s">
        <v>37</v>
      </c>
    </row>
    <row r="244" spans="1:6">
      <c r="A244" t="s">
        <v>1548</v>
      </c>
      <c r="B244" s="190" t="s">
        <v>1461</v>
      </c>
      <c r="C244" s="96"/>
      <c r="D244" s="104">
        <v>147</v>
      </c>
      <c r="E244" s="253">
        <f>-D244</f>
        <v>-147</v>
      </c>
      <c r="F244" s="249" t="s">
        <v>37</v>
      </c>
    </row>
    <row r="245" spans="1:6">
      <c r="A245" t="s">
        <v>1573</v>
      </c>
      <c r="B245" s="15" t="s">
        <v>650</v>
      </c>
      <c r="C245" s="104">
        <v>4512</v>
      </c>
      <c r="D245" s="96"/>
      <c r="E245" s="216">
        <f>C245</f>
        <v>4512</v>
      </c>
      <c r="F245" s="249" t="s">
        <v>1574</v>
      </c>
    </row>
    <row r="246" spans="1:6">
      <c r="A246" t="s">
        <v>1573</v>
      </c>
      <c r="B246" s="15" t="s">
        <v>653</v>
      </c>
      <c r="C246" s="104">
        <v>1270</v>
      </c>
      <c r="D246" s="96"/>
      <c r="E246" s="216">
        <f>C246</f>
        <v>1270</v>
      </c>
      <c r="F246" s="249" t="s">
        <v>1574</v>
      </c>
    </row>
    <row r="247" spans="1:6">
      <c r="A247" t="s">
        <v>1573</v>
      </c>
      <c r="B247" s="15" t="s">
        <v>656</v>
      </c>
      <c r="C247" s="104">
        <v>516</v>
      </c>
      <c r="D247" s="96"/>
      <c r="E247" s="216">
        <f>C247</f>
        <v>516</v>
      </c>
      <c r="F247" s="249" t="s">
        <v>1574</v>
      </c>
    </row>
    <row r="248" spans="1:6">
      <c r="A248" t="s">
        <v>1548</v>
      </c>
      <c r="B248" s="190" t="s">
        <v>1811</v>
      </c>
      <c r="C248" s="96"/>
      <c r="D248" s="104">
        <v>17797</v>
      </c>
      <c r="E248" s="253">
        <f>-D248</f>
        <v>-17797</v>
      </c>
      <c r="F248" s="249" t="s">
        <v>37</v>
      </c>
    </row>
    <row r="249" spans="1:6">
      <c r="A249" t="s">
        <v>1548</v>
      </c>
      <c r="B249" s="15" t="s">
        <v>1176</v>
      </c>
      <c r="C249" s="96"/>
      <c r="D249" s="104">
        <v>3199</v>
      </c>
      <c r="E249" s="253">
        <f>-D249</f>
        <v>-3199</v>
      </c>
      <c r="F249" s="249" t="s">
        <v>37</v>
      </c>
    </row>
    <row r="250" spans="1:6">
      <c r="A250" t="s">
        <v>1548</v>
      </c>
      <c r="B250" s="190" t="s">
        <v>1812</v>
      </c>
      <c r="C250" s="96"/>
      <c r="D250" s="104">
        <v>6068</v>
      </c>
      <c r="E250" s="253">
        <f>-D250</f>
        <v>-6068</v>
      </c>
      <c r="F250" s="249" t="s">
        <v>37</v>
      </c>
    </row>
    <row r="251" spans="1:6">
      <c r="A251" t="s">
        <v>1573</v>
      </c>
      <c r="B251" s="15" t="s">
        <v>1814</v>
      </c>
      <c r="C251" s="104">
        <v>7577</v>
      </c>
      <c r="D251" s="96"/>
      <c r="E251" s="216">
        <f>C251</f>
        <v>7577</v>
      </c>
      <c r="F251" s="249" t="s">
        <v>1574</v>
      </c>
    </row>
    <row r="252" spans="1:6">
      <c r="A252" t="s">
        <v>1548</v>
      </c>
      <c r="B252" s="15" t="s">
        <v>1815</v>
      </c>
      <c r="C252" s="96"/>
      <c r="D252" s="104">
        <v>200</v>
      </c>
      <c r="E252" s="253">
        <f>-D252</f>
        <v>-200</v>
      </c>
      <c r="F252" s="249" t="s">
        <v>37</v>
      </c>
    </row>
    <row r="253" spans="1:6">
      <c r="A253" t="s">
        <v>1548</v>
      </c>
      <c r="B253" s="190" t="s">
        <v>1817</v>
      </c>
      <c r="C253" s="96"/>
      <c r="D253" s="104">
        <v>4938</v>
      </c>
      <c r="E253" s="253">
        <f>-D253</f>
        <v>-4938</v>
      </c>
      <c r="F253" s="249" t="s">
        <v>37</v>
      </c>
    </row>
    <row r="254" spans="1:6">
      <c r="A254" t="s">
        <v>1573</v>
      </c>
      <c r="B254" s="190" t="s">
        <v>1818</v>
      </c>
      <c r="C254" s="104">
        <v>55210</v>
      </c>
      <c r="D254" s="96"/>
      <c r="E254" s="216">
        <f>C254</f>
        <v>55210</v>
      </c>
      <c r="F254" s="249" t="s">
        <v>1574</v>
      </c>
    </row>
    <row r="255" spans="1:6">
      <c r="A255" t="s">
        <v>1548</v>
      </c>
      <c r="B255" s="190" t="s">
        <v>1820</v>
      </c>
      <c r="C255" s="96"/>
      <c r="D255" s="104">
        <v>800</v>
      </c>
      <c r="E255" s="253">
        <f>-D255</f>
        <v>-800</v>
      </c>
      <c r="F255" s="249" t="s">
        <v>37</v>
      </c>
    </row>
    <row r="256" spans="1:6">
      <c r="A256" t="s">
        <v>1573</v>
      </c>
      <c r="B256" s="190" t="s">
        <v>1467</v>
      </c>
      <c r="C256" s="104">
        <v>1000</v>
      </c>
      <c r="D256" s="96"/>
      <c r="E256" s="216">
        <f>C256</f>
        <v>1000</v>
      </c>
      <c r="F256" s="249" t="s">
        <v>1574</v>
      </c>
    </row>
    <row r="257" spans="1:6">
      <c r="A257" t="s">
        <v>1573</v>
      </c>
      <c r="B257" s="190" t="s">
        <v>697</v>
      </c>
      <c r="C257" s="104">
        <v>127518</v>
      </c>
      <c r="D257" s="96"/>
      <c r="E257" s="216">
        <f>C257</f>
        <v>127518</v>
      </c>
      <c r="F257" s="249" t="s">
        <v>1574</v>
      </c>
    </row>
    <row r="258" spans="1:6">
      <c r="B258" s="203" t="s">
        <v>1274</v>
      </c>
      <c r="C258" s="204">
        <v>356</v>
      </c>
      <c r="D258" s="204">
        <v>2086832.45</v>
      </c>
      <c r="E258" s="251"/>
    </row>
    <row r="259" spans="1:6">
      <c r="A259" t="s">
        <v>1573</v>
      </c>
      <c r="B259" s="190" t="s">
        <v>1468</v>
      </c>
      <c r="C259" s="104">
        <v>1</v>
      </c>
      <c r="D259" s="96"/>
      <c r="E259" s="216">
        <f>C259</f>
        <v>1</v>
      </c>
      <c r="F259" s="249" t="s">
        <v>1574</v>
      </c>
    </row>
    <row r="260" spans="1:6">
      <c r="A260" t="s">
        <v>1548</v>
      </c>
      <c r="B260" s="190" t="s">
        <v>1469</v>
      </c>
      <c r="C260" s="96"/>
      <c r="D260" s="104">
        <v>10962</v>
      </c>
      <c r="E260" s="253">
        <f t="shared" ref="E260:E278" si="8">-D260</f>
        <v>-10962</v>
      </c>
      <c r="F260" s="249" t="s">
        <v>37</v>
      </c>
    </row>
    <row r="261" spans="1:6">
      <c r="A261" t="s">
        <v>1548</v>
      </c>
      <c r="B261" s="190" t="s">
        <v>1273</v>
      </c>
      <c r="C261" s="96"/>
      <c r="D261" s="104">
        <v>28985</v>
      </c>
      <c r="E261" s="253">
        <f t="shared" si="8"/>
        <v>-28985</v>
      </c>
      <c r="F261" s="249" t="s">
        <v>37</v>
      </c>
    </row>
    <row r="262" spans="1:6">
      <c r="A262" t="s">
        <v>1548</v>
      </c>
      <c r="B262" s="190" t="s">
        <v>704</v>
      </c>
      <c r="C262" s="96"/>
      <c r="D262" s="104">
        <v>761986</v>
      </c>
      <c r="E262" s="253">
        <f t="shared" si="8"/>
        <v>-761986</v>
      </c>
      <c r="F262" s="249" t="s">
        <v>37</v>
      </c>
    </row>
    <row r="263" spans="1:6">
      <c r="A263" t="s">
        <v>1548</v>
      </c>
      <c r="B263" s="190" t="s">
        <v>1470</v>
      </c>
      <c r="C263" s="96"/>
      <c r="D263" s="104">
        <v>63635</v>
      </c>
      <c r="E263" s="253">
        <f t="shared" si="8"/>
        <v>-63635</v>
      </c>
      <c r="F263" s="249" t="s">
        <v>37</v>
      </c>
    </row>
    <row r="264" spans="1:6">
      <c r="A264" t="s">
        <v>1548</v>
      </c>
      <c r="B264" s="17" t="s">
        <v>1716</v>
      </c>
      <c r="C264" s="96"/>
      <c r="D264" s="104">
        <v>75544</v>
      </c>
      <c r="E264" s="253">
        <f t="shared" si="8"/>
        <v>-75544</v>
      </c>
      <c r="F264" s="249" t="s">
        <v>37</v>
      </c>
    </row>
    <row r="265" spans="1:6">
      <c r="A265" t="s">
        <v>1548</v>
      </c>
      <c r="B265" s="190" t="s">
        <v>707</v>
      </c>
      <c r="C265" s="96"/>
      <c r="D265" s="104">
        <v>410109.2</v>
      </c>
      <c r="E265" s="253">
        <f t="shared" si="8"/>
        <v>-410109.2</v>
      </c>
      <c r="F265" s="249" t="s">
        <v>37</v>
      </c>
    </row>
    <row r="266" spans="1:6">
      <c r="A266" t="s">
        <v>1548</v>
      </c>
      <c r="B266" s="190" t="s">
        <v>1717</v>
      </c>
      <c r="C266" s="96"/>
      <c r="D266" s="104">
        <v>175702</v>
      </c>
      <c r="E266" s="253">
        <f t="shared" si="8"/>
        <v>-175702</v>
      </c>
      <c r="F266" s="249" t="s">
        <v>37</v>
      </c>
    </row>
    <row r="267" spans="1:6">
      <c r="A267" t="s">
        <v>1548</v>
      </c>
      <c r="B267" s="190" t="s">
        <v>1718</v>
      </c>
      <c r="C267" s="96"/>
      <c r="D267" s="104">
        <v>87475</v>
      </c>
      <c r="E267" s="253">
        <f t="shared" si="8"/>
        <v>-87475</v>
      </c>
      <c r="F267" s="249" t="s">
        <v>37</v>
      </c>
    </row>
    <row r="268" spans="1:6">
      <c r="A268" t="s">
        <v>1548</v>
      </c>
      <c r="B268" s="190" t="s">
        <v>1471</v>
      </c>
      <c r="C268" s="96"/>
      <c r="D268" s="104">
        <v>685</v>
      </c>
      <c r="E268" s="253">
        <f t="shared" si="8"/>
        <v>-685</v>
      </c>
      <c r="F268" s="249" t="s">
        <v>37</v>
      </c>
    </row>
    <row r="269" spans="1:6">
      <c r="A269" t="s">
        <v>1548</v>
      </c>
      <c r="B269" s="190" t="s">
        <v>1472</v>
      </c>
      <c r="C269" s="96"/>
      <c r="D269" s="104">
        <v>13</v>
      </c>
      <c r="E269" s="253">
        <f t="shared" si="8"/>
        <v>-13</v>
      </c>
      <c r="F269" s="249" t="s">
        <v>37</v>
      </c>
    </row>
    <row r="270" spans="1:6">
      <c r="A270" t="s">
        <v>1548</v>
      </c>
      <c r="B270" s="15" t="s">
        <v>1473</v>
      </c>
      <c r="C270" s="96"/>
      <c r="D270" s="104">
        <v>4635</v>
      </c>
      <c r="E270" s="253">
        <f t="shared" si="8"/>
        <v>-4635</v>
      </c>
      <c r="F270" s="249" t="s">
        <v>37</v>
      </c>
    </row>
    <row r="271" spans="1:6">
      <c r="A271" t="s">
        <v>1548</v>
      </c>
      <c r="B271" s="190" t="s">
        <v>709</v>
      </c>
      <c r="C271" s="96"/>
      <c r="D271" s="104">
        <v>31224</v>
      </c>
      <c r="E271" s="253">
        <f t="shared" si="8"/>
        <v>-31224</v>
      </c>
      <c r="F271" s="249" t="s">
        <v>37</v>
      </c>
    </row>
    <row r="272" spans="1:6">
      <c r="A272" t="s">
        <v>1548</v>
      </c>
      <c r="B272" s="15" t="s">
        <v>1474</v>
      </c>
      <c r="C272" s="96"/>
      <c r="D272" s="104">
        <v>7500</v>
      </c>
      <c r="E272" s="253">
        <f t="shared" si="8"/>
        <v>-7500</v>
      </c>
      <c r="F272" s="249" t="s">
        <v>37</v>
      </c>
    </row>
    <row r="273" spans="1:6">
      <c r="A273" t="s">
        <v>1548</v>
      </c>
      <c r="B273" s="15" t="s">
        <v>1475</v>
      </c>
      <c r="C273" s="96"/>
      <c r="D273" s="104">
        <v>105850</v>
      </c>
      <c r="E273" s="253">
        <f t="shared" si="8"/>
        <v>-105850</v>
      </c>
      <c r="F273" s="249" t="s">
        <v>37</v>
      </c>
    </row>
    <row r="274" spans="1:6">
      <c r="A274" t="s">
        <v>1548</v>
      </c>
      <c r="B274" s="15" t="s">
        <v>711</v>
      </c>
      <c r="C274" s="96"/>
      <c r="D274" s="104">
        <v>10324</v>
      </c>
      <c r="E274" s="253">
        <f t="shared" si="8"/>
        <v>-10324</v>
      </c>
      <c r="F274" s="249" t="s">
        <v>37</v>
      </c>
    </row>
    <row r="275" spans="1:6">
      <c r="A275" t="s">
        <v>1548</v>
      </c>
      <c r="B275" s="190" t="s">
        <v>1831</v>
      </c>
      <c r="C275" s="96"/>
      <c r="D275" s="104">
        <v>978</v>
      </c>
      <c r="E275" s="253">
        <f t="shared" si="8"/>
        <v>-978</v>
      </c>
      <c r="F275" s="249" t="s">
        <v>37</v>
      </c>
    </row>
    <row r="276" spans="1:6">
      <c r="A276" t="s">
        <v>1548</v>
      </c>
      <c r="B276" s="190" t="s">
        <v>1271</v>
      </c>
      <c r="C276" s="96"/>
      <c r="D276" s="104">
        <v>33800</v>
      </c>
      <c r="E276" s="253">
        <f t="shared" si="8"/>
        <v>-33800</v>
      </c>
      <c r="F276" s="249" t="s">
        <v>37</v>
      </c>
    </row>
    <row r="277" spans="1:6">
      <c r="A277" t="s">
        <v>1548</v>
      </c>
      <c r="B277" s="190" t="s">
        <v>1833</v>
      </c>
      <c r="C277" s="96"/>
      <c r="D277" s="104">
        <v>29000</v>
      </c>
      <c r="E277" s="253">
        <f t="shared" si="8"/>
        <v>-29000</v>
      </c>
      <c r="F277" s="249" t="s">
        <v>37</v>
      </c>
    </row>
    <row r="278" spans="1:6">
      <c r="A278" t="s">
        <v>1548</v>
      </c>
      <c r="B278" s="190" t="s">
        <v>1834</v>
      </c>
      <c r="C278" s="96"/>
      <c r="D278" s="104">
        <v>4300</v>
      </c>
      <c r="E278" s="253">
        <f t="shared" si="8"/>
        <v>-4300</v>
      </c>
      <c r="F278" s="249" t="s">
        <v>37</v>
      </c>
    </row>
    <row r="279" spans="1:6">
      <c r="A279" t="s">
        <v>1573</v>
      </c>
      <c r="B279" s="190" t="s">
        <v>1477</v>
      </c>
      <c r="C279" s="104">
        <v>355</v>
      </c>
      <c r="D279" s="96"/>
      <c r="E279" s="216">
        <f>C279</f>
        <v>355</v>
      </c>
      <c r="F279" s="249" t="s">
        <v>1574</v>
      </c>
    </row>
    <row r="280" spans="1:6">
      <c r="A280" t="s">
        <v>1548</v>
      </c>
      <c r="B280" s="190" t="s">
        <v>1479</v>
      </c>
      <c r="C280" s="96"/>
      <c r="D280" s="104">
        <v>4000</v>
      </c>
      <c r="E280" s="253">
        <f t="shared" ref="E280:E297" si="9">-D280</f>
        <v>-4000</v>
      </c>
      <c r="F280" s="249" t="s">
        <v>37</v>
      </c>
    </row>
    <row r="281" spans="1:6">
      <c r="A281" t="s">
        <v>1548</v>
      </c>
      <c r="B281" s="190" t="s">
        <v>1480</v>
      </c>
      <c r="C281" s="96"/>
      <c r="D281" s="104">
        <v>3428</v>
      </c>
      <c r="E281" s="253">
        <f t="shared" si="9"/>
        <v>-3428</v>
      </c>
      <c r="F281" s="249" t="s">
        <v>37</v>
      </c>
    </row>
    <row r="282" spans="1:6">
      <c r="A282" t="s">
        <v>1548</v>
      </c>
      <c r="B282" s="190" t="s">
        <v>715</v>
      </c>
      <c r="C282" s="96"/>
      <c r="D282" s="104">
        <v>39948</v>
      </c>
      <c r="E282" s="253">
        <f t="shared" si="9"/>
        <v>-39948</v>
      </c>
      <c r="F282" s="249" t="s">
        <v>37</v>
      </c>
    </row>
    <row r="283" spans="1:6">
      <c r="A283" t="s">
        <v>1548</v>
      </c>
      <c r="B283" s="190" t="s">
        <v>1270</v>
      </c>
      <c r="C283" s="96"/>
      <c r="D283" s="104">
        <v>20000</v>
      </c>
      <c r="E283" s="253">
        <f t="shared" si="9"/>
        <v>-20000</v>
      </c>
      <c r="F283" s="249" t="s">
        <v>37</v>
      </c>
    </row>
    <row r="284" spans="1:6">
      <c r="A284" t="s">
        <v>1548</v>
      </c>
      <c r="B284" s="15" t="s">
        <v>1269</v>
      </c>
      <c r="C284" s="96"/>
      <c r="D284" s="104">
        <v>1.25</v>
      </c>
      <c r="E284" s="253">
        <f t="shared" si="9"/>
        <v>-1.25</v>
      </c>
      <c r="F284" s="249" t="s">
        <v>37</v>
      </c>
    </row>
    <row r="285" spans="1:6">
      <c r="A285" t="s">
        <v>1548</v>
      </c>
      <c r="B285" s="190" t="s">
        <v>1481</v>
      </c>
      <c r="C285" s="96"/>
      <c r="D285" s="104">
        <v>14946</v>
      </c>
      <c r="E285" s="253">
        <f t="shared" si="9"/>
        <v>-14946</v>
      </c>
      <c r="F285" s="249" t="s">
        <v>37</v>
      </c>
    </row>
    <row r="286" spans="1:6">
      <c r="A286" t="s">
        <v>1548</v>
      </c>
      <c r="B286" s="190" t="s">
        <v>720</v>
      </c>
      <c r="C286" s="96"/>
      <c r="D286" s="104">
        <v>27040</v>
      </c>
      <c r="E286" s="253">
        <f t="shared" si="9"/>
        <v>-27040</v>
      </c>
      <c r="F286" s="249" t="s">
        <v>37</v>
      </c>
    </row>
    <row r="287" spans="1:6">
      <c r="A287" t="s">
        <v>1548</v>
      </c>
      <c r="B287" s="190" t="s">
        <v>1482</v>
      </c>
      <c r="C287" s="96"/>
      <c r="D287" s="104">
        <v>1500</v>
      </c>
      <c r="E287" s="253">
        <f t="shared" si="9"/>
        <v>-1500</v>
      </c>
      <c r="F287" s="249" t="s">
        <v>37</v>
      </c>
    </row>
    <row r="288" spans="1:6">
      <c r="A288" t="s">
        <v>1548</v>
      </c>
      <c r="B288" s="190" t="s">
        <v>1825</v>
      </c>
      <c r="C288" s="96"/>
      <c r="D288" s="104">
        <v>15462</v>
      </c>
      <c r="E288" s="253">
        <f t="shared" si="9"/>
        <v>-15462</v>
      </c>
      <c r="F288" s="249" t="s">
        <v>37</v>
      </c>
    </row>
    <row r="289" spans="1:12">
      <c r="A289" t="s">
        <v>1548</v>
      </c>
      <c r="B289" s="15" t="s">
        <v>1828</v>
      </c>
      <c r="C289" s="96"/>
      <c r="D289" s="104">
        <v>64400</v>
      </c>
      <c r="E289" s="253">
        <f t="shared" si="9"/>
        <v>-64400</v>
      </c>
      <c r="F289" s="249" t="s">
        <v>37</v>
      </c>
    </row>
    <row r="290" spans="1:12">
      <c r="A290" t="s">
        <v>1548</v>
      </c>
      <c r="B290" s="190" t="s">
        <v>1829</v>
      </c>
      <c r="C290" s="96"/>
      <c r="D290" s="104">
        <v>14300</v>
      </c>
      <c r="E290" s="253">
        <f t="shared" si="9"/>
        <v>-14300</v>
      </c>
      <c r="F290" s="249" t="s">
        <v>37</v>
      </c>
    </row>
    <row r="291" spans="1:12">
      <c r="A291" t="s">
        <v>1548</v>
      </c>
      <c r="B291" s="190" t="s">
        <v>1800</v>
      </c>
      <c r="C291" s="96"/>
      <c r="D291" s="104">
        <v>14820</v>
      </c>
      <c r="E291" s="253">
        <f t="shared" si="9"/>
        <v>-14820</v>
      </c>
      <c r="F291" s="249" t="s">
        <v>37</v>
      </c>
    </row>
    <row r="292" spans="1:12">
      <c r="A292" t="s">
        <v>1548</v>
      </c>
      <c r="B292" s="15" t="s">
        <v>718</v>
      </c>
      <c r="C292" s="96"/>
      <c r="D292" s="104">
        <v>37500</v>
      </c>
      <c r="E292" s="253">
        <f t="shared" si="9"/>
        <v>-37500</v>
      </c>
      <c r="F292" s="249" t="s">
        <v>37</v>
      </c>
    </row>
    <row r="293" spans="1:12">
      <c r="A293" t="s">
        <v>1548</v>
      </c>
      <c r="B293" s="190" t="s">
        <v>1838</v>
      </c>
      <c r="C293" s="96"/>
      <c r="D293" s="104">
        <v>1600</v>
      </c>
      <c r="E293" s="253">
        <f t="shared" si="9"/>
        <v>-1600</v>
      </c>
      <c r="F293" s="249" t="s">
        <v>37</v>
      </c>
    </row>
    <row r="294" spans="1:12">
      <c r="A294" t="s">
        <v>161</v>
      </c>
      <c r="B294" s="190" t="s">
        <v>1483</v>
      </c>
      <c r="C294" s="96"/>
      <c r="D294" s="104"/>
      <c r="E294" s="251">
        <f t="shared" si="9"/>
        <v>0</v>
      </c>
      <c r="F294" s="249" t="s">
        <v>1653</v>
      </c>
    </row>
    <row r="295" spans="1:12">
      <c r="A295" t="s">
        <v>1546</v>
      </c>
      <c r="B295" s="13" t="s">
        <v>1062</v>
      </c>
      <c r="C295" s="96"/>
      <c r="D295" s="216">
        <v>78862</v>
      </c>
      <c r="E295" s="253">
        <f t="shared" si="9"/>
        <v>-78862</v>
      </c>
      <c r="F295" s="249" t="s">
        <v>37</v>
      </c>
    </row>
    <row r="296" spans="1:12">
      <c r="A296" t="s">
        <v>1546</v>
      </c>
      <c r="B296" s="13" t="s">
        <v>91</v>
      </c>
      <c r="C296" s="96"/>
      <c r="D296" s="216">
        <v>294347</v>
      </c>
      <c r="E296" s="253">
        <f t="shared" si="9"/>
        <v>-294347</v>
      </c>
      <c r="F296" s="249" t="s">
        <v>37</v>
      </c>
    </row>
    <row r="297" spans="1:12">
      <c r="A297" t="s">
        <v>1546</v>
      </c>
      <c r="B297" s="13" t="s">
        <v>1063</v>
      </c>
      <c r="C297" s="96"/>
      <c r="D297" s="216">
        <v>32203.14</v>
      </c>
      <c r="E297" s="253">
        <f t="shared" si="9"/>
        <v>-32203.14</v>
      </c>
      <c r="F297" s="249" t="s">
        <v>37</v>
      </c>
    </row>
    <row r="298" spans="1:12">
      <c r="B298" s="1" t="s">
        <v>39</v>
      </c>
      <c r="C298" s="105">
        <v>35757196.259999998</v>
      </c>
      <c r="D298" s="109"/>
      <c r="E298" s="104">
        <f>-D298</f>
        <v>0</v>
      </c>
    </row>
    <row r="299" spans="1:12">
      <c r="B299" s="13" t="s">
        <v>92</v>
      </c>
      <c r="C299" s="104">
        <v>868251</v>
      </c>
      <c r="D299" s="96"/>
      <c r="E299" s="104">
        <f>C299</f>
        <v>868251</v>
      </c>
    </row>
    <row r="300" spans="1:12">
      <c r="B300" s="13" t="s">
        <v>93</v>
      </c>
      <c r="C300" s="104">
        <v>250772.8</v>
      </c>
      <c r="D300" s="96"/>
      <c r="E300" s="104">
        <f>C300</f>
        <v>250772.8</v>
      </c>
    </row>
    <row r="301" spans="1:12">
      <c r="B301" s="13" t="s">
        <v>94</v>
      </c>
      <c r="C301" s="104">
        <v>147350.69</v>
      </c>
      <c r="D301" s="96"/>
      <c r="E301" s="104">
        <f>C301</f>
        <v>147350.69</v>
      </c>
    </row>
    <row r="302" spans="1:12">
      <c r="B302" s="13" t="s">
        <v>1267</v>
      </c>
      <c r="C302" s="104">
        <v>30471317.629999999</v>
      </c>
      <c r="D302" s="96"/>
      <c r="E302" s="104">
        <f>C302</f>
        <v>30471317.629999999</v>
      </c>
    </row>
    <row r="303" spans="1:12">
      <c r="B303" s="13" t="s">
        <v>1266</v>
      </c>
      <c r="C303" s="104">
        <v>4019504.14</v>
      </c>
      <c r="D303" s="96"/>
      <c r="E303" s="104">
        <f>C303</f>
        <v>4019504.14</v>
      </c>
      <c r="L303" s="100">
        <f>C304+C388+C464+C533+C558</f>
        <v>347079903.64999998</v>
      </c>
    </row>
    <row r="304" spans="1:12">
      <c r="B304" s="1" t="s">
        <v>96</v>
      </c>
      <c r="C304" s="105">
        <v>89734176.650000006</v>
      </c>
      <c r="D304" s="105">
        <v>7815338</v>
      </c>
      <c r="E304" s="104"/>
    </row>
    <row r="305" spans="1:6">
      <c r="B305" s="14" t="s">
        <v>97</v>
      </c>
      <c r="C305" s="110">
        <v>21025000</v>
      </c>
      <c r="D305" s="111"/>
      <c r="E305" s="104">
        <f>-D305</f>
        <v>0</v>
      </c>
    </row>
    <row r="306" spans="1:6">
      <c r="A306" t="s">
        <v>1560</v>
      </c>
      <c r="B306" s="15" t="s">
        <v>1264</v>
      </c>
      <c r="C306" s="112">
        <v>550000</v>
      </c>
      <c r="E306" s="216">
        <f>C306</f>
        <v>550000</v>
      </c>
      <c r="F306" s="249" t="s">
        <v>1569</v>
      </c>
    </row>
    <row r="307" spans="1:6">
      <c r="A307" t="s">
        <v>1568</v>
      </c>
      <c r="B307" s="13" t="s">
        <v>730</v>
      </c>
      <c r="C307" s="112">
        <v>20450000</v>
      </c>
      <c r="E307" s="216">
        <f>C307</f>
        <v>20450000</v>
      </c>
      <c r="F307" s="249" t="s">
        <v>1570</v>
      </c>
    </row>
    <row r="308" spans="1:6">
      <c r="B308" s="15" t="s">
        <v>141</v>
      </c>
      <c r="C308" s="112">
        <v>1368115</v>
      </c>
      <c r="D308" s="95"/>
      <c r="E308" s="104">
        <f>C308</f>
        <v>1368115</v>
      </c>
    </row>
    <row r="309" spans="1:6">
      <c r="B309" s="118" t="s">
        <v>98</v>
      </c>
      <c r="C309" s="105">
        <v>42978386.240000002</v>
      </c>
      <c r="D309" s="105">
        <v>7815338</v>
      </c>
      <c r="E309" s="104"/>
    </row>
    <row r="310" spans="1:6">
      <c r="A310" t="s">
        <v>1561</v>
      </c>
      <c r="B310" s="17" t="s">
        <v>732</v>
      </c>
      <c r="C310" s="112">
        <v>155431</v>
      </c>
      <c r="D310" s="95"/>
      <c r="E310" s="216">
        <f t="shared" ref="E310:E317" si="10">C310</f>
        <v>155431</v>
      </c>
      <c r="F310" s="249" t="s">
        <v>41</v>
      </c>
    </row>
    <row r="311" spans="1:6">
      <c r="A311" t="s">
        <v>1561</v>
      </c>
      <c r="B311" s="17" t="s">
        <v>733</v>
      </c>
      <c r="C311" s="112">
        <v>236250</v>
      </c>
      <c r="D311" s="95"/>
      <c r="E311" s="216">
        <f t="shared" si="10"/>
        <v>236250</v>
      </c>
      <c r="F311" s="249" t="s">
        <v>41</v>
      </c>
    </row>
    <row r="312" spans="1:6">
      <c r="A312" t="s">
        <v>1561</v>
      </c>
      <c r="B312" s="17" t="s">
        <v>734</v>
      </c>
      <c r="C312" s="112">
        <v>545590</v>
      </c>
      <c r="D312" s="95"/>
      <c r="E312" s="216">
        <f t="shared" si="10"/>
        <v>545590</v>
      </c>
      <c r="F312" s="249" t="s">
        <v>41</v>
      </c>
    </row>
    <row r="313" spans="1:6">
      <c r="A313" t="s">
        <v>1561</v>
      </c>
      <c r="B313" s="15" t="s">
        <v>1263</v>
      </c>
      <c r="C313" s="112">
        <v>1020296</v>
      </c>
      <c r="D313" s="95"/>
      <c r="E313" s="216">
        <f t="shared" si="10"/>
        <v>1020296</v>
      </c>
      <c r="F313" s="249" t="s">
        <v>41</v>
      </c>
    </row>
    <row r="314" spans="1:6">
      <c r="A314" t="s">
        <v>1561</v>
      </c>
      <c r="B314" s="15" t="s">
        <v>1720</v>
      </c>
      <c r="C314" s="112">
        <v>90000</v>
      </c>
      <c r="D314" s="95"/>
      <c r="E314" s="216">
        <f t="shared" si="10"/>
        <v>90000</v>
      </c>
      <c r="F314" s="249" t="s">
        <v>41</v>
      </c>
    </row>
    <row r="315" spans="1:6">
      <c r="A315" t="s">
        <v>1561</v>
      </c>
      <c r="B315" s="15" t="s">
        <v>736</v>
      </c>
      <c r="C315" s="112">
        <v>99600</v>
      </c>
      <c r="D315" s="95"/>
      <c r="E315" s="216">
        <f t="shared" si="10"/>
        <v>99600</v>
      </c>
      <c r="F315" s="249" t="s">
        <v>41</v>
      </c>
    </row>
    <row r="316" spans="1:6">
      <c r="A316" t="s">
        <v>1561</v>
      </c>
      <c r="B316" s="15" t="s">
        <v>737</v>
      </c>
      <c r="C316" s="112">
        <v>626800</v>
      </c>
      <c r="D316" s="95"/>
      <c r="E316" s="216">
        <f t="shared" si="10"/>
        <v>626800</v>
      </c>
      <c r="F316" s="249" t="s">
        <v>41</v>
      </c>
    </row>
    <row r="317" spans="1:6">
      <c r="A317" t="s">
        <v>1561</v>
      </c>
      <c r="B317" s="15" t="s">
        <v>1485</v>
      </c>
      <c r="C317" s="112">
        <v>271920</v>
      </c>
      <c r="D317" s="95"/>
      <c r="E317" s="216">
        <f t="shared" si="10"/>
        <v>271920</v>
      </c>
      <c r="F317" s="249" t="s">
        <v>41</v>
      </c>
    </row>
    <row r="318" spans="1:6">
      <c r="A318" t="s">
        <v>1554</v>
      </c>
      <c r="B318" s="17" t="s">
        <v>1335</v>
      </c>
      <c r="C318" s="95"/>
      <c r="D318" s="112">
        <v>2308800</v>
      </c>
      <c r="E318" s="253">
        <f>-D318</f>
        <v>-2308800</v>
      </c>
      <c r="F318" s="249" t="s">
        <v>1780</v>
      </c>
    </row>
    <row r="319" spans="1:6">
      <c r="A319" t="s">
        <v>1561</v>
      </c>
      <c r="B319" s="15" t="s">
        <v>1064</v>
      </c>
      <c r="C319" s="112">
        <v>219102</v>
      </c>
      <c r="D319" s="95"/>
      <c r="E319" s="216">
        <f t="shared" ref="E319:E332" si="11">C319</f>
        <v>219102</v>
      </c>
      <c r="F319" s="249" t="s">
        <v>41</v>
      </c>
    </row>
    <row r="320" spans="1:6">
      <c r="A320" t="s">
        <v>1561</v>
      </c>
      <c r="B320" s="15" t="s">
        <v>1721</v>
      </c>
      <c r="C320" s="112">
        <v>10755507.439999999</v>
      </c>
      <c r="D320" s="95"/>
      <c r="E320" s="216">
        <f t="shared" si="11"/>
        <v>10755507.439999999</v>
      </c>
      <c r="F320" s="249" t="s">
        <v>41</v>
      </c>
    </row>
    <row r="321" spans="1:10">
      <c r="A321" t="s">
        <v>1561</v>
      </c>
      <c r="B321" s="15" t="s">
        <v>742</v>
      </c>
      <c r="C321" s="112">
        <v>3674398.54</v>
      </c>
      <c r="D321" s="95"/>
      <c r="E321" s="216">
        <f t="shared" si="11"/>
        <v>3674398.54</v>
      </c>
      <c r="F321" s="249" t="s">
        <v>41</v>
      </c>
    </row>
    <row r="322" spans="1:10">
      <c r="A322" t="s">
        <v>1561</v>
      </c>
      <c r="B322" s="15" t="s">
        <v>1722</v>
      </c>
      <c r="C322" s="112">
        <v>916800</v>
      </c>
      <c r="D322" s="95"/>
      <c r="E322" s="216">
        <f t="shared" si="11"/>
        <v>916800</v>
      </c>
      <c r="F322" s="249" t="s">
        <v>41</v>
      </c>
    </row>
    <row r="323" spans="1:10">
      <c r="A323" t="s">
        <v>1561</v>
      </c>
      <c r="B323" s="15" t="s">
        <v>750</v>
      </c>
      <c r="C323" s="112">
        <v>1262140</v>
      </c>
      <c r="D323" s="95"/>
      <c r="E323" s="216">
        <f t="shared" si="11"/>
        <v>1262140</v>
      </c>
      <c r="F323" s="249" t="s">
        <v>41</v>
      </c>
    </row>
    <row r="324" spans="1:10">
      <c r="A324" t="s">
        <v>1561</v>
      </c>
      <c r="B324" s="15" t="s">
        <v>752</v>
      </c>
      <c r="C324" s="112">
        <v>400133</v>
      </c>
      <c r="D324" s="95"/>
      <c r="E324" s="216">
        <f t="shared" si="11"/>
        <v>400133</v>
      </c>
      <c r="F324" s="249" t="s">
        <v>41</v>
      </c>
    </row>
    <row r="325" spans="1:10">
      <c r="A325" t="s">
        <v>1561</v>
      </c>
      <c r="B325" s="17" t="s">
        <v>753</v>
      </c>
      <c r="C325" s="112">
        <v>607145.86</v>
      </c>
      <c r="D325" s="95"/>
      <c r="E325" s="216">
        <f t="shared" si="11"/>
        <v>607145.86</v>
      </c>
      <c r="F325" s="249" t="s">
        <v>41</v>
      </c>
    </row>
    <row r="326" spans="1:10">
      <c r="A326" t="s">
        <v>1561</v>
      </c>
      <c r="B326" s="15" t="s">
        <v>1067</v>
      </c>
      <c r="C326" s="112">
        <v>92441</v>
      </c>
      <c r="D326" s="95"/>
      <c r="E326" s="216">
        <f t="shared" si="11"/>
        <v>92441</v>
      </c>
      <c r="F326" s="249" t="s">
        <v>41</v>
      </c>
    </row>
    <row r="327" spans="1:10">
      <c r="A327" t="s">
        <v>1561</v>
      </c>
      <c r="B327" s="15" t="s">
        <v>1723</v>
      </c>
      <c r="C327" s="112">
        <v>3123948</v>
      </c>
      <c r="D327" s="95"/>
      <c r="E327" s="216">
        <f t="shared" si="11"/>
        <v>3123948</v>
      </c>
      <c r="F327" s="249" t="s">
        <v>41</v>
      </c>
    </row>
    <row r="328" spans="1:10">
      <c r="A328" t="s">
        <v>1561</v>
      </c>
      <c r="B328" s="15" t="s">
        <v>1724</v>
      </c>
      <c r="C328" s="112">
        <v>35108</v>
      </c>
      <c r="D328" s="95"/>
      <c r="E328" s="216">
        <f t="shared" si="11"/>
        <v>35108</v>
      </c>
      <c r="F328" s="249" t="s">
        <v>41</v>
      </c>
    </row>
    <row r="329" spans="1:10">
      <c r="A329" t="s">
        <v>1561</v>
      </c>
      <c r="B329" s="17" t="s">
        <v>1068</v>
      </c>
      <c r="C329" s="112">
        <v>52926</v>
      </c>
      <c r="D329" s="95"/>
      <c r="E329" s="216">
        <f t="shared" si="11"/>
        <v>52926</v>
      </c>
      <c r="F329" s="249" t="s">
        <v>41</v>
      </c>
    </row>
    <row r="330" spans="1:10">
      <c r="A330" t="s">
        <v>1561</v>
      </c>
      <c r="B330" s="15" t="s">
        <v>756</v>
      </c>
      <c r="C330" s="112">
        <v>98880</v>
      </c>
      <c r="D330" s="95"/>
      <c r="E330" s="216">
        <f t="shared" si="11"/>
        <v>98880</v>
      </c>
      <c r="F330" s="249" t="s">
        <v>41</v>
      </c>
    </row>
    <row r="331" spans="1:10">
      <c r="A331" t="s">
        <v>1561</v>
      </c>
      <c r="B331" s="15" t="s">
        <v>1259</v>
      </c>
      <c r="C331" s="112">
        <v>46383</v>
      </c>
      <c r="D331" s="95"/>
      <c r="E331" s="216">
        <f t="shared" si="11"/>
        <v>46383</v>
      </c>
      <c r="F331" s="249" t="s">
        <v>41</v>
      </c>
    </row>
    <row r="332" spans="1:10">
      <c r="A332" t="s">
        <v>1561</v>
      </c>
      <c r="B332" s="15" t="s">
        <v>1725</v>
      </c>
      <c r="C332" s="112">
        <v>174429.68</v>
      </c>
      <c r="D332" s="95"/>
      <c r="E332" s="216">
        <f t="shared" si="11"/>
        <v>174429.68</v>
      </c>
      <c r="F332" s="249" t="s">
        <v>41</v>
      </c>
    </row>
    <row r="333" spans="1:10">
      <c r="A333" t="s">
        <v>1554</v>
      </c>
      <c r="B333" s="17" t="s">
        <v>757</v>
      </c>
      <c r="C333" s="95"/>
      <c r="D333" s="112">
        <v>376638</v>
      </c>
      <c r="E333" s="253">
        <f>-D333</f>
        <v>-376638</v>
      </c>
      <c r="F333" s="249" t="s">
        <v>1780</v>
      </c>
    </row>
    <row r="334" spans="1:10">
      <c r="A334" t="s">
        <v>1561</v>
      </c>
      <c r="B334" s="15" t="s">
        <v>1488</v>
      </c>
      <c r="C334" s="112">
        <v>147395.28</v>
      </c>
      <c r="D334" s="95"/>
      <c r="E334" s="216">
        <f>C334</f>
        <v>147395.28</v>
      </c>
      <c r="F334" s="249" t="s">
        <v>41</v>
      </c>
    </row>
    <row r="335" spans="1:10">
      <c r="A335" t="s">
        <v>1561</v>
      </c>
      <c r="B335" s="15" t="s">
        <v>1256</v>
      </c>
      <c r="C335" s="112">
        <v>441134.06</v>
      </c>
      <c r="D335" s="95">
        <v>598527</v>
      </c>
      <c r="E335" s="216">
        <f>C335</f>
        <v>441134.06</v>
      </c>
      <c r="F335" s="249" t="s">
        <v>41</v>
      </c>
      <c r="I335" t="s">
        <v>1857</v>
      </c>
      <c r="J335">
        <v>83725</v>
      </c>
    </row>
    <row r="336" spans="1:10">
      <c r="A336" t="s">
        <v>1561</v>
      </c>
      <c r="B336" s="17" t="s">
        <v>1490</v>
      </c>
      <c r="C336" s="112">
        <v>403848</v>
      </c>
      <c r="D336" s="95"/>
      <c r="E336" s="216">
        <f>C336</f>
        <v>403848</v>
      </c>
      <c r="F336" s="249" t="s">
        <v>41</v>
      </c>
    </row>
    <row r="337" spans="1:6">
      <c r="A337" t="s">
        <v>1561</v>
      </c>
      <c r="B337" s="15" t="s">
        <v>771</v>
      </c>
      <c r="C337" s="112">
        <v>615250</v>
      </c>
      <c r="D337" s="95"/>
      <c r="E337" s="216">
        <f>C337</f>
        <v>615250</v>
      </c>
      <c r="F337" s="249" t="s">
        <v>41</v>
      </c>
    </row>
    <row r="338" spans="1:6">
      <c r="A338" t="s">
        <v>1561</v>
      </c>
      <c r="B338" s="15" t="s">
        <v>772</v>
      </c>
      <c r="C338" s="112">
        <v>2316502</v>
      </c>
      <c r="D338" s="95"/>
      <c r="E338" s="216">
        <f>C338</f>
        <v>2316502</v>
      </c>
      <c r="F338" s="249" t="s">
        <v>41</v>
      </c>
    </row>
    <row r="339" spans="1:6">
      <c r="A339" t="s">
        <v>1554</v>
      </c>
      <c r="B339" s="15" t="s">
        <v>1726</v>
      </c>
      <c r="C339" s="95"/>
      <c r="D339" s="112">
        <v>289900</v>
      </c>
      <c r="E339" s="253">
        <f>-D339</f>
        <v>-289900</v>
      </c>
      <c r="F339" s="249" t="s">
        <v>1780</v>
      </c>
    </row>
    <row r="340" spans="1:6">
      <c r="A340" t="s">
        <v>1561</v>
      </c>
      <c r="B340" s="15" t="s">
        <v>1491</v>
      </c>
      <c r="C340" s="112">
        <v>373195.7</v>
      </c>
      <c r="D340" s="95"/>
      <c r="E340" s="216">
        <f t="shared" ref="E340:E358" si="12">C340</f>
        <v>373195.7</v>
      </c>
      <c r="F340" s="249" t="s">
        <v>41</v>
      </c>
    </row>
    <row r="341" spans="1:6">
      <c r="A341" t="s">
        <v>1561</v>
      </c>
      <c r="B341" s="15" t="s">
        <v>1492</v>
      </c>
      <c r="C341" s="112">
        <v>918354.6</v>
      </c>
      <c r="D341" s="95"/>
      <c r="E341" s="216">
        <f t="shared" si="12"/>
        <v>918354.6</v>
      </c>
      <c r="F341" s="249" t="s">
        <v>41</v>
      </c>
    </row>
    <row r="342" spans="1:6">
      <c r="A342" t="s">
        <v>1561</v>
      </c>
      <c r="B342" s="17" t="s">
        <v>1493</v>
      </c>
      <c r="C342" s="112">
        <v>220035.17</v>
      </c>
      <c r="D342" s="95"/>
      <c r="E342" s="216">
        <f t="shared" si="12"/>
        <v>220035.17</v>
      </c>
      <c r="F342" s="249" t="s">
        <v>41</v>
      </c>
    </row>
    <row r="343" spans="1:6">
      <c r="A343" t="s">
        <v>1561</v>
      </c>
      <c r="B343" s="17" t="s">
        <v>1073</v>
      </c>
      <c r="C343" s="112">
        <v>433778.28</v>
      </c>
      <c r="D343" s="95"/>
      <c r="E343" s="216">
        <f t="shared" si="12"/>
        <v>433778.28</v>
      </c>
      <c r="F343" s="249" t="s">
        <v>41</v>
      </c>
    </row>
    <row r="344" spans="1:6">
      <c r="A344" t="s">
        <v>1561</v>
      </c>
      <c r="B344" s="17" t="s">
        <v>776</v>
      </c>
      <c r="C344" s="112">
        <v>204110</v>
      </c>
      <c r="D344" s="95"/>
      <c r="E344" s="216">
        <f t="shared" si="12"/>
        <v>204110</v>
      </c>
      <c r="F344" s="249" t="s">
        <v>41</v>
      </c>
    </row>
    <row r="345" spans="1:6">
      <c r="A345" t="s">
        <v>1561</v>
      </c>
      <c r="B345" s="15" t="s">
        <v>1727</v>
      </c>
      <c r="C345" s="112">
        <v>1498958</v>
      </c>
      <c r="D345" s="95"/>
      <c r="E345" s="216">
        <f t="shared" si="12"/>
        <v>1498958</v>
      </c>
      <c r="F345" s="249" t="s">
        <v>41</v>
      </c>
    </row>
    <row r="346" spans="1:6">
      <c r="A346" t="s">
        <v>1561</v>
      </c>
      <c r="B346" s="15" t="s">
        <v>1495</v>
      </c>
      <c r="C346" s="112">
        <v>131122.74</v>
      </c>
      <c r="D346" s="95"/>
      <c r="E346" s="216">
        <f t="shared" si="12"/>
        <v>131122.74</v>
      </c>
      <c r="F346" s="249" t="s">
        <v>41</v>
      </c>
    </row>
    <row r="347" spans="1:6">
      <c r="A347" t="s">
        <v>1561</v>
      </c>
      <c r="B347" s="15" t="s">
        <v>1728</v>
      </c>
      <c r="C347" s="112">
        <v>1284410.08</v>
      </c>
      <c r="D347" s="95"/>
      <c r="E347" s="216">
        <f t="shared" si="12"/>
        <v>1284410.08</v>
      </c>
      <c r="F347" s="249" t="s">
        <v>41</v>
      </c>
    </row>
    <row r="348" spans="1:6">
      <c r="A348" t="s">
        <v>1561</v>
      </c>
      <c r="B348" s="15" t="s">
        <v>1729</v>
      </c>
      <c r="C348" s="112">
        <v>45000</v>
      </c>
      <c r="D348" s="95"/>
      <c r="E348" s="216">
        <f t="shared" si="12"/>
        <v>45000</v>
      </c>
      <c r="F348" s="249" t="s">
        <v>41</v>
      </c>
    </row>
    <row r="349" spans="1:6">
      <c r="A349" t="s">
        <v>1561</v>
      </c>
      <c r="B349" s="15" t="s">
        <v>1730</v>
      </c>
      <c r="C349" s="112">
        <v>508361.36</v>
      </c>
      <c r="D349" s="95"/>
      <c r="E349" s="216">
        <f t="shared" si="12"/>
        <v>508361.36</v>
      </c>
      <c r="F349" s="249" t="s">
        <v>41</v>
      </c>
    </row>
    <row r="350" spans="1:6">
      <c r="A350" t="s">
        <v>1561</v>
      </c>
      <c r="B350" s="17" t="s">
        <v>778</v>
      </c>
      <c r="C350" s="112">
        <v>718081</v>
      </c>
      <c r="D350" s="95"/>
      <c r="E350" s="216">
        <f t="shared" si="12"/>
        <v>718081</v>
      </c>
      <c r="F350" s="249" t="s">
        <v>41</v>
      </c>
    </row>
    <row r="351" spans="1:6">
      <c r="A351" t="s">
        <v>1561</v>
      </c>
      <c r="B351" s="15" t="s">
        <v>1255</v>
      </c>
      <c r="C351" s="112">
        <v>127610</v>
      </c>
      <c r="D351" s="95"/>
      <c r="E351" s="216">
        <f t="shared" si="12"/>
        <v>127610</v>
      </c>
      <c r="F351" s="249" t="s">
        <v>41</v>
      </c>
    </row>
    <row r="352" spans="1:6">
      <c r="A352" t="s">
        <v>1561</v>
      </c>
      <c r="B352" s="15" t="s">
        <v>1731</v>
      </c>
      <c r="C352" s="112">
        <v>72244</v>
      </c>
      <c r="D352" s="95"/>
      <c r="E352" s="216">
        <f t="shared" si="12"/>
        <v>72244</v>
      </c>
      <c r="F352" s="249" t="s">
        <v>41</v>
      </c>
    </row>
    <row r="353" spans="1:6">
      <c r="A353" t="s">
        <v>1561</v>
      </c>
      <c r="B353" s="15" t="s">
        <v>1496</v>
      </c>
      <c r="C353" s="112">
        <v>82700</v>
      </c>
      <c r="D353" s="95"/>
      <c r="E353" s="216">
        <f t="shared" si="12"/>
        <v>82700</v>
      </c>
      <c r="F353" s="249" t="s">
        <v>41</v>
      </c>
    </row>
    <row r="354" spans="1:6">
      <c r="A354" t="s">
        <v>1561</v>
      </c>
      <c r="B354" s="15" t="s">
        <v>1497</v>
      </c>
      <c r="C354" s="112">
        <v>1188323</v>
      </c>
      <c r="D354" s="95"/>
      <c r="E354" s="216">
        <f t="shared" si="12"/>
        <v>1188323</v>
      </c>
      <c r="F354" s="249" t="s">
        <v>41</v>
      </c>
    </row>
    <row r="355" spans="1:6">
      <c r="A355" t="s">
        <v>1561</v>
      </c>
      <c r="B355" s="15" t="s">
        <v>782</v>
      </c>
      <c r="C355" s="112">
        <v>1070809</v>
      </c>
      <c r="D355" s="95"/>
      <c r="E355" s="216">
        <f t="shared" si="12"/>
        <v>1070809</v>
      </c>
      <c r="F355" s="249" t="s">
        <v>41</v>
      </c>
    </row>
    <row r="356" spans="1:6">
      <c r="A356" t="s">
        <v>1561</v>
      </c>
      <c r="B356" s="15" t="s">
        <v>783</v>
      </c>
      <c r="C356" s="112">
        <v>662058</v>
      </c>
      <c r="D356" s="95"/>
      <c r="E356" s="216">
        <f t="shared" si="12"/>
        <v>662058</v>
      </c>
      <c r="F356" s="249" t="s">
        <v>41</v>
      </c>
    </row>
    <row r="357" spans="1:6">
      <c r="A357" t="s">
        <v>1561</v>
      </c>
      <c r="B357" s="15" t="s">
        <v>1254</v>
      </c>
      <c r="C357" s="112">
        <v>1183593</v>
      </c>
      <c r="D357" s="95"/>
      <c r="E357" s="216">
        <f t="shared" si="12"/>
        <v>1183593</v>
      </c>
      <c r="F357" s="249" t="s">
        <v>41</v>
      </c>
    </row>
    <row r="358" spans="1:6">
      <c r="A358" t="s">
        <v>1561</v>
      </c>
      <c r="B358" s="15" t="s">
        <v>1252</v>
      </c>
      <c r="C358" s="112">
        <v>1681611.44</v>
      </c>
      <c r="D358" s="95"/>
      <c r="E358" s="216">
        <f t="shared" si="12"/>
        <v>1681611.44</v>
      </c>
      <c r="F358" s="249" t="s">
        <v>41</v>
      </c>
    </row>
    <row r="359" spans="1:6">
      <c r="A359" t="s">
        <v>1554</v>
      </c>
      <c r="B359" s="15" t="s">
        <v>1499</v>
      </c>
      <c r="C359" s="95"/>
      <c r="D359" s="112">
        <v>400000</v>
      </c>
      <c r="E359" s="253">
        <f>-D359</f>
        <v>-400000</v>
      </c>
      <c r="F359" s="249" t="s">
        <v>1780</v>
      </c>
    </row>
    <row r="360" spans="1:6">
      <c r="A360" t="s">
        <v>1561</v>
      </c>
      <c r="B360" s="15" t="s">
        <v>1500</v>
      </c>
      <c r="C360" s="112">
        <v>108974.25</v>
      </c>
      <c r="D360" s="95"/>
      <c r="E360" s="216">
        <f>C360</f>
        <v>108974.25</v>
      </c>
      <c r="F360" s="249" t="s">
        <v>41</v>
      </c>
    </row>
    <row r="361" spans="1:6">
      <c r="A361" t="s">
        <v>1561</v>
      </c>
      <c r="B361" s="15" t="s">
        <v>794</v>
      </c>
      <c r="C361" s="112">
        <v>474051.8</v>
      </c>
      <c r="D361" s="95"/>
      <c r="E361" s="216">
        <f>C361</f>
        <v>474051.8</v>
      </c>
      <c r="F361" s="249" t="s">
        <v>41</v>
      </c>
    </row>
    <row r="362" spans="1:6">
      <c r="A362" t="s">
        <v>1554</v>
      </c>
      <c r="B362" s="15" t="s">
        <v>1732</v>
      </c>
      <c r="C362" s="95"/>
      <c r="D362" s="112">
        <v>4440000</v>
      </c>
      <c r="E362" s="253">
        <f>-D362</f>
        <v>-4440000</v>
      </c>
      <c r="F362" s="249" t="s">
        <v>1780</v>
      </c>
    </row>
    <row r="363" spans="1:6">
      <c r="A363" t="s">
        <v>1561</v>
      </c>
      <c r="B363" s="15" t="s">
        <v>1248</v>
      </c>
      <c r="C363" s="112">
        <v>517480</v>
      </c>
      <c r="D363" s="95"/>
      <c r="E363" s="216">
        <f>C363</f>
        <v>517480</v>
      </c>
      <c r="F363" s="249" t="s">
        <v>41</v>
      </c>
    </row>
    <row r="364" spans="1:6">
      <c r="A364" t="s">
        <v>1561</v>
      </c>
      <c r="B364" s="15" t="s">
        <v>1501</v>
      </c>
      <c r="C364" s="112">
        <v>1044165.96</v>
      </c>
      <c r="D364" s="95"/>
      <c r="E364" s="216">
        <f>C364</f>
        <v>1044165.96</v>
      </c>
      <c r="F364" s="249" t="s">
        <v>41</v>
      </c>
    </row>
    <row r="365" spans="1:6">
      <c r="B365" s="14" t="s">
        <v>1247</v>
      </c>
      <c r="C365" s="106">
        <v>35778</v>
      </c>
      <c r="D365" s="114"/>
      <c r="E365" s="104"/>
    </row>
    <row r="366" spans="1:6">
      <c r="A366" t="s">
        <v>1562</v>
      </c>
      <c r="B366" s="17" t="s">
        <v>260</v>
      </c>
      <c r="C366" s="112">
        <v>35778</v>
      </c>
      <c r="D366" s="95"/>
      <c r="E366" s="216">
        <f>C366</f>
        <v>35778</v>
      </c>
      <c r="F366" s="249" t="s">
        <v>1565</v>
      </c>
    </row>
    <row r="367" spans="1:6">
      <c r="B367" s="14" t="s">
        <v>70</v>
      </c>
      <c r="C367" s="106">
        <v>11064386.41</v>
      </c>
      <c r="D367" s="114"/>
      <c r="E367" s="104">
        <f>-D367</f>
        <v>0</v>
      </c>
    </row>
    <row r="368" spans="1:6">
      <c r="B368" s="18" t="s">
        <v>804</v>
      </c>
      <c r="C368" s="107">
        <v>10890208.800000001</v>
      </c>
      <c r="D368" s="113"/>
      <c r="E368" s="104">
        <f>-D368</f>
        <v>0</v>
      </c>
    </row>
    <row r="369" spans="1:6">
      <c r="A369" t="s">
        <v>1566</v>
      </c>
      <c r="B369" s="190" t="s">
        <v>805</v>
      </c>
      <c r="C369" s="104">
        <v>14584.08</v>
      </c>
      <c r="D369" s="96"/>
      <c r="E369" s="216">
        <f t="shared" ref="E369:E379" si="13">C369</f>
        <v>14584.08</v>
      </c>
      <c r="F369" s="249" t="s">
        <v>1567</v>
      </c>
    </row>
    <row r="370" spans="1:6">
      <c r="A370" t="s">
        <v>1566</v>
      </c>
      <c r="B370" s="190" t="s">
        <v>806</v>
      </c>
      <c r="C370" s="104">
        <v>12797.11</v>
      </c>
      <c r="D370" s="96"/>
      <c r="E370" s="216">
        <f t="shared" si="13"/>
        <v>12797.11</v>
      </c>
      <c r="F370" s="249" t="s">
        <v>1567</v>
      </c>
    </row>
    <row r="371" spans="1:6">
      <c r="A371" t="s">
        <v>1566</v>
      </c>
      <c r="B371" s="15" t="s">
        <v>807</v>
      </c>
      <c r="C371" s="104">
        <v>67063.47</v>
      </c>
      <c r="D371" s="96"/>
      <c r="E371" s="216">
        <f t="shared" si="13"/>
        <v>67063.47</v>
      </c>
      <c r="F371" s="249" t="s">
        <v>1567</v>
      </c>
    </row>
    <row r="372" spans="1:6">
      <c r="A372" t="s">
        <v>1566</v>
      </c>
      <c r="B372" s="190" t="s">
        <v>808</v>
      </c>
      <c r="C372" s="104">
        <v>14182.35</v>
      </c>
      <c r="D372" s="96"/>
      <c r="E372" s="216">
        <f t="shared" si="13"/>
        <v>14182.35</v>
      </c>
      <c r="F372" s="249" t="s">
        <v>1567</v>
      </c>
    </row>
    <row r="373" spans="1:6">
      <c r="A373" t="s">
        <v>1566</v>
      </c>
      <c r="B373" s="15" t="s">
        <v>809</v>
      </c>
      <c r="C373" s="104">
        <v>19853.5</v>
      </c>
      <c r="D373" s="96"/>
      <c r="E373" s="216">
        <f t="shared" si="13"/>
        <v>19853.5</v>
      </c>
      <c r="F373" s="249" t="s">
        <v>1567</v>
      </c>
    </row>
    <row r="374" spans="1:6">
      <c r="A374" t="s">
        <v>1566</v>
      </c>
      <c r="B374" s="15" t="s">
        <v>810</v>
      </c>
      <c r="C374" s="104">
        <v>11654.5</v>
      </c>
      <c r="D374" s="96"/>
      <c r="E374" s="216">
        <f t="shared" si="13"/>
        <v>11654.5</v>
      </c>
      <c r="F374" s="249" t="s">
        <v>1567</v>
      </c>
    </row>
    <row r="375" spans="1:6">
      <c r="A375" t="s">
        <v>1566</v>
      </c>
      <c r="B375" s="15" t="s">
        <v>261</v>
      </c>
      <c r="C375" s="104">
        <v>4719220.25</v>
      </c>
      <c r="D375" s="96"/>
      <c r="E375" s="216">
        <f t="shared" si="13"/>
        <v>4719220.25</v>
      </c>
      <c r="F375" s="249" t="s">
        <v>1567</v>
      </c>
    </row>
    <row r="376" spans="1:6">
      <c r="A376" t="s">
        <v>1566</v>
      </c>
      <c r="B376" s="190" t="s">
        <v>811</v>
      </c>
      <c r="C376" s="104">
        <v>5411304.1699999999</v>
      </c>
      <c r="D376" s="96"/>
      <c r="E376" s="216">
        <f t="shared" si="13"/>
        <v>5411304.1699999999</v>
      </c>
      <c r="F376" s="249" t="s">
        <v>1567</v>
      </c>
    </row>
    <row r="377" spans="1:6">
      <c r="A377" t="s">
        <v>1566</v>
      </c>
      <c r="B377" s="190" t="s">
        <v>812</v>
      </c>
      <c r="C377" s="104">
        <v>584133.5</v>
      </c>
      <c r="D377" s="96"/>
      <c r="E377" s="216">
        <f t="shared" si="13"/>
        <v>584133.5</v>
      </c>
      <c r="F377" s="249" t="s">
        <v>1567</v>
      </c>
    </row>
    <row r="378" spans="1:6">
      <c r="A378" t="s">
        <v>1566</v>
      </c>
      <c r="B378" s="190" t="s">
        <v>813</v>
      </c>
      <c r="C378" s="104">
        <v>21297.87</v>
      </c>
      <c r="D378" s="96"/>
      <c r="E378" s="216">
        <f t="shared" si="13"/>
        <v>21297.87</v>
      </c>
      <c r="F378" s="249" t="s">
        <v>1567</v>
      </c>
    </row>
    <row r="379" spans="1:6">
      <c r="A379" t="s">
        <v>1566</v>
      </c>
      <c r="B379" s="190" t="s">
        <v>814</v>
      </c>
      <c r="C379" s="104">
        <v>14118</v>
      </c>
      <c r="D379" s="96"/>
      <c r="E379" s="216">
        <f t="shared" si="13"/>
        <v>14118</v>
      </c>
      <c r="F379" s="249" t="s">
        <v>1567</v>
      </c>
    </row>
    <row r="380" spans="1:6">
      <c r="B380" s="18" t="s">
        <v>815</v>
      </c>
      <c r="C380" s="93">
        <v>174177.61</v>
      </c>
      <c r="D380" s="108"/>
      <c r="E380" s="104">
        <f>-D380</f>
        <v>0</v>
      </c>
    </row>
    <row r="381" spans="1:6">
      <c r="A381" t="s">
        <v>1566</v>
      </c>
      <c r="B381" s="15" t="s">
        <v>816</v>
      </c>
      <c r="C381" s="104">
        <v>11681.17</v>
      </c>
      <c r="D381" s="96"/>
      <c r="E381" s="216">
        <f t="shared" ref="E381:E387" si="14">C381</f>
        <v>11681.17</v>
      </c>
      <c r="F381" s="249" t="s">
        <v>1567</v>
      </c>
    </row>
    <row r="382" spans="1:6">
      <c r="A382" t="s">
        <v>1566</v>
      </c>
      <c r="B382" s="190" t="s">
        <v>817</v>
      </c>
      <c r="C382" s="104">
        <v>26862.32</v>
      </c>
      <c r="D382" s="96"/>
      <c r="E382" s="216">
        <f t="shared" si="14"/>
        <v>26862.32</v>
      </c>
      <c r="F382" s="249" t="s">
        <v>1567</v>
      </c>
    </row>
    <row r="383" spans="1:6">
      <c r="A383" t="s">
        <v>1566</v>
      </c>
      <c r="B383" s="190" t="s">
        <v>818</v>
      </c>
      <c r="C383" s="104">
        <v>78977.98</v>
      </c>
      <c r="D383" s="96"/>
      <c r="E383" s="216">
        <f t="shared" si="14"/>
        <v>78977.98</v>
      </c>
      <c r="F383" s="249" t="s">
        <v>1567</v>
      </c>
    </row>
    <row r="384" spans="1:6">
      <c r="A384" t="s">
        <v>1566</v>
      </c>
      <c r="B384" s="190" t="s">
        <v>819</v>
      </c>
      <c r="C384" s="104">
        <v>19675.75</v>
      </c>
      <c r="D384" s="96"/>
      <c r="E384" s="216">
        <f t="shared" si="14"/>
        <v>19675.75</v>
      </c>
      <c r="F384" s="249" t="s">
        <v>1567</v>
      </c>
    </row>
    <row r="385" spans="1:6">
      <c r="A385" t="s">
        <v>1566</v>
      </c>
      <c r="B385" s="15" t="s">
        <v>820</v>
      </c>
      <c r="C385" s="104">
        <v>11037.14</v>
      </c>
      <c r="D385" s="96"/>
      <c r="E385" s="216">
        <f t="shared" si="14"/>
        <v>11037.14</v>
      </c>
      <c r="F385" s="249" t="s">
        <v>1567</v>
      </c>
    </row>
    <row r="386" spans="1:6">
      <c r="A386" t="s">
        <v>1566</v>
      </c>
      <c r="B386" s="190" t="s">
        <v>821</v>
      </c>
      <c r="C386" s="104">
        <v>25943.25</v>
      </c>
      <c r="D386" s="96"/>
      <c r="E386" s="216">
        <f t="shared" si="14"/>
        <v>25943.25</v>
      </c>
      <c r="F386" s="249" t="s">
        <v>1567</v>
      </c>
    </row>
    <row r="387" spans="1:6">
      <c r="A387" t="s">
        <v>1581</v>
      </c>
      <c r="B387" s="13" t="s">
        <v>99</v>
      </c>
      <c r="C387" s="104">
        <v>14630626</v>
      </c>
      <c r="D387" s="96"/>
      <c r="E387" s="216">
        <f t="shared" si="14"/>
        <v>14630626</v>
      </c>
      <c r="F387" s="249" t="s">
        <v>1582</v>
      </c>
    </row>
    <row r="388" spans="1:6">
      <c r="B388" s="1" t="s">
        <v>100</v>
      </c>
      <c r="C388" s="105">
        <v>207249789.5</v>
      </c>
      <c r="D388" s="105">
        <v>202980289.44999999</v>
      </c>
      <c r="E388" s="104"/>
    </row>
    <row r="389" spans="1:6">
      <c r="A389" t="s">
        <v>1563</v>
      </c>
      <c r="B389" s="13" t="s">
        <v>822</v>
      </c>
      <c r="C389" s="96"/>
      <c r="D389" s="104">
        <v>201</v>
      </c>
      <c r="E389" s="253">
        <f>-D389</f>
        <v>-201</v>
      </c>
      <c r="F389" s="249" t="s">
        <v>1564</v>
      </c>
    </row>
    <row r="390" spans="1:6">
      <c r="A390" t="s">
        <v>1563</v>
      </c>
      <c r="B390" s="13" t="s">
        <v>1246</v>
      </c>
      <c r="C390" s="96"/>
      <c r="D390" s="104">
        <v>34050</v>
      </c>
      <c r="E390" s="253">
        <f>-D390</f>
        <v>-34050</v>
      </c>
      <c r="F390" s="249" t="s">
        <v>1564</v>
      </c>
    </row>
    <row r="391" spans="1:6">
      <c r="A391" t="s">
        <v>1563</v>
      </c>
      <c r="B391" s="13" t="s">
        <v>1245</v>
      </c>
      <c r="C391" s="96"/>
      <c r="D391" s="104">
        <v>1544</v>
      </c>
      <c r="E391" s="253">
        <f>-D391</f>
        <v>-1544</v>
      </c>
      <c r="F391" s="249" t="s">
        <v>1564</v>
      </c>
    </row>
    <row r="392" spans="1:6">
      <c r="A392" t="s">
        <v>1563</v>
      </c>
      <c r="B392" s="13" t="s">
        <v>823</v>
      </c>
      <c r="C392" s="96"/>
      <c r="D392" s="104">
        <v>2</v>
      </c>
      <c r="E392" s="253">
        <f>-D392</f>
        <v>-2</v>
      </c>
      <c r="F392" s="249" t="s">
        <v>1564</v>
      </c>
    </row>
    <row r="393" spans="1:6">
      <c r="A393" t="s">
        <v>1563</v>
      </c>
      <c r="B393" s="13" t="s">
        <v>1503</v>
      </c>
      <c r="C393" s="104">
        <v>13064</v>
      </c>
      <c r="D393" s="96"/>
      <c r="E393" s="216">
        <f>C393</f>
        <v>13064</v>
      </c>
      <c r="F393" s="249" t="s">
        <v>1564</v>
      </c>
    </row>
    <row r="394" spans="1:6">
      <c r="A394" t="s">
        <v>1563</v>
      </c>
      <c r="B394" s="13" t="s">
        <v>824</v>
      </c>
      <c r="C394" s="96"/>
      <c r="D394" s="104">
        <v>800</v>
      </c>
      <c r="E394" s="253">
        <f>-D394</f>
        <v>-800</v>
      </c>
      <c r="F394" s="249" t="s">
        <v>1564</v>
      </c>
    </row>
    <row r="395" spans="1:6">
      <c r="A395" t="s">
        <v>1563</v>
      </c>
      <c r="B395" s="13" t="s">
        <v>1839</v>
      </c>
      <c r="C395" s="104">
        <v>41401</v>
      </c>
      <c r="D395" s="96"/>
      <c r="E395" s="216">
        <f>C395</f>
        <v>41401</v>
      </c>
      <c r="F395" s="249" t="s">
        <v>1564</v>
      </c>
    </row>
    <row r="396" spans="1:6">
      <c r="A396" t="s">
        <v>1563</v>
      </c>
      <c r="B396" s="13" t="s">
        <v>825</v>
      </c>
      <c r="C396" s="104">
        <v>2727</v>
      </c>
      <c r="D396" s="96"/>
      <c r="E396" s="216">
        <f>C396</f>
        <v>2727</v>
      </c>
      <c r="F396" s="249" t="s">
        <v>1564</v>
      </c>
    </row>
    <row r="397" spans="1:6">
      <c r="A397" t="s">
        <v>1563</v>
      </c>
      <c r="B397" s="13" t="s">
        <v>826</v>
      </c>
      <c r="C397" s="104">
        <v>115961.4</v>
      </c>
      <c r="D397" s="96"/>
      <c r="E397" s="216">
        <f>C397</f>
        <v>115961.4</v>
      </c>
      <c r="F397" s="249" t="s">
        <v>1564</v>
      </c>
    </row>
    <row r="398" spans="1:6">
      <c r="A398" t="s">
        <v>1563</v>
      </c>
      <c r="B398" s="13" t="s">
        <v>1733</v>
      </c>
      <c r="C398" s="104">
        <v>383462</v>
      </c>
      <c r="D398" s="96"/>
      <c r="E398" s="216">
        <f>C398</f>
        <v>383462</v>
      </c>
      <c r="F398" s="249" t="s">
        <v>1564</v>
      </c>
    </row>
    <row r="399" spans="1:6">
      <c r="A399" t="s">
        <v>1563</v>
      </c>
      <c r="B399" s="13" t="s">
        <v>1734</v>
      </c>
      <c r="C399" s="104">
        <v>125335</v>
      </c>
      <c r="D399" s="96"/>
      <c r="E399" s="216">
        <f>C399</f>
        <v>125335</v>
      </c>
      <c r="F399" s="249" t="s">
        <v>1564</v>
      </c>
    </row>
    <row r="400" spans="1:6">
      <c r="A400" t="s">
        <v>1563</v>
      </c>
      <c r="B400" s="13" t="s">
        <v>830</v>
      </c>
      <c r="C400" s="96"/>
      <c r="D400" s="104">
        <v>500</v>
      </c>
      <c r="E400" s="253">
        <f>-D400</f>
        <v>-500</v>
      </c>
      <c r="F400" s="249" t="s">
        <v>1564</v>
      </c>
    </row>
    <row r="401" spans="1:6">
      <c r="A401" t="s">
        <v>1563</v>
      </c>
      <c r="B401" s="13" t="s">
        <v>1505</v>
      </c>
      <c r="C401" s="104">
        <v>5875</v>
      </c>
      <c r="D401" s="96"/>
      <c r="E401" s="216">
        <f>C401</f>
        <v>5875</v>
      </c>
      <c r="F401" s="249" t="s">
        <v>1564</v>
      </c>
    </row>
    <row r="402" spans="1:6">
      <c r="A402" t="s">
        <v>1563</v>
      </c>
      <c r="B402" s="13" t="s">
        <v>833</v>
      </c>
      <c r="C402" s="104">
        <v>6924</v>
      </c>
      <c r="D402" s="96"/>
      <c r="E402" s="216">
        <f>C402</f>
        <v>6924</v>
      </c>
      <c r="F402" s="249" t="s">
        <v>1564</v>
      </c>
    </row>
    <row r="403" spans="1:6">
      <c r="A403" t="s">
        <v>1563</v>
      </c>
      <c r="B403" s="13" t="s">
        <v>1506</v>
      </c>
      <c r="C403" s="96"/>
      <c r="D403" s="104">
        <v>41010</v>
      </c>
      <c r="E403" s="253">
        <f>-D403</f>
        <v>-41010</v>
      </c>
      <c r="F403" s="249" t="s">
        <v>1564</v>
      </c>
    </row>
    <row r="404" spans="1:6">
      <c r="A404" t="s">
        <v>1563</v>
      </c>
      <c r="B404" s="13" t="s">
        <v>835</v>
      </c>
      <c r="C404" s="96"/>
      <c r="D404" s="104">
        <v>2000</v>
      </c>
      <c r="E404" s="253">
        <f>-D404</f>
        <v>-2000</v>
      </c>
      <c r="F404" s="249" t="s">
        <v>1564</v>
      </c>
    </row>
    <row r="405" spans="1:6">
      <c r="A405" t="s">
        <v>1563</v>
      </c>
      <c r="B405" s="13" t="s">
        <v>1735</v>
      </c>
      <c r="C405" s="104">
        <v>4000</v>
      </c>
      <c r="D405" s="96"/>
      <c r="E405" s="216">
        <f t="shared" ref="E405:E411" si="15">C405</f>
        <v>4000</v>
      </c>
      <c r="F405" s="249" t="s">
        <v>1564</v>
      </c>
    </row>
    <row r="406" spans="1:6">
      <c r="A406" t="s">
        <v>1563</v>
      </c>
      <c r="B406" s="13" t="s">
        <v>1736</v>
      </c>
      <c r="C406" s="104">
        <v>140394</v>
      </c>
      <c r="D406" s="96"/>
      <c r="E406" s="216">
        <f t="shared" si="15"/>
        <v>140394</v>
      </c>
      <c r="F406" s="249" t="s">
        <v>1564</v>
      </c>
    </row>
    <row r="407" spans="1:6">
      <c r="A407" t="s">
        <v>1563</v>
      </c>
      <c r="B407" s="13" t="s">
        <v>1737</v>
      </c>
      <c r="C407" s="104">
        <v>371059</v>
      </c>
      <c r="D407" s="96"/>
      <c r="E407" s="216">
        <f t="shared" si="15"/>
        <v>371059</v>
      </c>
      <c r="F407" s="249" t="s">
        <v>1564</v>
      </c>
    </row>
    <row r="408" spans="1:6">
      <c r="A408" t="s">
        <v>1563</v>
      </c>
      <c r="B408" s="13" t="s">
        <v>1511</v>
      </c>
      <c r="C408" s="104">
        <v>3184</v>
      </c>
      <c r="D408" s="96"/>
      <c r="E408" s="216">
        <f t="shared" si="15"/>
        <v>3184</v>
      </c>
      <c r="F408" s="249" t="s">
        <v>1564</v>
      </c>
    </row>
    <row r="409" spans="1:6">
      <c r="A409" t="s">
        <v>1563</v>
      </c>
      <c r="B409" s="13" t="s">
        <v>1840</v>
      </c>
      <c r="C409" s="104">
        <v>59732</v>
      </c>
      <c r="D409" s="96"/>
      <c r="E409" s="216">
        <f t="shared" si="15"/>
        <v>59732</v>
      </c>
      <c r="F409" s="249" t="s">
        <v>1564</v>
      </c>
    </row>
    <row r="410" spans="1:6">
      <c r="A410" t="s">
        <v>1563</v>
      </c>
      <c r="B410" s="13" t="s">
        <v>836</v>
      </c>
      <c r="C410" s="104">
        <v>88647</v>
      </c>
      <c r="D410" s="96"/>
      <c r="E410" s="216">
        <f t="shared" si="15"/>
        <v>88647</v>
      </c>
      <c r="F410" s="249" t="s">
        <v>1564</v>
      </c>
    </row>
    <row r="411" spans="1:6">
      <c r="A411" t="s">
        <v>1563</v>
      </c>
      <c r="B411" s="13" t="s">
        <v>1243</v>
      </c>
      <c r="C411" s="104">
        <v>32269</v>
      </c>
      <c r="D411" s="96"/>
      <c r="E411" s="216">
        <f t="shared" si="15"/>
        <v>32269</v>
      </c>
      <c r="F411" s="249" t="s">
        <v>1564</v>
      </c>
    </row>
    <row r="412" spans="1:6">
      <c r="A412" t="s">
        <v>1563</v>
      </c>
      <c r="B412" s="13" t="s">
        <v>1242</v>
      </c>
      <c r="C412" s="96"/>
      <c r="D412" s="104">
        <v>13192</v>
      </c>
      <c r="E412" s="253">
        <f>-D412</f>
        <v>-13192</v>
      </c>
      <c r="F412" s="249" t="s">
        <v>1564</v>
      </c>
    </row>
    <row r="413" spans="1:6">
      <c r="A413" t="s">
        <v>1563</v>
      </c>
      <c r="B413" s="13" t="s">
        <v>837</v>
      </c>
      <c r="C413" s="104">
        <v>75</v>
      </c>
      <c r="D413" s="96"/>
      <c r="E413" s="216">
        <f t="shared" ref="E413:E418" si="16">C413</f>
        <v>75</v>
      </c>
      <c r="F413" s="249" t="s">
        <v>1564</v>
      </c>
    </row>
    <row r="414" spans="1:6">
      <c r="A414" t="s">
        <v>1563</v>
      </c>
      <c r="B414" s="13" t="s">
        <v>838</v>
      </c>
      <c r="C414" s="104">
        <v>5578</v>
      </c>
      <c r="D414" s="96"/>
      <c r="E414" s="216">
        <f t="shared" si="16"/>
        <v>5578</v>
      </c>
      <c r="F414" s="249" t="s">
        <v>1564</v>
      </c>
    </row>
    <row r="415" spans="1:6">
      <c r="A415" t="s">
        <v>1563</v>
      </c>
      <c r="B415" s="13" t="s">
        <v>839</v>
      </c>
      <c r="C415" s="104">
        <v>22244</v>
      </c>
      <c r="D415" s="96"/>
      <c r="E415" s="216">
        <f t="shared" si="16"/>
        <v>22244</v>
      </c>
      <c r="F415" s="249" t="s">
        <v>1564</v>
      </c>
    </row>
    <row r="416" spans="1:6">
      <c r="A416" t="s">
        <v>1563</v>
      </c>
      <c r="B416" s="13" t="s">
        <v>840</v>
      </c>
      <c r="C416" s="104">
        <v>18095</v>
      </c>
      <c r="D416" s="96"/>
      <c r="E416" s="216">
        <f t="shared" si="16"/>
        <v>18095</v>
      </c>
      <c r="F416" s="249" t="s">
        <v>1564</v>
      </c>
    </row>
    <row r="417" spans="1:6">
      <c r="A417" t="s">
        <v>1563</v>
      </c>
      <c r="B417" s="13" t="s">
        <v>841</v>
      </c>
      <c r="C417" s="104">
        <v>31056</v>
      </c>
      <c r="D417" s="96"/>
      <c r="E417" s="216">
        <f t="shared" si="16"/>
        <v>31056</v>
      </c>
      <c r="F417" s="249" t="s">
        <v>1564</v>
      </c>
    </row>
    <row r="418" spans="1:6">
      <c r="A418" t="s">
        <v>1563</v>
      </c>
      <c r="B418" s="13" t="s">
        <v>842</v>
      </c>
      <c r="C418" s="104">
        <v>27512</v>
      </c>
      <c r="D418" s="96"/>
      <c r="E418" s="216">
        <f t="shared" si="16"/>
        <v>27512</v>
      </c>
      <c r="F418" s="249" t="s">
        <v>1564</v>
      </c>
    </row>
    <row r="419" spans="1:6">
      <c r="A419" t="s">
        <v>1563</v>
      </c>
      <c r="B419" s="13" t="s">
        <v>843</v>
      </c>
      <c r="C419" s="96"/>
      <c r="D419" s="104">
        <v>2000</v>
      </c>
      <c r="E419" s="253">
        <f>-D419</f>
        <v>-2000</v>
      </c>
      <c r="F419" s="249" t="s">
        <v>1564</v>
      </c>
    </row>
    <row r="420" spans="1:6">
      <c r="A420" t="s">
        <v>1563</v>
      </c>
      <c r="B420" s="13" t="s">
        <v>1241</v>
      </c>
      <c r="C420" s="104">
        <v>23403</v>
      </c>
      <c r="D420" s="96"/>
      <c r="E420" s="216">
        <f>C420</f>
        <v>23403</v>
      </c>
      <c r="F420" s="249" t="s">
        <v>1564</v>
      </c>
    </row>
    <row r="421" spans="1:6">
      <c r="A421" t="s">
        <v>1563</v>
      </c>
      <c r="B421" s="13" t="s">
        <v>844</v>
      </c>
      <c r="C421" s="96"/>
      <c r="D421" s="104">
        <v>2100</v>
      </c>
      <c r="E421" s="253">
        <f>-D421</f>
        <v>-2100</v>
      </c>
      <c r="F421" s="249" t="s">
        <v>1564</v>
      </c>
    </row>
    <row r="422" spans="1:6">
      <c r="A422" t="s">
        <v>1563</v>
      </c>
      <c r="B422" s="13" t="s">
        <v>1841</v>
      </c>
      <c r="C422" s="104">
        <v>138542</v>
      </c>
      <c r="D422" s="96"/>
      <c r="E422" s="216">
        <f>C422</f>
        <v>138542</v>
      </c>
      <c r="F422" s="249" t="s">
        <v>1564</v>
      </c>
    </row>
    <row r="423" spans="1:6">
      <c r="A423" t="s">
        <v>1563</v>
      </c>
      <c r="B423" s="13" t="s">
        <v>845</v>
      </c>
      <c r="C423" s="96"/>
      <c r="D423" s="104">
        <v>5745</v>
      </c>
      <c r="E423" s="253">
        <f>-D423</f>
        <v>-5745</v>
      </c>
      <c r="F423" s="249" t="s">
        <v>1564</v>
      </c>
    </row>
    <row r="424" spans="1:6">
      <c r="A424" t="s">
        <v>1563</v>
      </c>
      <c r="B424" s="13" t="s">
        <v>1738</v>
      </c>
      <c r="C424" s="96"/>
      <c r="D424" s="104">
        <v>9543</v>
      </c>
      <c r="E424" s="253">
        <f>-D424</f>
        <v>-9543</v>
      </c>
      <c r="F424" s="249" t="s">
        <v>1564</v>
      </c>
    </row>
    <row r="425" spans="1:6">
      <c r="A425" t="s">
        <v>1563</v>
      </c>
      <c r="B425" s="13" t="s">
        <v>846</v>
      </c>
      <c r="C425" s="104">
        <v>3188</v>
      </c>
      <c r="D425" s="96"/>
      <c r="E425" s="216">
        <f>C425</f>
        <v>3188</v>
      </c>
      <c r="F425" s="249" t="s">
        <v>1564</v>
      </c>
    </row>
    <row r="426" spans="1:6">
      <c r="A426" t="s">
        <v>1563</v>
      </c>
      <c r="B426" s="13" t="s">
        <v>1516</v>
      </c>
      <c r="C426" s="96"/>
      <c r="D426" s="104">
        <v>60</v>
      </c>
      <c r="E426" s="253">
        <f>-D426</f>
        <v>-60</v>
      </c>
      <c r="F426" s="249" t="s">
        <v>1564</v>
      </c>
    </row>
    <row r="427" spans="1:6">
      <c r="A427" t="s">
        <v>1563</v>
      </c>
      <c r="B427" s="13" t="s">
        <v>1517</v>
      </c>
      <c r="C427" s="104">
        <v>40392</v>
      </c>
      <c r="D427" s="96"/>
      <c r="E427" s="216">
        <f>C427</f>
        <v>40392</v>
      </c>
      <c r="F427" s="249" t="s">
        <v>1564</v>
      </c>
    </row>
    <row r="428" spans="1:6">
      <c r="A428" t="s">
        <v>1563</v>
      </c>
      <c r="B428" s="13" t="s">
        <v>849</v>
      </c>
      <c r="C428" s="96"/>
      <c r="D428" s="104">
        <v>1000</v>
      </c>
      <c r="E428" s="253">
        <f>-D428</f>
        <v>-1000</v>
      </c>
      <c r="F428" s="249" t="s">
        <v>1564</v>
      </c>
    </row>
    <row r="429" spans="1:6">
      <c r="A429" t="s">
        <v>1563</v>
      </c>
      <c r="B429" s="13" t="s">
        <v>850</v>
      </c>
      <c r="C429" s="104">
        <v>2950</v>
      </c>
      <c r="D429" s="96"/>
      <c r="E429" s="216">
        <f>C429</f>
        <v>2950</v>
      </c>
      <c r="F429" s="249" t="s">
        <v>1564</v>
      </c>
    </row>
    <row r="430" spans="1:6">
      <c r="A430" t="s">
        <v>1563</v>
      </c>
      <c r="B430" s="13" t="s">
        <v>1739</v>
      </c>
      <c r="C430" s="104">
        <v>90989</v>
      </c>
      <c r="D430" s="96"/>
      <c r="E430" s="216">
        <f>C430</f>
        <v>90989</v>
      </c>
      <c r="F430" s="249" t="s">
        <v>1564</v>
      </c>
    </row>
    <row r="431" spans="1:6">
      <c r="A431" t="s">
        <v>1563</v>
      </c>
      <c r="B431" s="13" t="s">
        <v>1240</v>
      </c>
      <c r="C431" s="104">
        <v>15054</v>
      </c>
      <c r="D431" s="96"/>
      <c r="E431" s="216">
        <f>C431</f>
        <v>15054</v>
      </c>
      <c r="F431" s="249" t="s">
        <v>1564</v>
      </c>
    </row>
    <row r="432" spans="1:6">
      <c r="A432" t="s">
        <v>1563</v>
      </c>
      <c r="B432" s="13" t="s">
        <v>1740</v>
      </c>
      <c r="C432" s="104">
        <v>4169</v>
      </c>
      <c r="D432" s="96"/>
      <c r="E432" s="216">
        <f>C432</f>
        <v>4169</v>
      </c>
      <c r="F432" s="249" t="s">
        <v>1564</v>
      </c>
    </row>
    <row r="433" spans="1:6">
      <c r="A433" t="s">
        <v>1563</v>
      </c>
      <c r="B433" s="13" t="s">
        <v>854</v>
      </c>
      <c r="C433" s="96"/>
      <c r="D433" s="104">
        <v>2494</v>
      </c>
      <c r="E433" s="253">
        <f>-D433</f>
        <v>-2494</v>
      </c>
      <c r="F433" s="249" t="s">
        <v>1564</v>
      </c>
    </row>
    <row r="434" spans="1:6">
      <c r="A434" t="s">
        <v>1563</v>
      </c>
      <c r="B434" s="13" t="s">
        <v>1521</v>
      </c>
      <c r="C434" s="96"/>
      <c r="D434" s="104">
        <v>1577</v>
      </c>
      <c r="E434" s="253">
        <f>-D434</f>
        <v>-1577</v>
      </c>
      <c r="F434" s="249" t="s">
        <v>1564</v>
      </c>
    </row>
    <row r="435" spans="1:6">
      <c r="A435" t="s">
        <v>1563</v>
      </c>
      <c r="B435" s="13" t="s">
        <v>1741</v>
      </c>
      <c r="C435" s="104">
        <v>77335</v>
      </c>
      <c r="D435" s="96"/>
      <c r="E435" s="216">
        <f t="shared" ref="E435:E441" si="17">C435</f>
        <v>77335</v>
      </c>
      <c r="F435" s="249" t="s">
        <v>1564</v>
      </c>
    </row>
    <row r="436" spans="1:6">
      <c r="A436" t="s">
        <v>1563</v>
      </c>
      <c r="B436" s="13" t="s">
        <v>1742</v>
      </c>
      <c r="C436" s="104">
        <v>57133</v>
      </c>
      <c r="D436" s="96"/>
      <c r="E436" s="216">
        <f t="shared" si="17"/>
        <v>57133</v>
      </c>
      <c r="F436" s="249" t="s">
        <v>1564</v>
      </c>
    </row>
    <row r="437" spans="1:6">
      <c r="A437" t="s">
        <v>1563</v>
      </c>
      <c r="B437" s="13" t="s">
        <v>1743</v>
      </c>
      <c r="C437" s="104">
        <v>130623</v>
      </c>
      <c r="D437" s="96"/>
      <c r="E437" s="216">
        <f t="shared" si="17"/>
        <v>130623</v>
      </c>
      <c r="F437" s="249" t="s">
        <v>1564</v>
      </c>
    </row>
    <row r="438" spans="1:6">
      <c r="A438" t="s">
        <v>1563</v>
      </c>
      <c r="B438" s="13" t="s">
        <v>1744</v>
      </c>
      <c r="C438" s="104">
        <v>595616</v>
      </c>
      <c r="D438" s="96"/>
      <c r="E438" s="216">
        <f t="shared" si="17"/>
        <v>595616</v>
      </c>
      <c r="F438" s="249" t="s">
        <v>1564</v>
      </c>
    </row>
    <row r="439" spans="1:6">
      <c r="A439" t="s">
        <v>1563</v>
      </c>
      <c r="B439" s="13" t="s">
        <v>855</v>
      </c>
      <c r="C439" s="104">
        <v>1184066.7</v>
      </c>
      <c r="D439" s="96"/>
      <c r="E439" s="216">
        <f t="shared" si="17"/>
        <v>1184066.7</v>
      </c>
      <c r="F439" s="249" t="s">
        <v>1564</v>
      </c>
    </row>
    <row r="440" spans="1:6">
      <c r="A440" t="s">
        <v>1563</v>
      </c>
      <c r="B440" s="13" t="s">
        <v>1239</v>
      </c>
      <c r="C440" s="104">
        <v>1500</v>
      </c>
      <c r="D440" s="96"/>
      <c r="E440" s="216">
        <f t="shared" si="17"/>
        <v>1500</v>
      </c>
      <c r="F440" s="249" t="s">
        <v>1564</v>
      </c>
    </row>
    <row r="441" spans="1:6">
      <c r="A441" t="s">
        <v>1563</v>
      </c>
      <c r="B441" s="13" t="s">
        <v>256</v>
      </c>
      <c r="C441" s="104">
        <v>202845586.44999999</v>
      </c>
      <c r="D441" s="96"/>
      <c r="E441" s="216">
        <f t="shared" si="17"/>
        <v>202845586.44999999</v>
      </c>
      <c r="F441" s="249" t="s">
        <v>1564</v>
      </c>
    </row>
    <row r="442" spans="1:6">
      <c r="A442" t="s">
        <v>1563</v>
      </c>
      <c r="B442" s="13" t="s">
        <v>856</v>
      </c>
      <c r="C442" s="96"/>
      <c r="D442" s="104">
        <v>1779544</v>
      </c>
      <c r="E442" s="253">
        <f>-D442</f>
        <v>-1779544</v>
      </c>
      <c r="F442" s="249" t="s">
        <v>1564</v>
      </c>
    </row>
    <row r="443" spans="1:6">
      <c r="A443" t="s">
        <v>1563</v>
      </c>
      <c r="B443" s="13" t="s">
        <v>857</v>
      </c>
      <c r="C443" s="96"/>
      <c r="D443" s="104">
        <v>135104849</v>
      </c>
      <c r="E443" s="253">
        <f>-D443</f>
        <v>-135104849</v>
      </c>
      <c r="F443" s="249" t="s">
        <v>1564</v>
      </c>
    </row>
    <row r="444" spans="1:6">
      <c r="A444" t="s">
        <v>1563</v>
      </c>
      <c r="B444" s="13" t="s">
        <v>858</v>
      </c>
      <c r="C444" s="96"/>
      <c r="D444" s="104">
        <v>65961193.450000003</v>
      </c>
      <c r="E444" s="253">
        <f>-D444</f>
        <v>-65961193.450000003</v>
      </c>
      <c r="F444" s="249" t="s">
        <v>1564</v>
      </c>
    </row>
    <row r="445" spans="1:6">
      <c r="A445" t="s">
        <v>1563</v>
      </c>
      <c r="B445" s="13" t="s">
        <v>859</v>
      </c>
      <c r="C445" s="104">
        <v>10812</v>
      </c>
      <c r="D445" s="96"/>
      <c r="E445" s="216">
        <f>C445</f>
        <v>10812</v>
      </c>
      <c r="F445" s="249" t="s">
        <v>1564</v>
      </c>
    </row>
    <row r="446" spans="1:6">
      <c r="A446" t="s">
        <v>1563</v>
      </c>
      <c r="B446" s="13" t="s">
        <v>860</v>
      </c>
      <c r="C446" s="104">
        <v>6042</v>
      </c>
      <c r="D446" s="96"/>
      <c r="E446" s="216">
        <f>C446</f>
        <v>6042</v>
      </c>
      <c r="F446" s="249" t="s">
        <v>1564</v>
      </c>
    </row>
    <row r="447" spans="1:6">
      <c r="A447" t="s">
        <v>1563</v>
      </c>
      <c r="B447" s="13" t="s">
        <v>1745</v>
      </c>
      <c r="C447" s="96"/>
      <c r="D447" s="104">
        <v>7009</v>
      </c>
      <c r="E447" s="253">
        <f>-D447</f>
        <v>-7009</v>
      </c>
      <c r="F447" s="249" t="s">
        <v>1564</v>
      </c>
    </row>
    <row r="448" spans="1:6">
      <c r="A448" t="s">
        <v>1563</v>
      </c>
      <c r="B448" s="13" t="s">
        <v>861</v>
      </c>
      <c r="C448" s="96"/>
      <c r="D448" s="104">
        <v>6589</v>
      </c>
      <c r="E448" s="253">
        <f>-D448</f>
        <v>-6589</v>
      </c>
      <c r="F448" s="249" t="s">
        <v>1564</v>
      </c>
    </row>
    <row r="449" spans="1:6">
      <c r="A449" t="s">
        <v>1563</v>
      </c>
      <c r="B449" s="13" t="s">
        <v>1238</v>
      </c>
      <c r="C449" s="104">
        <v>32710</v>
      </c>
      <c r="D449" s="96"/>
      <c r="E449" s="216">
        <f t="shared" ref="E449:E454" si="18">C449</f>
        <v>32710</v>
      </c>
      <c r="F449" s="249" t="s">
        <v>1564</v>
      </c>
    </row>
    <row r="450" spans="1:6">
      <c r="A450" t="s">
        <v>1563</v>
      </c>
      <c r="B450" s="13" t="s">
        <v>1528</v>
      </c>
      <c r="C450" s="104">
        <v>4862</v>
      </c>
      <c r="D450" s="96"/>
      <c r="E450" s="216">
        <f t="shared" si="18"/>
        <v>4862</v>
      </c>
      <c r="F450" s="249" t="s">
        <v>1564</v>
      </c>
    </row>
    <row r="451" spans="1:6">
      <c r="A451" t="s">
        <v>1563</v>
      </c>
      <c r="B451" s="13" t="s">
        <v>1237</v>
      </c>
      <c r="C451" s="104">
        <v>69540</v>
      </c>
      <c r="D451" s="96"/>
      <c r="E451" s="216">
        <f t="shared" si="18"/>
        <v>69540</v>
      </c>
      <c r="F451" s="249" t="s">
        <v>1564</v>
      </c>
    </row>
    <row r="452" spans="1:6">
      <c r="A452" t="s">
        <v>1563</v>
      </c>
      <c r="B452" s="13" t="s">
        <v>863</v>
      </c>
      <c r="C452" s="104">
        <v>6023</v>
      </c>
      <c r="D452" s="96"/>
      <c r="E452" s="216">
        <f t="shared" si="18"/>
        <v>6023</v>
      </c>
      <c r="F452" s="249" t="s">
        <v>1564</v>
      </c>
    </row>
    <row r="453" spans="1:6">
      <c r="A453" t="s">
        <v>1563</v>
      </c>
      <c r="B453" s="13" t="s">
        <v>1089</v>
      </c>
      <c r="C453" s="104">
        <v>40029.199999999997</v>
      </c>
      <c r="D453" s="96"/>
      <c r="E453" s="216">
        <f t="shared" si="18"/>
        <v>40029.199999999997</v>
      </c>
      <c r="F453" s="249" t="s">
        <v>1564</v>
      </c>
    </row>
    <row r="454" spans="1:6">
      <c r="A454" t="s">
        <v>1563</v>
      </c>
      <c r="B454" s="13" t="s">
        <v>1236</v>
      </c>
      <c r="C454" s="104">
        <v>38444</v>
      </c>
      <c r="D454" s="96"/>
      <c r="E454" s="216">
        <f t="shared" si="18"/>
        <v>38444</v>
      </c>
      <c r="F454" s="249" t="s">
        <v>1564</v>
      </c>
    </row>
    <row r="455" spans="1:6">
      <c r="A455" t="s">
        <v>1563</v>
      </c>
      <c r="B455" s="13" t="s">
        <v>1235</v>
      </c>
      <c r="C455" s="96"/>
      <c r="D455" s="104">
        <v>2987</v>
      </c>
      <c r="E455" s="253">
        <f>-D455</f>
        <v>-2987</v>
      </c>
      <c r="F455" s="249" t="s">
        <v>1564</v>
      </c>
    </row>
    <row r="456" spans="1:6">
      <c r="A456" t="s">
        <v>1563</v>
      </c>
      <c r="B456" s="13" t="s">
        <v>864</v>
      </c>
      <c r="C456" s="104">
        <v>19090</v>
      </c>
      <c r="D456" s="96"/>
      <c r="E456" s="216">
        <f>C456</f>
        <v>19090</v>
      </c>
      <c r="F456" s="249" t="s">
        <v>1564</v>
      </c>
    </row>
    <row r="457" spans="1:6">
      <c r="A457" t="s">
        <v>1563</v>
      </c>
      <c r="B457" s="13" t="s">
        <v>865</v>
      </c>
      <c r="C457" s="104">
        <v>6188</v>
      </c>
      <c r="D457" s="96"/>
      <c r="E457" s="216">
        <f>C457</f>
        <v>6188</v>
      </c>
      <c r="F457" s="249" t="s">
        <v>1564</v>
      </c>
    </row>
    <row r="458" spans="1:6">
      <c r="A458" t="s">
        <v>1563</v>
      </c>
      <c r="B458" s="13" t="s">
        <v>866</v>
      </c>
      <c r="C458" s="104">
        <v>6576</v>
      </c>
      <c r="D458" s="96"/>
      <c r="E458" s="216">
        <f>C458</f>
        <v>6576</v>
      </c>
      <c r="F458" s="249" t="s">
        <v>1564</v>
      </c>
    </row>
    <row r="459" spans="1:6">
      <c r="A459" t="s">
        <v>1563</v>
      </c>
      <c r="B459" s="13" t="s">
        <v>867</v>
      </c>
      <c r="C459" s="104">
        <v>486</v>
      </c>
      <c r="D459" s="96"/>
      <c r="E459" s="216">
        <f>C459</f>
        <v>486</v>
      </c>
      <c r="F459" s="249" t="s">
        <v>1564</v>
      </c>
    </row>
    <row r="460" spans="1:6">
      <c r="A460" t="s">
        <v>1563</v>
      </c>
      <c r="B460" s="13" t="s">
        <v>868</v>
      </c>
      <c r="C460" s="104">
        <v>2101</v>
      </c>
      <c r="D460" s="96"/>
      <c r="E460" s="216">
        <f>C460</f>
        <v>2101</v>
      </c>
      <c r="F460" s="249" t="s">
        <v>1564</v>
      </c>
    </row>
    <row r="461" spans="1:6">
      <c r="A461" t="s">
        <v>1563</v>
      </c>
      <c r="B461" s="13" t="s">
        <v>869</v>
      </c>
      <c r="C461" s="96"/>
      <c r="D461" s="104">
        <v>300</v>
      </c>
      <c r="E461" s="253">
        <f>-D461</f>
        <v>-300</v>
      </c>
      <c r="F461" s="249" t="s">
        <v>1564</v>
      </c>
    </row>
    <row r="462" spans="1:6">
      <c r="A462" t="s">
        <v>1563</v>
      </c>
      <c r="B462" s="13" t="s">
        <v>1530</v>
      </c>
      <c r="C462" s="104">
        <v>18273</v>
      </c>
      <c r="D462" s="96"/>
      <c r="E462" s="216">
        <f>C462</f>
        <v>18273</v>
      </c>
      <c r="F462" s="249" t="s">
        <v>1564</v>
      </c>
    </row>
    <row r="463" spans="1:6">
      <c r="A463" t="s">
        <v>1563</v>
      </c>
      <c r="B463" s="13" t="s">
        <v>1234</v>
      </c>
      <c r="C463" s="104">
        <v>279471.75</v>
      </c>
      <c r="D463" s="96"/>
      <c r="E463" s="216">
        <f>C463</f>
        <v>279471.75</v>
      </c>
      <c r="F463" s="249" t="s">
        <v>1564</v>
      </c>
    </row>
    <row r="464" spans="1:6">
      <c r="B464" s="1" t="s">
        <v>101</v>
      </c>
      <c r="C464" s="105">
        <v>299414.5</v>
      </c>
      <c r="D464" s="105">
        <v>14271.5</v>
      </c>
      <c r="E464" s="104"/>
    </row>
    <row r="465" spans="1:6">
      <c r="A465" t="s">
        <v>1566</v>
      </c>
      <c r="B465" s="13" t="s">
        <v>870</v>
      </c>
      <c r="C465" s="96"/>
      <c r="D465" s="104">
        <v>4882.5</v>
      </c>
      <c r="E465" s="253">
        <f>-D465</f>
        <v>-4882.5</v>
      </c>
      <c r="F465" s="249" t="s">
        <v>1567</v>
      </c>
    </row>
    <row r="466" spans="1:6">
      <c r="A466" t="s">
        <v>1566</v>
      </c>
      <c r="B466" s="13" t="s">
        <v>871</v>
      </c>
      <c r="C466" s="104">
        <v>2612.5</v>
      </c>
      <c r="D466" s="96"/>
      <c r="E466" s="216">
        <f>C466</f>
        <v>2612.5</v>
      </c>
      <c r="F466" s="249" t="s">
        <v>1567</v>
      </c>
    </row>
    <row r="467" spans="1:6">
      <c r="A467" t="s">
        <v>1566</v>
      </c>
      <c r="B467" s="13" t="s">
        <v>872</v>
      </c>
      <c r="C467" s="96"/>
      <c r="D467" s="104">
        <v>1768</v>
      </c>
      <c r="E467" s="253">
        <f>-D467</f>
        <v>-1768</v>
      </c>
      <c r="F467" s="249" t="s">
        <v>1567</v>
      </c>
    </row>
    <row r="468" spans="1:6">
      <c r="A468" t="s">
        <v>1566</v>
      </c>
      <c r="B468" s="13" t="s">
        <v>873</v>
      </c>
      <c r="C468" s="104">
        <v>3936</v>
      </c>
      <c r="D468" s="96"/>
      <c r="E468" s="216">
        <f>C468</f>
        <v>3936</v>
      </c>
      <c r="F468" s="249" t="s">
        <v>1567</v>
      </c>
    </row>
    <row r="469" spans="1:6">
      <c r="A469" t="s">
        <v>1566</v>
      </c>
      <c r="B469" s="13" t="s">
        <v>874</v>
      </c>
      <c r="C469" s="104">
        <v>1206.2</v>
      </c>
      <c r="D469" s="96"/>
      <c r="E469" s="216">
        <f>C469</f>
        <v>1206.2</v>
      </c>
      <c r="F469" s="249" t="s">
        <v>1567</v>
      </c>
    </row>
    <row r="470" spans="1:6">
      <c r="A470" t="s">
        <v>1566</v>
      </c>
      <c r="B470" s="13" t="s">
        <v>875</v>
      </c>
      <c r="C470" s="104">
        <v>908</v>
      </c>
      <c r="D470" s="96"/>
      <c r="E470" s="216">
        <f>C470</f>
        <v>908</v>
      </c>
      <c r="F470" s="249" t="s">
        <v>1567</v>
      </c>
    </row>
    <row r="471" spans="1:6">
      <c r="A471" t="s">
        <v>1566</v>
      </c>
      <c r="B471" s="13" t="s">
        <v>1746</v>
      </c>
      <c r="C471" s="104">
        <v>2000</v>
      </c>
      <c r="D471" s="96"/>
      <c r="E471" s="216">
        <f>C471</f>
        <v>2000</v>
      </c>
      <c r="F471" s="249" t="s">
        <v>1567</v>
      </c>
    </row>
    <row r="472" spans="1:6">
      <c r="A472" t="s">
        <v>1566</v>
      </c>
      <c r="B472" s="13" t="s">
        <v>1747</v>
      </c>
      <c r="C472" s="104">
        <v>20105</v>
      </c>
      <c r="D472" s="96"/>
      <c r="E472" s="216">
        <f>C472</f>
        <v>20105</v>
      </c>
      <c r="F472" s="249" t="s">
        <v>1567</v>
      </c>
    </row>
    <row r="473" spans="1:6">
      <c r="A473" t="s">
        <v>1566</v>
      </c>
      <c r="B473" s="13" t="s">
        <v>876</v>
      </c>
      <c r="C473" s="96"/>
      <c r="D473" s="104">
        <v>3702</v>
      </c>
      <c r="E473" s="253">
        <f>-D473</f>
        <v>-3702</v>
      </c>
      <c r="F473" s="249" t="s">
        <v>1567</v>
      </c>
    </row>
    <row r="474" spans="1:6">
      <c r="A474" t="s">
        <v>1566</v>
      </c>
      <c r="B474" s="13" t="s">
        <v>877</v>
      </c>
      <c r="C474" s="104">
        <v>167004</v>
      </c>
      <c r="D474" s="96"/>
      <c r="E474" s="216">
        <f t="shared" ref="E474:E479" si="19">C474</f>
        <v>167004</v>
      </c>
      <c r="F474" s="249" t="s">
        <v>1567</v>
      </c>
    </row>
    <row r="475" spans="1:6">
      <c r="A475" t="s">
        <v>1566</v>
      </c>
      <c r="B475" s="13" t="s">
        <v>879</v>
      </c>
      <c r="C475" s="104">
        <v>25655</v>
      </c>
      <c r="D475" s="96"/>
      <c r="E475" s="216">
        <f t="shared" si="19"/>
        <v>25655</v>
      </c>
      <c r="F475" s="249" t="s">
        <v>1567</v>
      </c>
    </row>
    <row r="476" spans="1:6">
      <c r="A476" t="s">
        <v>1566</v>
      </c>
      <c r="B476" s="13" t="s">
        <v>1532</v>
      </c>
      <c r="C476" s="104">
        <v>299</v>
      </c>
      <c r="D476" s="96"/>
      <c r="E476" s="216">
        <f t="shared" si="19"/>
        <v>299</v>
      </c>
      <c r="F476" s="249" t="s">
        <v>1567</v>
      </c>
    </row>
    <row r="477" spans="1:6">
      <c r="A477" t="s">
        <v>1566</v>
      </c>
      <c r="B477" s="13" t="s">
        <v>880</v>
      </c>
      <c r="C477" s="104">
        <v>2417.5</v>
      </c>
      <c r="D477" s="96"/>
      <c r="E477" s="216">
        <f t="shared" si="19"/>
        <v>2417.5</v>
      </c>
      <c r="F477" s="249" t="s">
        <v>1567</v>
      </c>
    </row>
    <row r="478" spans="1:6">
      <c r="A478" t="s">
        <v>1566</v>
      </c>
      <c r="B478" s="13" t="s">
        <v>1533</v>
      </c>
      <c r="C478" s="104">
        <v>35723</v>
      </c>
      <c r="D478" s="96"/>
      <c r="E478" s="216">
        <f t="shared" si="19"/>
        <v>35723</v>
      </c>
      <c r="F478" s="249" t="s">
        <v>1567</v>
      </c>
    </row>
    <row r="479" spans="1:6">
      <c r="A479" t="s">
        <v>1566</v>
      </c>
      <c r="B479" s="13" t="s">
        <v>1534</v>
      </c>
      <c r="C479" s="104">
        <v>4415</v>
      </c>
      <c r="D479" s="96"/>
      <c r="E479" s="216">
        <f t="shared" si="19"/>
        <v>4415</v>
      </c>
      <c r="F479" s="249" t="s">
        <v>1567</v>
      </c>
    </row>
    <row r="480" spans="1:6">
      <c r="A480" t="s">
        <v>1566</v>
      </c>
      <c r="B480" s="13" t="s">
        <v>883</v>
      </c>
      <c r="C480" s="96"/>
      <c r="D480" s="104">
        <v>3919</v>
      </c>
      <c r="E480" s="253">
        <f>-D480</f>
        <v>-3919</v>
      </c>
      <c r="F480" s="249" t="s">
        <v>1567</v>
      </c>
    </row>
    <row r="481" spans="1:6">
      <c r="A481" t="s">
        <v>1566</v>
      </c>
      <c r="B481" s="13" t="s">
        <v>884</v>
      </c>
      <c r="C481" s="104">
        <v>1461.3</v>
      </c>
      <c r="D481" s="96"/>
      <c r="E481" s="216">
        <f t="shared" ref="E481:E488" si="20">C481</f>
        <v>1461.3</v>
      </c>
      <c r="F481" s="249" t="s">
        <v>1567</v>
      </c>
    </row>
    <row r="482" spans="1:6">
      <c r="A482" t="s">
        <v>1566</v>
      </c>
      <c r="B482" s="13" t="s">
        <v>885</v>
      </c>
      <c r="C482" s="104">
        <v>6634</v>
      </c>
      <c r="D482" s="96"/>
      <c r="E482" s="216">
        <f t="shared" si="20"/>
        <v>6634</v>
      </c>
      <c r="F482" s="249" t="s">
        <v>1567</v>
      </c>
    </row>
    <row r="483" spans="1:6">
      <c r="A483" t="s">
        <v>1566</v>
      </c>
      <c r="B483" s="13" t="s">
        <v>1748</v>
      </c>
      <c r="C483" s="104">
        <v>18383</v>
      </c>
      <c r="D483" s="96"/>
      <c r="E483" s="216">
        <f t="shared" si="20"/>
        <v>18383</v>
      </c>
      <c r="F483" s="249" t="s">
        <v>1567</v>
      </c>
    </row>
    <row r="484" spans="1:6">
      <c r="A484" t="s">
        <v>1566</v>
      </c>
      <c r="B484" s="13" t="s">
        <v>1749</v>
      </c>
      <c r="C484" s="104">
        <v>3000</v>
      </c>
      <c r="D484" s="96"/>
      <c r="E484" s="216">
        <f t="shared" si="20"/>
        <v>3000</v>
      </c>
      <c r="F484" s="249" t="s">
        <v>1567</v>
      </c>
    </row>
    <row r="485" spans="1:6">
      <c r="A485" t="s">
        <v>1566</v>
      </c>
      <c r="B485" s="13" t="s">
        <v>1093</v>
      </c>
      <c r="C485" s="104">
        <v>1000</v>
      </c>
      <c r="D485" s="96"/>
      <c r="E485" s="216">
        <f t="shared" si="20"/>
        <v>1000</v>
      </c>
      <c r="F485" s="249" t="s">
        <v>1567</v>
      </c>
    </row>
    <row r="486" spans="1:6">
      <c r="A486" t="s">
        <v>1566</v>
      </c>
      <c r="B486" s="13" t="s">
        <v>887</v>
      </c>
      <c r="C486" s="104">
        <v>500</v>
      </c>
      <c r="D486" s="96"/>
      <c r="E486" s="216">
        <f t="shared" si="20"/>
        <v>500</v>
      </c>
      <c r="F486" s="249" t="s">
        <v>1567</v>
      </c>
    </row>
    <row r="487" spans="1:6">
      <c r="A487" t="s">
        <v>1566</v>
      </c>
      <c r="B487" s="13" t="s">
        <v>888</v>
      </c>
      <c r="C487" s="104">
        <v>750</v>
      </c>
      <c r="D487" s="96"/>
      <c r="E487" s="216">
        <f t="shared" si="20"/>
        <v>750</v>
      </c>
      <c r="F487" s="249" t="s">
        <v>1567</v>
      </c>
    </row>
    <row r="488" spans="1:6">
      <c r="A488" t="s">
        <v>1566</v>
      </c>
      <c r="B488" s="13" t="s">
        <v>1750</v>
      </c>
      <c r="C488" s="104">
        <v>1405</v>
      </c>
      <c r="D488" s="96"/>
      <c r="E488" s="216">
        <f t="shared" si="20"/>
        <v>1405</v>
      </c>
      <c r="F488" s="249" t="s">
        <v>1567</v>
      </c>
    </row>
    <row r="489" spans="1:6">
      <c r="B489" s="1" t="s">
        <v>102</v>
      </c>
      <c r="C489" s="109"/>
      <c r="D489" s="105">
        <v>254403997.75</v>
      </c>
      <c r="E489" s="104"/>
    </row>
    <row r="490" spans="1:6">
      <c r="A490" t="s">
        <v>1583</v>
      </c>
      <c r="B490" s="13" t="s">
        <v>103</v>
      </c>
      <c r="C490" s="96"/>
      <c r="D490" s="104">
        <v>254403997.75</v>
      </c>
      <c r="E490" s="216">
        <f>D490</f>
        <v>254403997.75</v>
      </c>
    </row>
    <row r="491" spans="1:6">
      <c r="B491" s="1" t="s">
        <v>104</v>
      </c>
      <c r="C491" s="105">
        <v>69360134.859999999</v>
      </c>
      <c r="D491" s="109"/>
      <c r="E491" s="104">
        <f>-D491</f>
        <v>0</v>
      </c>
    </row>
    <row r="492" spans="1:6">
      <c r="A492" t="s">
        <v>1589</v>
      </c>
      <c r="B492" s="13" t="s">
        <v>105</v>
      </c>
      <c r="C492" s="104">
        <v>1484147</v>
      </c>
      <c r="D492" s="96"/>
      <c r="E492" s="216">
        <f t="shared" ref="E492:E521" si="21">C492</f>
        <v>1484147</v>
      </c>
      <c r="F492" s="249" t="s">
        <v>1590</v>
      </c>
    </row>
    <row r="493" spans="1:6">
      <c r="A493" t="s">
        <v>1589</v>
      </c>
      <c r="B493" s="13" t="s">
        <v>1095</v>
      </c>
      <c r="C493" s="104">
        <v>32705</v>
      </c>
      <c r="D493" s="96"/>
      <c r="E493" s="216">
        <f t="shared" si="21"/>
        <v>32705</v>
      </c>
      <c r="F493" s="249" t="s">
        <v>1590</v>
      </c>
    </row>
    <row r="494" spans="1:6">
      <c r="A494" t="s">
        <v>1589</v>
      </c>
      <c r="B494" s="13" t="s">
        <v>106</v>
      </c>
      <c r="C494" s="104">
        <v>890758</v>
      </c>
      <c r="D494" s="96"/>
      <c r="E494" s="216">
        <f t="shared" si="21"/>
        <v>890758</v>
      </c>
      <c r="F494" s="249" t="s">
        <v>1590</v>
      </c>
    </row>
    <row r="495" spans="1:6">
      <c r="A495" t="s">
        <v>1589</v>
      </c>
      <c r="B495" s="13" t="s">
        <v>107</v>
      </c>
      <c r="C495" s="104">
        <v>1206779</v>
      </c>
      <c r="D495" s="96"/>
      <c r="E495" s="216">
        <f t="shared" si="21"/>
        <v>1206779</v>
      </c>
      <c r="F495" s="249" t="s">
        <v>1590</v>
      </c>
    </row>
    <row r="496" spans="1:6">
      <c r="A496" t="s">
        <v>1589</v>
      </c>
      <c r="B496" s="13" t="s">
        <v>108</v>
      </c>
      <c r="C496" s="104">
        <v>259079</v>
      </c>
      <c r="D496" s="96"/>
      <c r="E496" s="216">
        <f t="shared" si="21"/>
        <v>259079</v>
      </c>
      <c r="F496" s="249" t="s">
        <v>1590</v>
      </c>
    </row>
    <row r="497" spans="1:15">
      <c r="A497" t="s">
        <v>1589</v>
      </c>
      <c r="B497" s="13" t="s">
        <v>109</v>
      </c>
      <c r="C497" s="104">
        <v>1624806</v>
      </c>
      <c r="D497" s="96"/>
      <c r="E497" s="216">
        <f t="shared" si="21"/>
        <v>1624806</v>
      </c>
      <c r="F497" s="249" t="s">
        <v>1590</v>
      </c>
      <c r="M497" s="218">
        <v>43110</v>
      </c>
      <c r="N497" t="s">
        <v>1858</v>
      </c>
      <c r="O497">
        <v>187000</v>
      </c>
    </row>
    <row r="498" spans="1:15">
      <c r="A498" t="s">
        <v>1589</v>
      </c>
      <c r="B498" s="13" t="s">
        <v>110</v>
      </c>
      <c r="C498" s="104">
        <v>9064455</v>
      </c>
      <c r="D498" s="96"/>
      <c r="E498" s="216">
        <f t="shared" si="21"/>
        <v>9064455</v>
      </c>
      <c r="F498" s="249" t="s">
        <v>1590</v>
      </c>
    </row>
    <row r="499" spans="1:15">
      <c r="A499" t="s">
        <v>1589</v>
      </c>
      <c r="B499" s="13" t="s">
        <v>111</v>
      </c>
      <c r="C499" s="104">
        <v>78500</v>
      </c>
      <c r="D499" s="96"/>
      <c r="E499" s="216">
        <f t="shared" si="21"/>
        <v>78500</v>
      </c>
      <c r="F499" s="249" t="s">
        <v>1590</v>
      </c>
    </row>
    <row r="500" spans="1:15">
      <c r="A500" t="s">
        <v>1589</v>
      </c>
      <c r="B500" s="13" t="s">
        <v>113</v>
      </c>
      <c r="C500" s="104">
        <v>1460356</v>
      </c>
      <c r="D500" s="96"/>
      <c r="E500" s="216">
        <f t="shared" si="21"/>
        <v>1460356</v>
      </c>
      <c r="F500" s="249" t="s">
        <v>1590</v>
      </c>
    </row>
    <row r="501" spans="1:15">
      <c r="A501" t="s">
        <v>1589</v>
      </c>
      <c r="B501" s="13" t="s">
        <v>1535</v>
      </c>
      <c r="C501" s="104">
        <v>191000</v>
      </c>
      <c r="D501" s="96"/>
      <c r="E501" s="216">
        <f t="shared" si="21"/>
        <v>191000</v>
      </c>
      <c r="F501" s="249" t="s">
        <v>1590</v>
      </c>
    </row>
    <row r="502" spans="1:15">
      <c r="A502" t="s">
        <v>1589</v>
      </c>
      <c r="B502" s="13" t="s">
        <v>115</v>
      </c>
      <c r="C502" s="104">
        <v>399037</v>
      </c>
      <c r="D502" s="96"/>
      <c r="E502" s="216">
        <f t="shared" si="21"/>
        <v>399037</v>
      </c>
      <c r="F502" s="249" t="s">
        <v>1590</v>
      </c>
    </row>
    <row r="503" spans="1:15">
      <c r="A503" t="s">
        <v>1589</v>
      </c>
      <c r="B503" s="13" t="s">
        <v>116</v>
      </c>
      <c r="C503" s="104">
        <v>2977236</v>
      </c>
      <c r="D503" s="96"/>
      <c r="E503" s="216">
        <f t="shared" si="21"/>
        <v>2977236</v>
      </c>
      <c r="F503" s="249" t="s">
        <v>1590</v>
      </c>
    </row>
    <row r="504" spans="1:15">
      <c r="A504" t="s">
        <v>1589</v>
      </c>
      <c r="B504" s="13" t="s">
        <v>117</v>
      </c>
      <c r="C504" s="104">
        <v>168540</v>
      </c>
      <c r="D504" s="96"/>
      <c r="E504" s="216">
        <f t="shared" si="21"/>
        <v>168540</v>
      </c>
      <c r="F504" s="249" t="s">
        <v>1590</v>
      </c>
    </row>
    <row r="505" spans="1:15">
      <c r="A505" t="s">
        <v>1589</v>
      </c>
      <c r="B505" s="13" t="s">
        <v>1232</v>
      </c>
      <c r="C505" s="104">
        <v>161883</v>
      </c>
      <c r="D505" s="96"/>
      <c r="E505" s="216">
        <f t="shared" si="21"/>
        <v>161883</v>
      </c>
      <c r="F505" s="249" t="s">
        <v>1590</v>
      </c>
    </row>
    <row r="506" spans="1:15">
      <c r="A506" t="s">
        <v>1589</v>
      </c>
      <c r="B506" s="13" t="s">
        <v>119</v>
      </c>
      <c r="C506" s="104">
        <v>2014359</v>
      </c>
      <c r="D506" s="96"/>
      <c r="E506" s="216">
        <f t="shared" si="21"/>
        <v>2014359</v>
      </c>
      <c r="F506" s="249" t="s">
        <v>1590</v>
      </c>
    </row>
    <row r="507" spans="1:15">
      <c r="A507" t="s">
        <v>1589</v>
      </c>
      <c r="B507" s="13" t="s">
        <v>120</v>
      </c>
      <c r="C507" s="104">
        <v>3791576</v>
      </c>
      <c r="D507" s="96"/>
      <c r="E507" s="216">
        <f t="shared" si="21"/>
        <v>3791576</v>
      </c>
      <c r="F507" s="249" t="s">
        <v>1590</v>
      </c>
    </row>
    <row r="508" spans="1:15">
      <c r="A508" t="s">
        <v>1589</v>
      </c>
      <c r="B508" s="13" t="s">
        <v>1231</v>
      </c>
      <c r="C508" s="104">
        <v>4492307.76</v>
      </c>
      <c r="D508" s="96"/>
      <c r="E508" s="216">
        <f t="shared" si="21"/>
        <v>4492307.76</v>
      </c>
      <c r="F508" s="249" t="s">
        <v>1590</v>
      </c>
    </row>
    <row r="509" spans="1:15">
      <c r="A509" t="s">
        <v>1589</v>
      </c>
      <c r="B509" s="13" t="s">
        <v>1230</v>
      </c>
      <c r="C509" s="104">
        <v>3366332</v>
      </c>
      <c r="D509" s="96"/>
      <c r="E509" s="216">
        <f t="shared" si="21"/>
        <v>3366332</v>
      </c>
      <c r="F509" s="249" t="s">
        <v>1590</v>
      </c>
    </row>
    <row r="510" spans="1:15">
      <c r="A510" t="s">
        <v>1589</v>
      </c>
      <c r="B510" s="13" t="s">
        <v>1229</v>
      </c>
      <c r="C510" s="104">
        <v>42158</v>
      </c>
      <c r="D510" s="96"/>
      <c r="E510" s="216">
        <f t="shared" si="21"/>
        <v>42158</v>
      </c>
      <c r="F510" s="249" t="s">
        <v>1590</v>
      </c>
    </row>
    <row r="511" spans="1:15">
      <c r="A511" t="s">
        <v>1589</v>
      </c>
      <c r="B511" s="13" t="s">
        <v>1228</v>
      </c>
      <c r="C511" s="104">
        <v>2779306</v>
      </c>
      <c r="D511" s="96"/>
      <c r="E511" s="216">
        <f t="shared" si="21"/>
        <v>2779306</v>
      </c>
      <c r="F511" s="249" t="s">
        <v>1590</v>
      </c>
    </row>
    <row r="512" spans="1:15">
      <c r="A512" t="s">
        <v>1589</v>
      </c>
      <c r="B512" s="13" t="s">
        <v>1227</v>
      </c>
      <c r="C512" s="104">
        <v>1306780</v>
      </c>
      <c r="D512" s="96"/>
      <c r="E512" s="216">
        <f t="shared" si="21"/>
        <v>1306780</v>
      </c>
      <c r="F512" s="249" t="s">
        <v>1590</v>
      </c>
    </row>
    <row r="513" spans="1:6">
      <c r="A513" t="s">
        <v>1589</v>
      </c>
      <c r="B513" s="13" t="s">
        <v>121</v>
      </c>
      <c r="C513" s="104">
        <v>5318998</v>
      </c>
      <c r="D513" s="96"/>
      <c r="E513" s="216">
        <f t="shared" si="21"/>
        <v>5318998</v>
      </c>
      <c r="F513" s="249" t="s">
        <v>1590</v>
      </c>
    </row>
    <row r="514" spans="1:6">
      <c r="A514" t="s">
        <v>1589</v>
      </c>
      <c r="B514" s="13" t="s">
        <v>1226</v>
      </c>
      <c r="C514" s="104">
        <v>767352</v>
      </c>
      <c r="D514" s="96"/>
      <c r="E514" s="216">
        <f t="shared" si="21"/>
        <v>767352</v>
      </c>
      <c r="F514" s="249" t="s">
        <v>1590</v>
      </c>
    </row>
    <row r="515" spans="1:6">
      <c r="A515" t="s">
        <v>1589</v>
      </c>
      <c r="B515" s="16" t="s">
        <v>112</v>
      </c>
      <c r="C515" s="104">
        <v>3797935</v>
      </c>
      <c r="D515" s="96"/>
      <c r="E515" s="216">
        <f t="shared" si="21"/>
        <v>3797935</v>
      </c>
      <c r="F515" s="249" t="s">
        <v>1590</v>
      </c>
    </row>
    <row r="516" spans="1:6">
      <c r="A516" t="s">
        <v>1589</v>
      </c>
      <c r="B516" s="16" t="s">
        <v>122</v>
      </c>
      <c r="C516" s="104">
        <v>5193659</v>
      </c>
      <c r="D516" s="96"/>
      <c r="E516" s="216">
        <f t="shared" si="21"/>
        <v>5193659</v>
      </c>
      <c r="F516" s="249" t="s">
        <v>1590</v>
      </c>
    </row>
    <row r="517" spans="1:6">
      <c r="A517" t="s">
        <v>1589</v>
      </c>
      <c r="B517" s="13" t="s">
        <v>1846</v>
      </c>
      <c r="C517" s="104">
        <v>3200</v>
      </c>
      <c r="D517" s="96"/>
      <c r="E517" s="216">
        <f t="shared" si="21"/>
        <v>3200</v>
      </c>
      <c r="F517" s="249" t="s">
        <v>1590</v>
      </c>
    </row>
    <row r="518" spans="1:6">
      <c r="A518" t="s">
        <v>1589</v>
      </c>
      <c r="B518" s="13" t="s">
        <v>123</v>
      </c>
      <c r="C518" s="104">
        <v>11693208</v>
      </c>
      <c r="D518" s="96"/>
      <c r="E518" s="216">
        <f t="shared" si="21"/>
        <v>11693208</v>
      </c>
      <c r="F518" s="249" t="s">
        <v>1590</v>
      </c>
    </row>
    <row r="519" spans="1:6">
      <c r="A519" t="s">
        <v>1589</v>
      </c>
      <c r="B519" s="16" t="s">
        <v>1842</v>
      </c>
      <c r="C519" s="104">
        <v>720894</v>
      </c>
      <c r="D519" s="96"/>
      <c r="E519" s="216">
        <f t="shared" si="21"/>
        <v>720894</v>
      </c>
      <c r="F519" s="249" t="s">
        <v>1590</v>
      </c>
    </row>
    <row r="520" spans="1:6">
      <c r="A520" t="s">
        <v>1589</v>
      </c>
      <c r="B520" s="13" t="s">
        <v>124</v>
      </c>
      <c r="C520" s="104">
        <v>3002756.1</v>
      </c>
      <c r="D520" s="96"/>
      <c r="E520" s="216">
        <f t="shared" si="21"/>
        <v>3002756.1</v>
      </c>
      <c r="F520" s="249" t="s">
        <v>1590</v>
      </c>
    </row>
    <row r="521" spans="1:6">
      <c r="A521" t="s">
        <v>1589</v>
      </c>
      <c r="B521" s="13" t="s">
        <v>1843</v>
      </c>
      <c r="C521" s="104">
        <v>1070033</v>
      </c>
      <c r="D521" s="96"/>
      <c r="E521" s="216">
        <f t="shared" si="21"/>
        <v>1070033</v>
      </c>
      <c r="F521" s="249" t="s">
        <v>1590</v>
      </c>
    </row>
    <row r="522" spans="1:6">
      <c r="B522" s="1" t="s">
        <v>125</v>
      </c>
      <c r="C522" s="109"/>
      <c r="D522" s="105">
        <v>12609828</v>
      </c>
      <c r="E522" s="104"/>
    </row>
    <row r="523" spans="1:6">
      <c r="A523" t="s">
        <v>1553</v>
      </c>
      <c r="B523" s="13" t="s">
        <v>126</v>
      </c>
      <c r="C523" s="96"/>
      <c r="D523" s="104">
        <v>30000</v>
      </c>
      <c r="E523" s="253">
        <f>-D523</f>
        <v>-30000</v>
      </c>
      <c r="F523" t="s">
        <v>1855</v>
      </c>
    </row>
    <row r="524" spans="1:6">
      <c r="A524" t="s">
        <v>1553</v>
      </c>
      <c r="B524" s="13" t="s">
        <v>127</v>
      </c>
      <c r="C524" s="96"/>
      <c r="D524" s="104">
        <v>230500</v>
      </c>
      <c r="E524" s="253">
        <f>-D524</f>
        <v>-230500</v>
      </c>
      <c r="F524" t="s">
        <v>1855</v>
      </c>
    </row>
    <row r="525" spans="1:6">
      <c r="A525" t="s">
        <v>1553</v>
      </c>
      <c r="B525" s="13" t="s">
        <v>128</v>
      </c>
      <c r="C525" s="96"/>
      <c r="D525" s="104">
        <v>12229328</v>
      </c>
      <c r="E525" s="253">
        <f>-D525</f>
        <v>-12229328</v>
      </c>
      <c r="F525" t="s">
        <v>1855</v>
      </c>
    </row>
    <row r="526" spans="1:6">
      <c r="A526" t="s">
        <v>1553</v>
      </c>
      <c r="B526" s="13" t="s">
        <v>129</v>
      </c>
      <c r="C526" s="96"/>
      <c r="D526" s="104">
        <v>120000</v>
      </c>
      <c r="E526" s="253">
        <f>-D526</f>
        <v>-120000</v>
      </c>
      <c r="F526" t="s">
        <v>1855</v>
      </c>
    </row>
    <row r="527" spans="1:6">
      <c r="B527" s="1" t="s">
        <v>130</v>
      </c>
      <c r="C527" s="105">
        <v>514073.78</v>
      </c>
      <c r="D527" s="109"/>
      <c r="E527" s="104">
        <f t="shared" ref="E527:E562" si="22">-D527</f>
        <v>0</v>
      </c>
    </row>
    <row r="528" spans="1:6">
      <c r="B528" s="13" t="s">
        <v>130</v>
      </c>
      <c r="C528" s="104">
        <v>514073.78</v>
      </c>
      <c r="D528" s="96"/>
      <c r="E528" s="104">
        <f>C528</f>
        <v>514073.78</v>
      </c>
    </row>
    <row r="529" spans="1:6">
      <c r="B529" s="1" t="s">
        <v>131</v>
      </c>
      <c r="C529" s="105">
        <v>44819</v>
      </c>
      <c r="D529" s="105">
        <v>84253</v>
      </c>
      <c r="E529" s="104"/>
    </row>
    <row r="530" spans="1:6">
      <c r="A530" t="s">
        <v>1547</v>
      </c>
      <c r="B530" s="13" t="s">
        <v>1225</v>
      </c>
      <c r="C530" s="96"/>
      <c r="D530" s="104">
        <v>84253</v>
      </c>
      <c r="E530" s="253">
        <f t="shared" si="22"/>
        <v>-84253</v>
      </c>
      <c r="F530" s="249" t="s">
        <v>1557</v>
      </c>
    </row>
    <row r="531" spans="1:6">
      <c r="A531" t="s">
        <v>1547</v>
      </c>
      <c r="B531" s="13" t="s">
        <v>1536</v>
      </c>
      <c r="C531" s="104">
        <v>4127</v>
      </c>
      <c r="D531" s="96"/>
      <c r="E531" s="216">
        <f>C531</f>
        <v>4127</v>
      </c>
      <c r="F531" s="249" t="s">
        <v>1557</v>
      </c>
    </row>
    <row r="532" spans="1:6">
      <c r="A532" t="s">
        <v>1547</v>
      </c>
      <c r="B532" s="13" t="s">
        <v>1224</v>
      </c>
      <c r="C532" s="104">
        <v>40692</v>
      </c>
      <c r="D532" s="96"/>
      <c r="E532" s="216">
        <f>C532</f>
        <v>40692</v>
      </c>
      <c r="F532" s="249" t="s">
        <v>1557</v>
      </c>
    </row>
    <row r="533" spans="1:6">
      <c r="B533" s="1" t="s">
        <v>132</v>
      </c>
      <c r="C533" s="105">
        <v>49679373</v>
      </c>
      <c r="D533" s="109"/>
      <c r="E533" s="104">
        <f t="shared" si="22"/>
        <v>0</v>
      </c>
    </row>
    <row r="534" spans="1:6">
      <c r="A534" t="s">
        <v>1568</v>
      </c>
      <c r="B534" s="13" t="s">
        <v>133</v>
      </c>
      <c r="C534" s="104">
        <v>49679373</v>
      </c>
      <c r="D534" s="96"/>
      <c r="E534" s="216">
        <f>C534</f>
        <v>49679373</v>
      </c>
      <c r="F534" s="249" t="s">
        <v>1570</v>
      </c>
    </row>
    <row r="535" spans="1:6">
      <c r="B535" s="1" t="s">
        <v>1754</v>
      </c>
      <c r="C535" s="105">
        <v>0.72</v>
      </c>
      <c r="D535" s="105">
        <v>10386061.880000001</v>
      </c>
      <c r="E535" s="104"/>
    </row>
    <row r="536" spans="1:6">
      <c r="A536" t="s">
        <v>1549</v>
      </c>
      <c r="B536" s="13" t="s">
        <v>1755</v>
      </c>
      <c r="C536" s="96"/>
      <c r="D536" s="104">
        <v>1160953.2</v>
      </c>
      <c r="E536" s="253">
        <f t="shared" si="22"/>
        <v>-1160953.2</v>
      </c>
    </row>
    <row r="537" spans="1:6">
      <c r="A537" t="s">
        <v>1549</v>
      </c>
      <c r="B537" s="13" t="s">
        <v>1756</v>
      </c>
      <c r="C537" s="96"/>
      <c r="D537" s="104">
        <v>873315.2</v>
      </c>
      <c r="E537" s="253">
        <f t="shared" si="22"/>
        <v>-873315.2</v>
      </c>
    </row>
    <row r="538" spans="1:6">
      <c r="A538" t="s">
        <v>1549</v>
      </c>
      <c r="B538" s="13" t="s">
        <v>1757</v>
      </c>
      <c r="C538" s="104">
        <v>0.36</v>
      </c>
      <c r="D538" s="96"/>
      <c r="E538" s="216">
        <f>C538</f>
        <v>0.36</v>
      </c>
    </row>
    <row r="539" spans="1:6">
      <c r="A539" t="s">
        <v>1549</v>
      </c>
      <c r="B539" s="13" t="s">
        <v>1758</v>
      </c>
      <c r="C539" s="104">
        <v>0.36</v>
      </c>
      <c r="D539" s="96"/>
      <c r="E539" s="216">
        <f>C539</f>
        <v>0.36</v>
      </c>
    </row>
    <row r="540" spans="1:6">
      <c r="A540" t="s">
        <v>1549</v>
      </c>
      <c r="B540" s="13" t="s">
        <v>1759</v>
      </c>
      <c r="C540" s="96"/>
      <c r="D540" s="104">
        <v>808260.46</v>
      </c>
      <c r="E540" s="253">
        <f t="shared" si="22"/>
        <v>-808260.46</v>
      </c>
    </row>
    <row r="541" spans="1:6">
      <c r="A541" t="s">
        <v>1549</v>
      </c>
      <c r="B541" s="13" t="s">
        <v>1760</v>
      </c>
      <c r="C541" s="96"/>
      <c r="D541" s="104">
        <v>536311.46</v>
      </c>
      <c r="E541" s="253">
        <f t="shared" si="22"/>
        <v>-536311.46</v>
      </c>
    </row>
    <row r="542" spans="1:6">
      <c r="A542" t="s">
        <v>1549</v>
      </c>
      <c r="B542" s="13" t="s">
        <v>1761</v>
      </c>
      <c r="C542" s="96"/>
      <c r="D542" s="104">
        <v>93967.14</v>
      </c>
      <c r="E542" s="253">
        <f t="shared" si="22"/>
        <v>-93967.14</v>
      </c>
    </row>
    <row r="543" spans="1:6">
      <c r="A543" t="s">
        <v>1549</v>
      </c>
      <c r="B543" s="13" t="s">
        <v>1762</v>
      </c>
      <c r="C543" s="96"/>
      <c r="D543" s="104">
        <v>70679.14</v>
      </c>
      <c r="E543" s="253">
        <f t="shared" si="22"/>
        <v>-70679.14</v>
      </c>
    </row>
    <row r="544" spans="1:6">
      <c r="A544" t="s">
        <v>1549</v>
      </c>
      <c r="B544" s="13" t="s">
        <v>1763</v>
      </c>
      <c r="C544" s="96"/>
      <c r="D544" s="104">
        <v>846891.25</v>
      </c>
      <c r="E544" s="253">
        <f t="shared" si="22"/>
        <v>-846891.25</v>
      </c>
    </row>
    <row r="545" spans="1:6">
      <c r="A545" t="s">
        <v>1549</v>
      </c>
      <c r="B545" s="13" t="s">
        <v>1764</v>
      </c>
      <c r="C545" s="96"/>
      <c r="D545" s="104">
        <v>747791.25</v>
      </c>
      <c r="E545" s="253">
        <f t="shared" si="22"/>
        <v>-747791.25</v>
      </c>
    </row>
    <row r="546" spans="1:6">
      <c r="A546" t="s">
        <v>1549</v>
      </c>
      <c r="B546" s="13" t="s">
        <v>1765</v>
      </c>
      <c r="C546" s="96"/>
      <c r="D546" s="104">
        <v>96416.14</v>
      </c>
      <c r="E546" s="253">
        <f t="shared" si="22"/>
        <v>-96416.14</v>
      </c>
    </row>
    <row r="547" spans="1:6">
      <c r="A547" t="s">
        <v>1549</v>
      </c>
      <c r="B547" s="13" t="s">
        <v>1766</v>
      </c>
      <c r="C547" s="96"/>
      <c r="D547" s="104">
        <v>96416.14</v>
      </c>
      <c r="E547" s="253">
        <f t="shared" si="22"/>
        <v>-96416.14</v>
      </c>
    </row>
    <row r="548" spans="1:6">
      <c r="A548" t="s">
        <v>1549</v>
      </c>
      <c r="B548" s="13" t="s">
        <v>1767</v>
      </c>
      <c r="C548" s="96"/>
      <c r="D548" s="104">
        <v>101250</v>
      </c>
      <c r="E548" s="253">
        <f t="shared" si="22"/>
        <v>-101250</v>
      </c>
    </row>
    <row r="549" spans="1:6">
      <c r="A549" t="s">
        <v>1549</v>
      </c>
      <c r="B549" s="13" t="s">
        <v>1768</v>
      </c>
      <c r="C549" s="96"/>
      <c r="D549" s="104">
        <v>101250</v>
      </c>
      <c r="E549" s="253">
        <f t="shared" si="22"/>
        <v>-101250</v>
      </c>
    </row>
    <row r="550" spans="1:6">
      <c r="A550" t="s">
        <v>1549</v>
      </c>
      <c r="B550" s="13" t="s">
        <v>1769</v>
      </c>
      <c r="C550" s="96"/>
      <c r="D550" s="104">
        <v>67069.710000000006</v>
      </c>
      <c r="E550" s="253">
        <f t="shared" si="22"/>
        <v>-67069.710000000006</v>
      </c>
    </row>
    <row r="551" spans="1:6">
      <c r="A551" t="s">
        <v>1549</v>
      </c>
      <c r="B551" s="13" t="s">
        <v>1770</v>
      </c>
      <c r="C551" s="96"/>
      <c r="D551" s="104">
        <v>67069.710000000006</v>
      </c>
      <c r="E551" s="253">
        <f t="shared" si="22"/>
        <v>-67069.710000000006</v>
      </c>
    </row>
    <row r="552" spans="1:6">
      <c r="A552" t="s">
        <v>1549</v>
      </c>
      <c r="B552" s="13" t="s">
        <v>1771</v>
      </c>
      <c r="C552" s="96"/>
      <c r="D552" s="104">
        <v>1353980.85</v>
      </c>
      <c r="E552" s="253">
        <f t="shared" si="22"/>
        <v>-1353980.85</v>
      </c>
    </row>
    <row r="553" spans="1:6">
      <c r="A553" t="s">
        <v>1549</v>
      </c>
      <c r="B553" s="13" t="s">
        <v>1772</v>
      </c>
      <c r="C553" s="96"/>
      <c r="D553" s="104">
        <v>1353980.85</v>
      </c>
      <c r="E553" s="253">
        <f t="shared" si="22"/>
        <v>-1353980.85</v>
      </c>
    </row>
    <row r="554" spans="1:6">
      <c r="A554" t="s">
        <v>1549</v>
      </c>
      <c r="B554" s="13" t="s">
        <v>1773</v>
      </c>
      <c r="C554" s="96"/>
      <c r="D554" s="104">
        <v>916819.69</v>
      </c>
      <c r="E554" s="253">
        <f t="shared" si="22"/>
        <v>-916819.69</v>
      </c>
    </row>
    <row r="555" spans="1:6">
      <c r="A555" t="s">
        <v>1549</v>
      </c>
      <c r="B555" s="13" t="s">
        <v>1774</v>
      </c>
      <c r="C555" s="96"/>
      <c r="D555" s="104">
        <v>790857.69</v>
      </c>
      <c r="E555" s="253">
        <f t="shared" si="22"/>
        <v>-790857.69</v>
      </c>
    </row>
    <row r="556" spans="1:6">
      <c r="A556" t="s">
        <v>1549</v>
      </c>
      <c r="B556" s="13" t="s">
        <v>1775</v>
      </c>
      <c r="C556" s="96"/>
      <c r="D556" s="104">
        <v>179765</v>
      </c>
      <c r="E556" s="253">
        <f t="shared" si="22"/>
        <v>-179765</v>
      </c>
    </row>
    <row r="557" spans="1:6">
      <c r="A557" t="s">
        <v>1549</v>
      </c>
      <c r="B557" s="13" t="s">
        <v>1776</v>
      </c>
      <c r="C557" s="96"/>
      <c r="D557" s="104">
        <v>123017</v>
      </c>
      <c r="E557" s="253">
        <f t="shared" si="22"/>
        <v>-123017</v>
      </c>
    </row>
    <row r="558" spans="1:6">
      <c r="B558" s="1" t="s">
        <v>134</v>
      </c>
      <c r="C558" s="105">
        <v>117150</v>
      </c>
      <c r="D558" s="109"/>
      <c r="E558" s="216">
        <f t="shared" si="22"/>
        <v>0</v>
      </c>
    </row>
    <row r="559" spans="1:6">
      <c r="A559" t="s">
        <v>1555</v>
      </c>
      <c r="B559" s="13" t="s">
        <v>135</v>
      </c>
      <c r="C559" s="104">
        <v>116150</v>
      </c>
      <c r="D559" s="96"/>
      <c r="E559" s="216">
        <f>C559</f>
        <v>116150</v>
      </c>
      <c r="F559" s="249" t="s">
        <v>1556</v>
      </c>
    </row>
    <row r="560" spans="1:6">
      <c r="A560" t="s">
        <v>1555</v>
      </c>
      <c r="B560" s="13" t="s">
        <v>136</v>
      </c>
      <c r="C560" s="104">
        <v>1000</v>
      </c>
      <c r="D560" s="96"/>
      <c r="E560" s="216">
        <f>C560</f>
        <v>1000</v>
      </c>
      <c r="F560" s="249" t="s">
        <v>1556</v>
      </c>
    </row>
    <row r="561" spans="1:6">
      <c r="B561" s="1" t="s">
        <v>137</v>
      </c>
      <c r="C561" s="105">
        <v>68780802.920000002</v>
      </c>
      <c r="D561" s="109"/>
      <c r="E561" s="104">
        <f t="shared" si="22"/>
        <v>0</v>
      </c>
    </row>
    <row r="562" spans="1:6">
      <c r="B562" s="14" t="s">
        <v>29</v>
      </c>
      <c r="C562" s="110">
        <v>51671812.670000002</v>
      </c>
      <c r="D562" s="111"/>
      <c r="E562" s="104">
        <f t="shared" si="22"/>
        <v>0</v>
      </c>
    </row>
    <row r="563" spans="1:6">
      <c r="A563" t="s">
        <v>1558</v>
      </c>
      <c r="B563" s="15" t="s">
        <v>894</v>
      </c>
      <c r="C563" s="112">
        <v>23000</v>
      </c>
      <c r="D563" s="95"/>
      <c r="E563" s="216">
        <f t="shared" ref="E563:E597" si="23">C563</f>
        <v>23000</v>
      </c>
      <c r="F563" s="249" t="s">
        <v>1559</v>
      </c>
    </row>
    <row r="564" spans="1:6">
      <c r="A564" t="s">
        <v>1558</v>
      </c>
      <c r="B564" s="15" t="s">
        <v>895</v>
      </c>
      <c r="C564" s="112">
        <v>6258</v>
      </c>
      <c r="D564" s="95"/>
      <c r="E564" s="216">
        <f t="shared" si="23"/>
        <v>6258</v>
      </c>
      <c r="F564" s="249" t="s">
        <v>1559</v>
      </c>
    </row>
    <row r="565" spans="1:6">
      <c r="A565" t="s">
        <v>1558</v>
      </c>
      <c r="B565" s="15" t="s">
        <v>896</v>
      </c>
      <c r="C565" s="112">
        <v>2852</v>
      </c>
      <c r="D565" s="95"/>
      <c r="E565" s="216">
        <f t="shared" si="23"/>
        <v>2852</v>
      </c>
      <c r="F565" s="249" t="s">
        <v>1559</v>
      </c>
    </row>
    <row r="566" spans="1:6">
      <c r="A566" t="s">
        <v>1558</v>
      </c>
      <c r="B566" s="15" t="s">
        <v>897</v>
      </c>
      <c r="C566" s="112">
        <v>3792</v>
      </c>
      <c r="D566" s="95"/>
      <c r="E566" s="216">
        <f t="shared" si="23"/>
        <v>3792</v>
      </c>
      <c r="F566" s="249" t="s">
        <v>1559</v>
      </c>
    </row>
    <row r="567" spans="1:6">
      <c r="A567" t="s">
        <v>1558</v>
      </c>
      <c r="B567" s="15" t="s">
        <v>898</v>
      </c>
      <c r="C567" s="112">
        <v>13000</v>
      </c>
      <c r="D567" s="95"/>
      <c r="E567" s="216">
        <f t="shared" si="23"/>
        <v>13000</v>
      </c>
      <c r="F567" s="249" t="s">
        <v>1559</v>
      </c>
    </row>
    <row r="568" spans="1:6">
      <c r="A568" t="s">
        <v>1558</v>
      </c>
      <c r="B568" s="15" t="s">
        <v>899</v>
      </c>
      <c r="C568" s="112">
        <v>35000</v>
      </c>
      <c r="D568" s="95"/>
      <c r="E568" s="216">
        <f t="shared" si="23"/>
        <v>35000</v>
      </c>
      <c r="F568" s="249" t="s">
        <v>1559</v>
      </c>
    </row>
    <row r="569" spans="1:6">
      <c r="A569" t="s">
        <v>1558</v>
      </c>
      <c r="B569" s="15" t="s">
        <v>900</v>
      </c>
      <c r="C569" s="112">
        <v>10000</v>
      </c>
      <c r="D569" s="95"/>
      <c r="E569" s="216">
        <f t="shared" si="23"/>
        <v>10000</v>
      </c>
      <c r="F569" s="249" t="s">
        <v>1559</v>
      </c>
    </row>
    <row r="570" spans="1:6">
      <c r="A570" t="s">
        <v>1558</v>
      </c>
      <c r="B570" s="17" t="s">
        <v>901</v>
      </c>
      <c r="C570" s="112">
        <v>130161</v>
      </c>
      <c r="D570" s="95"/>
      <c r="E570" s="216">
        <f t="shared" si="23"/>
        <v>130161</v>
      </c>
      <c r="F570" s="249" t="s">
        <v>1559</v>
      </c>
    </row>
    <row r="571" spans="1:6">
      <c r="A571" t="s">
        <v>1558</v>
      </c>
      <c r="B571" s="17" t="s">
        <v>902</v>
      </c>
      <c r="C571" s="112">
        <v>48314.43</v>
      </c>
      <c r="D571" s="95"/>
      <c r="E571" s="216">
        <f t="shared" si="23"/>
        <v>48314.43</v>
      </c>
      <c r="F571" s="249" t="s">
        <v>1559</v>
      </c>
    </row>
    <row r="572" spans="1:6">
      <c r="A572" t="s">
        <v>1558</v>
      </c>
      <c r="B572" s="15" t="s">
        <v>903</v>
      </c>
      <c r="C572" s="112">
        <v>56000</v>
      </c>
      <c r="D572" s="95"/>
      <c r="E572" s="216">
        <f t="shared" si="23"/>
        <v>56000</v>
      </c>
      <c r="F572" s="249" t="s">
        <v>1559</v>
      </c>
    </row>
    <row r="573" spans="1:6">
      <c r="A573" t="s">
        <v>1558</v>
      </c>
      <c r="B573" s="17" t="s">
        <v>904</v>
      </c>
      <c r="C573" s="112">
        <v>4781.92</v>
      </c>
      <c r="D573" s="95"/>
      <c r="E573" s="216">
        <f t="shared" si="23"/>
        <v>4781.92</v>
      </c>
      <c r="F573" s="249" t="s">
        <v>1559</v>
      </c>
    </row>
    <row r="574" spans="1:6">
      <c r="A574" t="s">
        <v>1558</v>
      </c>
      <c r="B574" s="17" t="s">
        <v>905</v>
      </c>
      <c r="C574" s="112">
        <v>20556</v>
      </c>
      <c r="D574" s="95"/>
      <c r="E574" s="216">
        <f t="shared" si="23"/>
        <v>20556</v>
      </c>
      <c r="F574" s="249" t="s">
        <v>1559</v>
      </c>
    </row>
    <row r="575" spans="1:6">
      <c r="A575" t="s">
        <v>1558</v>
      </c>
      <c r="B575" s="13" t="s">
        <v>906</v>
      </c>
      <c r="C575" s="112">
        <v>50835537.43</v>
      </c>
      <c r="D575" s="95"/>
      <c r="E575" s="216">
        <f t="shared" si="23"/>
        <v>50835537.43</v>
      </c>
      <c r="F575" s="249" t="s">
        <v>1559</v>
      </c>
    </row>
    <row r="576" spans="1:6">
      <c r="A576" t="s">
        <v>1558</v>
      </c>
      <c r="B576" s="15" t="s">
        <v>907</v>
      </c>
      <c r="C576" s="112">
        <v>149259.89000000001</v>
      </c>
      <c r="D576" s="95"/>
      <c r="E576" s="216">
        <f t="shared" si="23"/>
        <v>149259.89000000001</v>
      </c>
      <c r="F576" s="249" t="s">
        <v>1559</v>
      </c>
    </row>
    <row r="577" spans="1:6">
      <c r="A577" t="s">
        <v>1558</v>
      </c>
      <c r="B577" s="17" t="s">
        <v>908</v>
      </c>
      <c r="C577" s="112">
        <v>4000</v>
      </c>
      <c r="D577" s="95"/>
      <c r="E577" s="216">
        <f t="shared" si="23"/>
        <v>4000</v>
      </c>
      <c r="F577" s="249" t="s">
        <v>1559</v>
      </c>
    </row>
    <row r="578" spans="1:6">
      <c r="A578" t="s">
        <v>1558</v>
      </c>
      <c r="B578" s="15" t="s">
        <v>909</v>
      </c>
      <c r="C578" s="112">
        <v>176124</v>
      </c>
      <c r="D578" s="95"/>
      <c r="E578" s="216">
        <f t="shared" si="23"/>
        <v>176124</v>
      </c>
      <c r="F578" s="249" t="s">
        <v>1559</v>
      </c>
    </row>
    <row r="579" spans="1:6">
      <c r="A579" t="s">
        <v>1558</v>
      </c>
      <c r="B579" s="15" t="s">
        <v>910</v>
      </c>
      <c r="C579" s="112">
        <v>145476</v>
      </c>
      <c r="D579" s="95"/>
      <c r="E579" s="216">
        <f t="shared" si="23"/>
        <v>145476</v>
      </c>
      <c r="F579" s="249" t="s">
        <v>1559</v>
      </c>
    </row>
    <row r="580" spans="1:6">
      <c r="A580" t="s">
        <v>1558</v>
      </c>
      <c r="B580" s="17" t="s">
        <v>911</v>
      </c>
      <c r="C580" s="112">
        <v>7700</v>
      </c>
      <c r="D580" s="95"/>
      <c r="E580" s="216">
        <f t="shared" si="23"/>
        <v>7700</v>
      </c>
      <c r="F580" s="249" t="s">
        <v>1559</v>
      </c>
    </row>
    <row r="581" spans="1:6">
      <c r="A581" t="s">
        <v>1577</v>
      </c>
      <c r="B581" s="14" t="s">
        <v>138</v>
      </c>
      <c r="C581" s="112">
        <v>7324216.9000000004</v>
      </c>
      <c r="D581" s="95"/>
      <c r="E581" s="216">
        <f t="shared" si="23"/>
        <v>7324216.9000000004</v>
      </c>
      <c r="F581" s="249" t="s">
        <v>1578</v>
      </c>
    </row>
    <row r="582" spans="1:6">
      <c r="A582" t="s">
        <v>1579</v>
      </c>
      <c r="B582" s="13" t="s">
        <v>139</v>
      </c>
      <c r="C582" s="104">
        <v>6720750</v>
      </c>
      <c r="D582" s="96"/>
      <c r="E582" s="216">
        <f t="shared" si="23"/>
        <v>6720750</v>
      </c>
      <c r="F582" s="249" t="s">
        <v>1580</v>
      </c>
    </row>
    <row r="583" spans="1:6">
      <c r="A583" t="s">
        <v>1558</v>
      </c>
      <c r="B583" s="13" t="s">
        <v>140</v>
      </c>
      <c r="C583" s="104">
        <v>40000</v>
      </c>
      <c r="D583" s="96"/>
      <c r="E583" s="216">
        <f t="shared" si="23"/>
        <v>40000</v>
      </c>
      <c r="F583" s="249" t="s">
        <v>1559</v>
      </c>
    </row>
    <row r="584" spans="1:6">
      <c r="A584" t="s">
        <v>1558</v>
      </c>
      <c r="B584" s="13" t="s">
        <v>923</v>
      </c>
      <c r="C584" s="104">
        <v>48000</v>
      </c>
      <c r="D584" s="96"/>
      <c r="E584" s="216">
        <f t="shared" si="23"/>
        <v>48000</v>
      </c>
      <c r="F584" s="249" t="s">
        <v>1559</v>
      </c>
    </row>
    <row r="585" spans="1:6">
      <c r="A585" t="s">
        <v>1558</v>
      </c>
      <c r="B585" s="13" t="s">
        <v>142</v>
      </c>
      <c r="C585" s="104">
        <v>9530</v>
      </c>
      <c r="D585" s="96"/>
      <c r="E585" s="216">
        <f t="shared" si="23"/>
        <v>9530</v>
      </c>
      <c r="F585" s="249" t="s">
        <v>1559</v>
      </c>
    </row>
    <row r="586" spans="1:6">
      <c r="A586" t="s">
        <v>1558</v>
      </c>
      <c r="B586" s="13" t="s">
        <v>143</v>
      </c>
      <c r="C586" s="104">
        <v>445600</v>
      </c>
      <c r="D586" s="96"/>
      <c r="E586" s="216">
        <f t="shared" si="23"/>
        <v>445600</v>
      </c>
      <c r="F586" s="249" t="s">
        <v>1559</v>
      </c>
    </row>
    <row r="587" spans="1:6">
      <c r="A587" t="s">
        <v>1558</v>
      </c>
      <c r="B587" s="13" t="s">
        <v>144</v>
      </c>
      <c r="C587" s="104">
        <v>5500</v>
      </c>
      <c r="D587" s="96"/>
      <c r="E587" s="216">
        <f t="shared" si="23"/>
        <v>5500</v>
      </c>
      <c r="F587" s="249" t="s">
        <v>1559</v>
      </c>
    </row>
    <row r="588" spans="1:6">
      <c r="A588" t="s">
        <v>1558</v>
      </c>
      <c r="B588" s="13" t="s">
        <v>145</v>
      </c>
      <c r="C588" s="104">
        <v>294213</v>
      </c>
      <c r="D588" s="96"/>
      <c r="E588" s="216">
        <f t="shared" si="23"/>
        <v>294213</v>
      </c>
      <c r="F588" s="249" t="s">
        <v>1559</v>
      </c>
    </row>
    <row r="589" spans="1:6">
      <c r="A589" t="s">
        <v>1558</v>
      </c>
      <c r="B589" s="13" t="s">
        <v>146</v>
      </c>
      <c r="C589" s="104">
        <v>13150</v>
      </c>
      <c r="D589" s="96"/>
      <c r="E589" s="216">
        <f t="shared" si="23"/>
        <v>13150</v>
      </c>
      <c r="F589" s="249" t="s">
        <v>1559</v>
      </c>
    </row>
    <row r="590" spans="1:6">
      <c r="A590" t="s">
        <v>1558</v>
      </c>
      <c r="B590" s="13" t="s">
        <v>147</v>
      </c>
      <c r="C590" s="104">
        <v>424087</v>
      </c>
      <c r="D590" s="96"/>
      <c r="E590" s="216">
        <f t="shared" si="23"/>
        <v>424087</v>
      </c>
      <c r="F590" s="249" t="s">
        <v>1559</v>
      </c>
    </row>
    <row r="591" spans="1:6">
      <c r="A591" t="s">
        <v>1558</v>
      </c>
      <c r="B591" s="13" t="s">
        <v>148</v>
      </c>
      <c r="C591" s="104">
        <v>279287.34999999998</v>
      </c>
      <c r="D591" s="96"/>
      <c r="E591" s="216">
        <f t="shared" si="23"/>
        <v>279287.34999999998</v>
      </c>
      <c r="F591" s="249" t="s">
        <v>1559</v>
      </c>
    </row>
    <row r="592" spans="1:6">
      <c r="A592" t="s">
        <v>1571</v>
      </c>
      <c r="B592" s="13" t="s">
        <v>149</v>
      </c>
      <c r="C592" s="104">
        <v>132959</v>
      </c>
      <c r="D592" s="96"/>
      <c r="E592" s="216">
        <f t="shared" si="23"/>
        <v>132959</v>
      </c>
      <c r="F592" s="249" t="s">
        <v>1572</v>
      </c>
    </row>
    <row r="593" spans="1:6">
      <c r="A593" t="s">
        <v>1558</v>
      </c>
      <c r="B593" s="13" t="s">
        <v>150</v>
      </c>
      <c r="C593" s="104">
        <v>28582</v>
      </c>
      <c r="D593" s="96"/>
      <c r="E593" s="216">
        <f t="shared" si="23"/>
        <v>28582</v>
      </c>
      <c r="F593" s="249" t="s">
        <v>1559</v>
      </c>
    </row>
    <row r="594" spans="1:6">
      <c r="A594" t="s">
        <v>1558</v>
      </c>
      <c r="B594" s="13" t="s">
        <v>141</v>
      </c>
      <c r="C594" s="104">
        <v>1368115</v>
      </c>
      <c r="D594" s="96"/>
      <c r="E594" s="216">
        <f t="shared" si="23"/>
        <v>1368115</v>
      </c>
      <c r="F594" s="249" t="s">
        <v>1559</v>
      </c>
    </row>
    <row r="595" spans="1:6">
      <c r="B595" s="1" t="s">
        <v>151</v>
      </c>
      <c r="C595" s="105">
        <v>96538471</v>
      </c>
      <c r="D595" s="105">
        <v>289820390.06</v>
      </c>
      <c r="E595" s="104"/>
    </row>
    <row r="596" spans="1:6">
      <c r="B596" s="13" t="s">
        <v>152</v>
      </c>
      <c r="C596" s="104">
        <v>82195790</v>
      </c>
      <c r="D596" s="96"/>
      <c r="E596" s="104">
        <f t="shared" si="23"/>
        <v>82195790</v>
      </c>
    </row>
    <row r="597" spans="1:6">
      <c r="B597" s="13" t="s">
        <v>153</v>
      </c>
      <c r="C597" s="104">
        <v>14342681</v>
      </c>
      <c r="D597" s="96"/>
      <c r="E597" s="104">
        <f t="shared" si="23"/>
        <v>14342681</v>
      </c>
    </row>
    <row r="598" spans="1:6">
      <c r="B598" s="13" t="s">
        <v>154</v>
      </c>
      <c r="C598" s="96"/>
      <c r="D598" s="104">
        <v>44374031.420000002</v>
      </c>
      <c r="E598" s="251">
        <f>-D598</f>
        <v>-44374031.420000002</v>
      </c>
    </row>
    <row r="599" spans="1:6">
      <c r="B599" s="13" t="s">
        <v>155</v>
      </c>
      <c r="C599" s="96"/>
      <c r="D599" s="104">
        <v>245446358.63999999</v>
      </c>
      <c r="E599" s="251">
        <f>-D599</f>
        <v>-245446358.63999999</v>
      </c>
    </row>
    <row r="600" spans="1:6">
      <c r="B600" s="1" t="s">
        <v>156</v>
      </c>
      <c r="C600" s="109"/>
      <c r="D600" s="105">
        <v>150000</v>
      </c>
      <c r="E600" s="104"/>
    </row>
    <row r="601" spans="1:6">
      <c r="A601" t="s">
        <v>1545</v>
      </c>
      <c r="B601" s="14" t="s">
        <v>157</v>
      </c>
      <c r="C601" s="95"/>
      <c r="D601" s="112">
        <v>150000</v>
      </c>
      <c r="E601" s="253">
        <f>-D601</f>
        <v>-150000</v>
      </c>
      <c r="F601" s="249" t="s">
        <v>1856</v>
      </c>
    </row>
    <row r="602" spans="1:6">
      <c r="B602" s="1" t="s">
        <v>158</v>
      </c>
      <c r="C602" s="105">
        <v>2632364.65</v>
      </c>
      <c r="D602" s="109"/>
      <c r="E602" s="104"/>
    </row>
    <row r="603" spans="1:6">
      <c r="B603" s="16" t="s">
        <v>158</v>
      </c>
      <c r="C603" s="104">
        <v>2632364.65</v>
      </c>
      <c r="D603" s="96"/>
      <c r="E603" s="216">
        <f>C603</f>
        <v>2632364.65</v>
      </c>
    </row>
    <row r="604" spans="1:6">
      <c r="B604" s="1" t="s">
        <v>159</v>
      </c>
      <c r="C604" s="105">
        <v>15000000</v>
      </c>
      <c r="D604" s="109"/>
      <c r="E604" s="104">
        <f>-D604</f>
        <v>0</v>
      </c>
    </row>
    <row r="605" spans="1:6">
      <c r="B605" s="13" t="s">
        <v>1223</v>
      </c>
      <c r="C605" s="104">
        <v>15000000</v>
      </c>
      <c r="D605" s="96"/>
      <c r="E605" s="216">
        <f>C605</f>
        <v>15000000</v>
      </c>
    </row>
    <row r="606" spans="1:6">
      <c r="B606" s="1" t="s">
        <v>160</v>
      </c>
      <c r="C606" s="105">
        <v>109654806.31</v>
      </c>
      <c r="D606" s="105">
        <v>2560</v>
      </c>
      <c r="E606" s="251"/>
    </row>
    <row r="607" spans="1:6">
      <c r="B607" s="14" t="s">
        <v>161</v>
      </c>
      <c r="C607" s="110">
        <v>79578306</v>
      </c>
      <c r="D607" s="111"/>
      <c r="E607" s="104">
        <f>-D607</f>
        <v>0</v>
      </c>
    </row>
    <row r="608" spans="1:6">
      <c r="A608" t="s">
        <v>161</v>
      </c>
      <c r="B608" s="17" t="s">
        <v>892</v>
      </c>
      <c r="C608" s="112">
        <v>298706</v>
      </c>
      <c r="D608" s="95"/>
      <c r="E608" s="216">
        <f t="shared" ref="E608:E628" si="24">C608</f>
        <v>298706</v>
      </c>
      <c r="F608" s="249" t="s">
        <v>1591</v>
      </c>
    </row>
    <row r="609" spans="1:6">
      <c r="A609" t="s">
        <v>161</v>
      </c>
      <c r="B609" s="15" t="s">
        <v>1097</v>
      </c>
      <c r="C609" s="112">
        <v>17825</v>
      </c>
      <c r="D609" s="95"/>
      <c r="E609" s="216">
        <f t="shared" si="24"/>
        <v>17825</v>
      </c>
      <c r="F609" s="249" t="s">
        <v>1591</v>
      </c>
    </row>
    <row r="610" spans="1:6">
      <c r="A610" t="s">
        <v>161</v>
      </c>
      <c r="B610" s="17" t="s">
        <v>163</v>
      </c>
      <c r="C610" s="112">
        <v>21600</v>
      </c>
      <c r="D610" s="95"/>
      <c r="E610" s="216">
        <f t="shared" si="24"/>
        <v>21600</v>
      </c>
      <c r="F610" s="249" t="s">
        <v>1591</v>
      </c>
    </row>
    <row r="611" spans="1:6">
      <c r="A611" t="s">
        <v>161</v>
      </c>
      <c r="B611" s="17" t="s">
        <v>164</v>
      </c>
      <c r="C611" s="112">
        <v>24495</v>
      </c>
      <c r="D611" s="95"/>
      <c r="E611" s="216">
        <f t="shared" si="24"/>
        <v>24495</v>
      </c>
      <c r="F611" s="249" t="s">
        <v>1591</v>
      </c>
    </row>
    <row r="612" spans="1:6">
      <c r="A612" t="s">
        <v>161</v>
      </c>
      <c r="B612" s="15" t="s">
        <v>167</v>
      </c>
      <c r="C612" s="112">
        <v>39213</v>
      </c>
      <c r="D612" s="95"/>
      <c r="E612" s="216">
        <f t="shared" si="24"/>
        <v>39213</v>
      </c>
      <c r="F612" s="249" t="s">
        <v>1591</v>
      </c>
    </row>
    <row r="613" spans="1:6">
      <c r="A613" t="s">
        <v>161</v>
      </c>
      <c r="B613" s="15" t="s">
        <v>168</v>
      </c>
      <c r="C613" s="112">
        <v>453724</v>
      </c>
      <c r="D613" s="95"/>
      <c r="E613" s="216">
        <f t="shared" si="24"/>
        <v>453724</v>
      </c>
      <c r="F613" s="249" t="s">
        <v>1591</v>
      </c>
    </row>
    <row r="614" spans="1:6">
      <c r="A614" t="s">
        <v>161</v>
      </c>
      <c r="B614" s="15" t="s">
        <v>169</v>
      </c>
      <c r="C614" s="112">
        <v>9350337</v>
      </c>
      <c r="D614" s="95"/>
      <c r="E614" s="216">
        <f t="shared" si="24"/>
        <v>9350337</v>
      </c>
      <c r="F614" s="249" t="s">
        <v>1591</v>
      </c>
    </row>
    <row r="615" spans="1:6">
      <c r="A615" t="s">
        <v>161</v>
      </c>
      <c r="B615" s="15" t="s">
        <v>205</v>
      </c>
      <c r="C615" s="112">
        <v>1636324</v>
      </c>
      <c r="D615" s="95"/>
      <c r="E615" s="216">
        <f t="shared" si="24"/>
        <v>1636324</v>
      </c>
      <c r="F615" s="249" t="s">
        <v>1591</v>
      </c>
    </row>
    <row r="616" spans="1:6">
      <c r="A616" t="s">
        <v>161</v>
      </c>
      <c r="B616" s="15" t="s">
        <v>170</v>
      </c>
      <c r="C616" s="112">
        <v>7594747</v>
      </c>
      <c r="D616" s="95"/>
      <c r="E616" s="216">
        <f t="shared" si="24"/>
        <v>7594747</v>
      </c>
      <c r="F616" s="249" t="s">
        <v>1591</v>
      </c>
    </row>
    <row r="617" spans="1:6">
      <c r="A617" t="s">
        <v>161</v>
      </c>
      <c r="B617" s="15" t="s">
        <v>1317</v>
      </c>
      <c r="C617" s="112">
        <v>6873622</v>
      </c>
      <c r="D617" s="95"/>
      <c r="E617" s="216">
        <f t="shared" si="24"/>
        <v>6873622</v>
      </c>
      <c r="F617" s="249" t="s">
        <v>1591</v>
      </c>
    </row>
    <row r="618" spans="1:6">
      <c r="A618" t="s">
        <v>161</v>
      </c>
      <c r="B618" s="15" t="s">
        <v>173</v>
      </c>
      <c r="C618" s="112">
        <v>1815506</v>
      </c>
      <c r="D618" s="95"/>
      <c r="E618" s="216">
        <f t="shared" si="24"/>
        <v>1815506</v>
      </c>
      <c r="F618" s="249" t="s">
        <v>1591</v>
      </c>
    </row>
    <row r="619" spans="1:6">
      <c r="A619" t="s">
        <v>161</v>
      </c>
      <c r="B619" s="15" t="s">
        <v>174</v>
      </c>
      <c r="C619" s="112">
        <v>7161953</v>
      </c>
      <c r="D619" s="95"/>
      <c r="E619" s="216">
        <f t="shared" si="24"/>
        <v>7161953</v>
      </c>
      <c r="F619" s="249" t="s">
        <v>1591</v>
      </c>
    </row>
    <row r="620" spans="1:6">
      <c r="A620" t="s">
        <v>161</v>
      </c>
      <c r="B620" s="15" t="s">
        <v>1318</v>
      </c>
      <c r="C620" s="112">
        <v>1170230</v>
      </c>
      <c r="D620" s="95"/>
      <c r="E620" s="216">
        <f t="shared" si="24"/>
        <v>1170230</v>
      </c>
      <c r="F620" s="249" t="s">
        <v>1591</v>
      </c>
    </row>
    <row r="621" spans="1:6">
      <c r="A621" t="s">
        <v>161</v>
      </c>
      <c r="B621" s="17" t="s">
        <v>1319</v>
      </c>
      <c r="C621" s="112">
        <v>973115</v>
      </c>
      <c r="D621" s="95"/>
      <c r="E621" s="216">
        <f t="shared" si="24"/>
        <v>973115</v>
      </c>
      <c r="F621" s="249" t="s">
        <v>1591</v>
      </c>
    </row>
    <row r="622" spans="1:6">
      <c r="A622" t="s">
        <v>161</v>
      </c>
      <c r="B622" s="17" t="s">
        <v>1320</v>
      </c>
      <c r="C622" s="112">
        <v>889222</v>
      </c>
      <c r="D622" s="95"/>
      <c r="E622" s="216">
        <f t="shared" si="24"/>
        <v>889222</v>
      </c>
      <c r="F622" s="249" t="s">
        <v>1591</v>
      </c>
    </row>
    <row r="623" spans="1:6">
      <c r="A623" t="s">
        <v>161</v>
      </c>
      <c r="B623" s="15" t="s">
        <v>175</v>
      </c>
      <c r="C623" s="112">
        <v>7128276</v>
      </c>
      <c r="D623" s="95"/>
      <c r="E623" s="216">
        <f t="shared" si="24"/>
        <v>7128276</v>
      </c>
      <c r="F623" s="249" t="s">
        <v>1591</v>
      </c>
    </row>
    <row r="624" spans="1:6">
      <c r="A624" t="s">
        <v>161</v>
      </c>
      <c r="B624" s="17" t="s">
        <v>1321</v>
      </c>
      <c r="C624" s="112">
        <v>25256042</v>
      </c>
      <c r="D624" s="95"/>
      <c r="E624" s="216">
        <f t="shared" si="24"/>
        <v>25256042</v>
      </c>
      <c r="F624" s="249" t="s">
        <v>1591</v>
      </c>
    </row>
    <row r="625" spans="1:6">
      <c r="A625" t="s">
        <v>161</v>
      </c>
      <c r="B625" s="17" t="s">
        <v>176</v>
      </c>
      <c r="C625" s="112">
        <v>3839655</v>
      </c>
      <c r="D625" s="95"/>
      <c r="E625" s="216">
        <f t="shared" si="24"/>
        <v>3839655</v>
      </c>
      <c r="F625" s="249" t="s">
        <v>1591</v>
      </c>
    </row>
    <row r="626" spans="1:6">
      <c r="A626" t="s">
        <v>161</v>
      </c>
      <c r="B626" s="17" t="s">
        <v>177</v>
      </c>
      <c r="C626" s="112">
        <v>3849934</v>
      </c>
      <c r="D626" s="95"/>
      <c r="E626" s="216">
        <f t="shared" si="24"/>
        <v>3849934</v>
      </c>
      <c r="F626" s="249" t="s">
        <v>1591</v>
      </c>
    </row>
    <row r="627" spans="1:6">
      <c r="A627" t="s">
        <v>161</v>
      </c>
      <c r="B627" s="17" t="s">
        <v>1322</v>
      </c>
      <c r="C627" s="112">
        <v>1242080</v>
      </c>
      <c r="D627" s="95"/>
      <c r="E627" s="216">
        <f t="shared" si="24"/>
        <v>1242080</v>
      </c>
      <c r="F627" s="249" t="s">
        <v>1591</v>
      </c>
    </row>
    <row r="628" spans="1:6">
      <c r="A628" t="s">
        <v>161</v>
      </c>
      <c r="B628" s="17" t="s">
        <v>165</v>
      </c>
      <c r="C628" s="112">
        <v>128700</v>
      </c>
      <c r="D628" s="95"/>
      <c r="E628" s="216">
        <f t="shared" si="24"/>
        <v>128700</v>
      </c>
      <c r="F628" s="249" t="s">
        <v>1591</v>
      </c>
    </row>
    <row r="629" spans="1:6">
      <c r="B629" s="118" t="s">
        <v>178</v>
      </c>
      <c r="C629" s="105">
        <v>30022884.309999999</v>
      </c>
      <c r="D629" s="105">
        <v>2560</v>
      </c>
      <c r="E629" s="104"/>
    </row>
    <row r="630" spans="1:6">
      <c r="A630" t="s">
        <v>1592</v>
      </c>
      <c r="B630" s="13" t="s">
        <v>179</v>
      </c>
      <c r="C630" s="112">
        <v>273203</v>
      </c>
      <c r="D630" s="95"/>
      <c r="E630" s="216">
        <f t="shared" ref="E630:E636" si="25">C630</f>
        <v>273203</v>
      </c>
      <c r="F630" s="249" t="s">
        <v>1593</v>
      </c>
    </row>
    <row r="631" spans="1:6">
      <c r="A631" t="s">
        <v>1592</v>
      </c>
      <c r="B631" s="15" t="s">
        <v>180</v>
      </c>
      <c r="C631" s="112">
        <v>2448147.7999999998</v>
      </c>
      <c r="D631" s="95"/>
      <c r="E631" s="216">
        <f t="shared" si="25"/>
        <v>2448147.7999999998</v>
      </c>
      <c r="F631" s="249" t="s">
        <v>1593</v>
      </c>
    </row>
    <row r="632" spans="1:6">
      <c r="A632" t="s">
        <v>1592</v>
      </c>
      <c r="B632" s="17" t="s">
        <v>181</v>
      </c>
      <c r="C632" s="112">
        <v>3348779</v>
      </c>
      <c r="D632" s="95"/>
      <c r="E632" s="216">
        <f t="shared" si="25"/>
        <v>3348779</v>
      </c>
      <c r="F632" s="249" t="s">
        <v>1593</v>
      </c>
    </row>
    <row r="633" spans="1:6">
      <c r="A633" t="s">
        <v>1592</v>
      </c>
      <c r="B633" s="15" t="s">
        <v>188</v>
      </c>
      <c r="C633" s="112">
        <v>78613</v>
      </c>
      <c r="D633" s="95"/>
      <c r="E633" s="216">
        <f t="shared" si="25"/>
        <v>78613</v>
      </c>
      <c r="F633" s="249" t="s">
        <v>1593</v>
      </c>
    </row>
    <row r="634" spans="1:6">
      <c r="A634" t="s">
        <v>1592</v>
      </c>
      <c r="B634" s="17" t="s">
        <v>182</v>
      </c>
      <c r="C634" s="112">
        <v>1527</v>
      </c>
      <c r="D634" s="95"/>
      <c r="E634" s="216">
        <f t="shared" si="25"/>
        <v>1527</v>
      </c>
      <c r="F634" s="249" t="s">
        <v>1593</v>
      </c>
    </row>
    <row r="635" spans="1:6">
      <c r="A635" t="s">
        <v>1592</v>
      </c>
      <c r="B635" s="15" t="s">
        <v>1306</v>
      </c>
      <c r="C635" s="112">
        <v>56600</v>
      </c>
      <c r="D635" s="95"/>
      <c r="E635" s="216">
        <f t="shared" si="25"/>
        <v>56600</v>
      </c>
      <c r="F635" s="249" t="s">
        <v>1593</v>
      </c>
    </row>
    <row r="636" spans="1:6">
      <c r="A636" t="s">
        <v>1592</v>
      </c>
      <c r="B636" s="15" t="s">
        <v>1847</v>
      </c>
      <c r="C636" s="112">
        <v>2400</v>
      </c>
      <c r="D636" s="95"/>
      <c r="E636" s="216">
        <f t="shared" si="25"/>
        <v>2400</v>
      </c>
      <c r="F636" s="249" t="s">
        <v>1593</v>
      </c>
    </row>
    <row r="637" spans="1:6">
      <c r="A637" t="s">
        <v>1592</v>
      </c>
      <c r="B637" s="15" t="s">
        <v>183</v>
      </c>
      <c r="C637" s="95"/>
      <c r="D637" s="112">
        <v>2560</v>
      </c>
      <c r="E637" s="216">
        <f>-D637</f>
        <v>-2560</v>
      </c>
      <c r="F637" s="249" t="s">
        <v>1593</v>
      </c>
    </row>
    <row r="638" spans="1:6">
      <c r="A638" t="s">
        <v>1592</v>
      </c>
      <c r="B638" s="17" t="s">
        <v>184</v>
      </c>
      <c r="C638" s="112">
        <v>350165.88</v>
      </c>
      <c r="D638" s="95"/>
      <c r="E638" s="216">
        <f t="shared" ref="E638:E651" si="26">C638</f>
        <v>350165.88</v>
      </c>
      <c r="F638" s="249" t="s">
        <v>1593</v>
      </c>
    </row>
    <row r="639" spans="1:6">
      <c r="A639" t="s">
        <v>1592</v>
      </c>
      <c r="B639" s="15" t="s">
        <v>185</v>
      </c>
      <c r="C639" s="112">
        <v>8200</v>
      </c>
      <c r="D639" s="95"/>
      <c r="E639" s="216">
        <f t="shared" si="26"/>
        <v>8200</v>
      </c>
      <c r="F639" s="249" t="s">
        <v>1593</v>
      </c>
    </row>
    <row r="640" spans="1:6">
      <c r="A640" t="s">
        <v>1592</v>
      </c>
      <c r="B640" s="15" t="s">
        <v>186</v>
      </c>
      <c r="C640" s="112">
        <v>6421174</v>
      </c>
      <c r="D640" s="95"/>
      <c r="E640" s="216">
        <f t="shared" si="26"/>
        <v>6421174</v>
      </c>
      <c r="F640" s="249" t="s">
        <v>1593</v>
      </c>
    </row>
    <row r="641" spans="1:6">
      <c r="A641" t="s">
        <v>1592</v>
      </c>
      <c r="B641" s="15" t="s">
        <v>1848</v>
      </c>
      <c r="C641" s="112">
        <v>17000</v>
      </c>
      <c r="D641" s="95"/>
      <c r="E641" s="216">
        <f t="shared" si="26"/>
        <v>17000</v>
      </c>
      <c r="F641" s="249" t="s">
        <v>1593</v>
      </c>
    </row>
    <row r="642" spans="1:6">
      <c r="A642" t="s">
        <v>1596</v>
      </c>
      <c r="B642" s="17" t="s">
        <v>187</v>
      </c>
      <c r="C642" s="112">
        <v>1979493.88</v>
      </c>
      <c r="D642" s="95"/>
      <c r="E642" s="216">
        <f t="shared" si="26"/>
        <v>1979493.88</v>
      </c>
      <c r="F642" s="249" t="s">
        <v>1597</v>
      </c>
    </row>
    <row r="643" spans="1:6">
      <c r="A643" t="s">
        <v>1592</v>
      </c>
      <c r="B643" s="15" t="s">
        <v>1307</v>
      </c>
      <c r="C643" s="112">
        <v>1109984</v>
      </c>
      <c r="D643" s="95"/>
      <c r="E643" s="216">
        <f t="shared" si="26"/>
        <v>1109984</v>
      </c>
      <c r="F643" s="249" t="s">
        <v>1593</v>
      </c>
    </row>
    <row r="644" spans="1:6">
      <c r="A644" t="s">
        <v>1592</v>
      </c>
      <c r="B644" s="15" t="s">
        <v>1308</v>
      </c>
      <c r="C644" s="112">
        <v>1072591</v>
      </c>
      <c r="D644" s="95"/>
      <c r="E644" s="216">
        <f t="shared" si="26"/>
        <v>1072591</v>
      </c>
      <c r="F644" s="249" t="s">
        <v>1593</v>
      </c>
    </row>
    <row r="645" spans="1:6">
      <c r="A645" t="s">
        <v>1592</v>
      </c>
      <c r="B645" s="15" t="s">
        <v>1309</v>
      </c>
      <c r="C645" s="112">
        <v>383710</v>
      </c>
      <c r="D645" s="95"/>
      <c r="E645" s="216">
        <f t="shared" si="26"/>
        <v>383710</v>
      </c>
      <c r="F645" s="249" t="s">
        <v>1593</v>
      </c>
    </row>
    <row r="646" spans="1:6">
      <c r="A646" t="s">
        <v>1592</v>
      </c>
      <c r="B646" s="15" t="s">
        <v>1310</v>
      </c>
      <c r="C646" s="112">
        <v>1925012</v>
      </c>
      <c r="D646" s="95"/>
      <c r="E646" s="216">
        <f t="shared" si="26"/>
        <v>1925012</v>
      </c>
      <c r="F646" s="249" t="s">
        <v>1593</v>
      </c>
    </row>
    <row r="647" spans="1:6">
      <c r="A647" t="s">
        <v>1592</v>
      </c>
      <c r="B647" s="17" t="s">
        <v>1311</v>
      </c>
      <c r="C647" s="112">
        <v>1405112</v>
      </c>
      <c r="D647" s="95"/>
      <c r="E647" s="216">
        <f t="shared" si="26"/>
        <v>1405112</v>
      </c>
      <c r="F647" s="249" t="s">
        <v>1593</v>
      </c>
    </row>
    <row r="648" spans="1:6">
      <c r="A648" t="s">
        <v>1592</v>
      </c>
      <c r="B648" s="15" t="s">
        <v>1312</v>
      </c>
      <c r="C648" s="112">
        <v>3661573.6</v>
      </c>
      <c r="D648" s="95"/>
      <c r="E648" s="216">
        <f t="shared" si="26"/>
        <v>3661573.6</v>
      </c>
      <c r="F648" s="249" t="s">
        <v>1593</v>
      </c>
    </row>
    <row r="649" spans="1:6">
      <c r="A649" t="s">
        <v>1592</v>
      </c>
      <c r="B649" s="15" t="s">
        <v>1313</v>
      </c>
      <c r="C649" s="112">
        <v>1222516</v>
      </c>
      <c r="D649" s="95"/>
      <c r="E649" s="216">
        <f t="shared" si="26"/>
        <v>1222516</v>
      </c>
      <c r="F649" s="249" t="s">
        <v>1593</v>
      </c>
    </row>
    <row r="650" spans="1:6">
      <c r="A650" t="s">
        <v>1592</v>
      </c>
      <c r="B650" s="15" t="s">
        <v>1314</v>
      </c>
      <c r="C650" s="112">
        <v>4070082.15</v>
      </c>
      <c r="D650" s="95"/>
      <c r="E650" s="216">
        <f t="shared" si="26"/>
        <v>4070082.15</v>
      </c>
      <c r="F650" s="249" t="s">
        <v>1593</v>
      </c>
    </row>
    <row r="651" spans="1:6">
      <c r="A651" t="s">
        <v>1592</v>
      </c>
      <c r="B651" s="13" t="s">
        <v>1539</v>
      </c>
      <c r="C651" s="104">
        <v>53616</v>
      </c>
      <c r="D651" s="96"/>
      <c r="E651" s="216">
        <f t="shared" si="26"/>
        <v>53616</v>
      </c>
      <c r="F651" s="249" t="s">
        <v>1593</v>
      </c>
    </row>
    <row r="652" spans="1:6">
      <c r="B652" s="1" t="s">
        <v>189</v>
      </c>
      <c r="C652" s="109"/>
      <c r="D652" s="105">
        <v>5297763</v>
      </c>
      <c r="E652" s="104"/>
    </row>
    <row r="653" spans="1:6">
      <c r="A653" t="s">
        <v>1585</v>
      </c>
      <c r="B653" s="13" t="s">
        <v>190</v>
      </c>
      <c r="C653" s="96"/>
      <c r="D653" s="104">
        <v>5050263</v>
      </c>
      <c r="E653" s="253">
        <f>-D653</f>
        <v>-5050263</v>
      </c>
      <c r="F653" s="249" t="s">
        <v>1588</v>
      </c>
    </row>
    <row r="654" spans="1:6">
      <c r="A654" t="s">
        <v>1586</v>
      </c>
      <c r="B654" s="13" t="s">
        <v>191</v>
      </c>
      <c r="C654" s="96"/>
      <c r="D654" s="104">
        <v>247500</v>
      </c>
      <c r="E654" s="253">
        <f>-D654</f>
        <v>-247500</v>
      </c>
      <c r="F654" s="249" t="s">
        <v>1587</v>
      </c>
    </row>
    <row r="655" spans="1:6">
      <c r="B655" s="1" t="s">
        <v>192</v>
      </c>
      <c r="C655" s="105">
        <v>50967605.450000003</v>
      </c>
      <c r="D655" s="109"/>
      <c r="E655" s="104">
        <f>-D655</f>
        <v>0</v>
      </c>
    </row>
    <row r="656" spans="1:6">
      <c r="A656" t="s">
        <v>1627</v>
      </c>
      <c r="B656" s="14" t="s">
        <v>193</v>
      </c>
      <c r="C656" s="112">
        <v>230534</v>
      </c>
      <c r="D656" s="95"/>
      <c r="E656" s="216">
        <f t="shared" ref="E656:E690" si="27">C656</f>
        <v>230534</v>
      </c>
      <c r="F656" s="249" t="s">
        <v>1628</v>
      </c>
    </row>
    <row r="657" spans="1:13">
      <c r="A657" t="s">
        <v>1615</v>
      </c>
      <c r="B657" s="14" t="s">
        <v>194</v>
      </c>
      <c r="C657" s="112">
        <v>655</v>
      </c>
      <c r="D657" s="95"/>
      <c r="E657" s="216">
        <f t="shared" si="27"/>
        <v>655</v>
      </c>
      <c r="F657" s="249" t="s">
        <v>1616</v>
      </c>
    </row>
    <row r="658" spans="1:13">
      <c r="A658" t="s">
        <v>1602</v>
      </c>
      <c r="B658" s="13" t="s">
        <v>195</v>
      </c>
      <c r="C658" s="104">
        <v>29211</v>
      </c>
      <c r="D658" s="96"/>
      <c r="E658" s="216">
        <f t="shared" si="27"/>
        <v>29211</v>
      </c>
      <c r="F658" s="249" t="s">
        <v>1603</v>
      </c>
    </row>
    <row r="659" spans="1:13">
      <c r="A659" t="s">
        <v>1611</v>
      </c>
      <c r="B659" s="13" t="s">
        <v>196</v>
      </c>
      <c r="C659" s="104">
        <v>4540</v>
      </c>
      <c r="D659" s="96"/>
      <c r="E659" s="216">
        <f t="shared" si="27"/>
        <v>4540</v>
      </c>
      <c r="F659" s="249" t="s">
        <v>1609</v>
      </c>
      <c r="M659" s="100">
        <f>SUM(E656:E663)+SUM(E665:E666)+SUM(E670:E671)+E668+SUM(E676:E690)+E674</f>
        <v>17705099.449999999</v>
      </c>
    </row>
    <row r="660" spans="1:13">
      <c r="A660" t="s">
        <v>1631</v>
      </c>
      <c r="B660" s="13" t="s">
        <v>1222</v>
      </c>
      <c r="C660" s="104">
        <v>8550</v>
      </c>
      <c r="D660" s="96"/>
      <c r="E660" s="216">
        <f t="shared" si="27"/>
        <v>8550</v>
      </c>
      <c r="F660" s="249" t="s">
        <v>1632</v>
      </c>
      <c r="M660" s="100">
        <f>M659+412000</f>
        <v>18117099.449999999</v>
      </c>
    </row>
    <row r="661" spans="1:13">
      <c r="A661" t="s">
        <v>1615</v>
      </c>
      <c r="B661" s="13" t="s">
        <v>1751</v>
      </c>
      <c r="C661" s="104">
        <v>2300</v>
      </c>
      <c r="D661" s="96"/>
      <c r="E661" s="216">
        <f t="shared" si="27"/>
        <v>2300</v>
      </c>
      <c r="F661" s="249" t="s">
        <v>1616</v>
      </c>
    </row>
    <row r="662" spans="1:13">
      <c r="A662" t="s">
        <v>1633</v>
      </c>
      <c r="B662" s="13" t="s">
        <v>1752</v>
      </c>
      <c r="C662" s="104">
        <v>73647</v>
      </c>
      <c r="D662" s="96"/>
      <c r="E662" s="216">
        <f t="shared" si="27"/>
        <v>73647</v>
      </c>
      <c r="F662" s="249" t="s">
        <v>1634</v>
      </c>
    </row>
    <row r="663" spans="1:13">
      <c r="A663" t="s">
        <v>1629</v>
      </c>
      <c r="B663" s="13" t="s">
        <v>893</v>
      </c>
      <c r="C663" s="104">
        <v>2509527</v>
      </c>
      <c r="D663" s="96"/>
      <c r="E663" s="216">
        <f t="shared" si="27"/>
        <v>2509527</v>
      </c>
      <c r="F663" s="249" t="s">
        <v>1630</v>
      </c>
    </row>
    <row r="664" spans="1:13">
      <c r="A664" t="s">
        <v>1598</v>
      </c>
      <c r="B664" s="13" t="s">
        <v>197</v>
      </c>
      <c r="C664" s="104">
        <v>3780000</v>
      </c>
      <c r="D664" s="96"/>
      <c r="E664" s="216">
        <f t="shared" si="27"/>
        <v>3780000</v>
      </c>
      <c r="F664" s="249" t="s">
        <v>1599</v>
      </c>
    </row>
    <row r="665" spans="1:13">
      <c r="A665" t="s">
        <v>1631</v>
      </c>
      <c r="B665" s="13" t="s">
        <v>198</v>
      </c>
      <c r="C665" s="104">
        <v>54070</v>
      </c>
      <c r="D665" s="96"/>
      <c r="E665" s="216">
        <f t="shared" si="27"/>
        <v>54070</v>
      </c>
      <c r="F665" s="249" t="s">
        <v>1632</v>
      </c>
    </row>
    <row r="666" spans="1:13">
      <c r="A666" t="s">
        <v>1213</v>
      </c>
      <c r="B666" s="13" t="s">
        <v>199</v>
      </c>
      <c r="C666" s="104">
        <v>190500</v>
      </c>
      <c r="D666" s="96"/>
      <c r="E666" s="216">
        <f t="shared" si="27"/>
        <v>190500</v>
      </c>
      <c r="F666" s="249" t="s">
        <v>1608</v>
      </c>
    </row>
    <row r="667" spans="1:13">
      <c r="A667" t="s">
        <v>1592</v>
      </c>
      <c r="B667" s="13" t="s">
        <v>1221</v>
      </c>
      <c r="C667" s="104">
        <v>148727</v>
      </c>
      <c r="D667" s="96"/>
      <c r="E667" s="216">
        <f t="shared" si="27"/>
        <v>148727</v>
      </c>
      <c r="F667" s="249" t="s">
        <v>1593</v>
      </c>
    </row>
    <row r="668" spans="1:13">
      <c r="A668" t="s">
        <v>1615</v>
      </c>
      <c r="B668" s="13" t="s">
        <v>200</v>
      </c>
      <c r="C668" s="104">
        <v>47741</v>
      </c>
      <c r="D668" s="96"/>
      <c r="E668" s="216">
        <f t="shared" si="27"/>
        <v>47741</v>
      </c>
      <c r="F668" s="249" t="s">
        <v>1616</v>
      </c>
    </row>
    <row r="669" spans="1:13">
      <c r="A669" t="s">
        <v>1600</v>
      </c>
      <c r="B669" s="13" t="s">
        <v>201</v>
      </c>
      <c r="C669" s="104">
        <v>45557</v>
      </c>
      <c r="D669" s="96"/>
      <c r="E669" s="216">
        <f t="shared" si="27"/>
        <v>45557</v>
      </c>
      <c r="F669" s="249" t="s">
        <v>1601</v>
      </c>
    </row>
    <row r="670" spans="1:13">
      <c r="A670" t="s">
        <v>1619</v>
      </c>
      <c r="B670" s="13" t="s">
        <v>202</v>
      </c>
      <c r="C670" s="104">
        <v>396705</v>
      </c>
      <c r="D670" s="96"/>
      <c r="E670" s="216">
        <f t="shared" si="27"/>
        <v>396705</v>
      </c>
      <c r="F670" s="249" t="s">
        <v>1610</v>
      </c>
    </row>
    <row r="671" spans="1:13">
      <c r="A671" t="s">
        <v>1620</v>
      </c>
      <c r="B671" s="13" t="s">
        <v>203</v>
      </c>
      <c r="C671" s="104">
        <v>28010</v>
      </c>
      <c r="D671" s="96"/>
      <c r="E671" s="216">
        <f t="shared" si="27"/>
        <v>28010</v>
      </c>
      <c r="F671" s="249" t="s">
        <v>1621</v>
      </c>
    </row>
    <row r="672" spans="1:13">
      <c r="A672" t="s">
        <v>1596</v>
      </c>
      <c r="B672" s="13" t="s">
        <v>1542</v>
      </c>
      <c r="C672" s="104">
        <v>5885</v>
      </c>
      <c r="D672" s="96"/>
      <c r="E672" s="216">
        <f t="shared" si="27"/>
        <v>5885</v>
      </c>
      <c r="F672" s="249" t="s">
        <v>1597</v>
      </c>
    </row>
    <row r="673" spans="1:6">
      <c r="A673" t="s">
        <v>1594</v>
      </c>
      <c r="B673" s="13" t="s">
        <v>204</v>
      </c>
      <c r="C673" s="104">
        <v>29160258</v>
      </c>
      <c r="D673" s="96"/>
      <c r="E673" s="216">
        <f t="shared" si="27"/>
        <v>29160258</v>
      </c>
      <c r="F673" s="249" t="s">
        <v>1595</v>
      </c>
    </row>
    <row r="674" spans="1:6">
      <c r="A674" t="s">
        <v>1615</v>
      </c>
      <c r="B674" s="13" t="s">
        <v>1753</v>
      </c>
      <c r="C674" s="104">
        <v>2300</v>
      </c>
      <c r="D674" s="96"/>
      <c r="E674" s="216">
        <f t="shared" si="27"/>
        <v>2300</v>
      </c>
      <c r="F674" s="249" t="s">
        <v>1616</v>
      </c>
    </row>
    <row r="675" spans="1:6">
      <c r="A675" t="s">
        <v>1600</v>
      </c>
      <c r="B675" s="13" t="s">
        <v>206</v>
      </c>
      <c r="C675" s="104">
        <v>122079</v>
      </c>
      <c r="D675" s="96"/>
      <c r="E675" s="216">
        <f t="shared" si="27"/>
        <v>122079</v>
      </c>
      <c r="F675" s="249" t="s">
        <v>1601</v>
      </c>
    </row>
    <row r="676" spans="1:6">
      <c r="A676" t="s">
        <v>1637</v>
      </c>
      <c r="B676" s="13" t="s">
        <v>207</v>
      </c>
      <c r="C676" s="104">
        <v>2176148</v>
      </c>
      <c r="D676" s="96"/>
      <c r="E676" s="216">
        <f t="shared" si="27"/>
        <v>2176148</v>
      </c>
      <c r="F676" s="249" t="s">
        <v>1638</v>
      </c>
    </row>
    <row r="677" spans="1:6">
      <c r="A677" t="s">
        <v>1633</v>
      </c>
      <c r="B677" s="13" t="s">
        <v>208</v>
      </c>
      <c r="C677" s="104">
        <v>319516</v>
      </c>
      <c r="D677" s="96"/>
      <c r="E677" s="216">
        <f t="shared" si="27"/>
        <v>319516</v>
      </c>
      <c r="F677" s="249" t="s">
        <v>1634</v>
      </c>
    </row>
    <row r="678" spans="1:6">
      <c r="A678" t="s">
        <v>1627</v>
      </c>
      <c r="B678" s="13" t="s">
        <v>209</v>
      </c>
      <c r="C678" s="104">
        <v>460416</v>
      </c>
      <c r="D678" s="96"/>
      <c r="E678" s="216">
        <f t="shared" si="27"/>
        <v>460416</v>
      </c>
      <c r="F678" s="249" t="s">
        <v>1628</v>
      </c>
    </row>
    <row r="679" spans="1:6">
      <c r="A679" t="s">
        <v>1604</v>
      </c>
      <c r="B679" s="13" t="s">
        <v>210</v>
      </c>
      <c r="C679" s="104">
        <v>134238.95000000001</v>
      </c>
      <c r="D679" s="96"/>
      <c r="E679" s="216">
        <f t="shared" si="27"/>
        <v>134238.95000000001</v>
      </c>
      <c r="F679" s="249" t="s">
        <v>1605</v>
      </c>
    </row>
    <row r="680" spans="1:6">
      <c r="A680" t="s">
        <v>1612</v>
      </c>
      <c r="B680" s="13" t="s">
        <v>211</v>
      </c>
      <c r="C680" s="104">
        <v>597240</v>
      </c>
      <c r="D680" s="96"/>
      <c r="E680" s="216">
        <f t="shared" si="27"/>
        <v>597240</v>
      </c>
      <c r="F680" s="249" t="s">
        <v>1613</v>
      </c>
    </row>
    <row r="681" spans="1:6">
      <c r="A681" t="s">
        <v>1623</v>
      </c>
      <c r="B681" s="13" t="s">
        <v>212</v>
      </c>
      <c r="C681" s="104">
        <v>266283</v>
      </c>
      <c r="D681" s="96"/>
      <c r="E681" s="216">
        <f t="shared" si="27"/>
        <v>266283</v>
      </c>
      <c r="F681" s="250" t="s">
        <v>1781</v>
      </c>
    </row>
    <row r="682" spans="1:6">
      <c r="A682" t="s">
        <v>1614</v>
      </c>
      <c r="B682" s="13" t="s">
        <v>1218</v>
      </c>
      <c r="C682" s="104">
        <v>1831761</v>
      </c>
      <c r="D682" s="96"/>
      <c r="E682" s="216">
        <f t="shared" si="27"/>
        <v>1831761</v>
      </c>
      <c r="F682" s="249" t="s">
        <v>1606</v>
      </c>
    </row>
    <row r="683" spans="1:6">
      <c r="A683" t="s">
        <v>1637</v>
      </c>
      <c r="B683" s="13" t="s">
        <v>1217</v>
      </c>
      <c r="C683" s="104">
        <v>767851</v>
      </c>
      <c r="D683" s="96"/>
      <c r="E683" s="216">
        <f t="shared" si="27"/>
        <v>767851</v>
      </c>
      <c r="F683" s="249" t="s">
        <v>1638</v>
      </c>
    </row>
    <row r="684" spans="1:6">
      <c r="A684" t="s">
        <v>1631</v>
      </c>
      <c r="B684" s="13" t="s">
        <v>1216</v>
      </c>
      <c r="C684" s="104">
        <v>202032</v>
      </c>
      <c r="D684" s="96"/>
      <c r="E684" s="216">
        <f t="shared" si="27"/>
        <v>202032</v>
      </c>
      <c r="F684" s="249" t="s">
        <v>1632</v>
      </c>
    </row>
    <row r="685" spans="1:6">
      <c r="A685" t="s">
        <v>1622</v>
      </c>
      <c r="B685" s="13" t="s">
        <v>213</v>
      </c>
      <c r="C685" s="104">
        <v>334040</v>
      </c>
      <c r="D685" s="96"/>
      <c r="E685" s="216">
        <f t="shared" si="27"/>
        <v>334040</v>
      </c>
      <c r="F685" s="249" t="s">
        <v>1607</v>
      </c>
    </row>
    <row r="686" spans="1:6">
      <c r="A686" t="s">
        <v>1635</v>
      </c>
      <c r="B686" s="13" t="s">
        <v>1215</v>
      </c>
      <c r="C686" s="104">
        <v>811908</v>
      </c>
      <c r="D686" s="96"/>
      <c r="E686" s="216">
        <f t="shared" si="27"/>
        <v>811908</v>
      </c>
      <c r="F686" s="249" t="s">
        <v>1636</v>
      </c>
    </row>
    <row r="687" spans="1:6">
      <c r="A687" t="s">
        <v>1625</v>
      </c>
      <c r="B687" s="13" t="s">
        <v>77</v>
      </c>
      <c r="C687" s="104">
        <v>412378</v>
      </c>
      <c r="D687" s="96"/>
      <c r="E687" s="216">
        <f t="shared" si="27"/>
        <v>412378</v>
      </c>
      <c r="F687" s="249" t="s">
        <v>1626</v>
      </c>
    </row>
    <row r="688" spans="1:6">
      <c r="A688" t="s">
        <v>1617</v>
      </c>
      <c r="B688" s="13" t="s">
        <v>1214</v>
      </c>
      <c r="C688" s="104">
        <v>1020859</v>
      </c>
      <c r="D688" s="96"/>
      <c r="E688" s="216">
        <f t="shared" si="27"/>
        <v>1020859</v>
      </c>
      <c r="F688" s="249" t="s">
        <v>1618</v>
      </c>
    </row>
    <row r="689" spans="1:6">
      <c r="A689" t="s">
        <v>1213</v>
      </c>
      <c r="B689" s="16" t="s">
        <v>1213</v>
      </c>
      <c r="C689" s="104">
        <v>1002990</v>
      </c>
      <c r="D689" s="96"/>
      <c r="E689" s="216">
        <f t="shared" si="27"/>
        <v>1002990</v>
      </c>
      <c r="F689" s="249" t="s">
        <v>1608</v>
      </c>
    </row>
    <row r="690" spans="1:6">
      <c r="A690" t="s">
        <v>1629</v>
      </c>
      <c r="B690" s="13" t="s">
        <v>1212</v>
      </c>
      <c r="C690" s="104">
        <v>3789148.5</v>
      </c>
      <c r="D690" s="96"/>
      <c r="E690" s="216">
        <f t="shared" si="27"/>
        <v>3789148.5</v>
      </c>
      <c r="F690" s="249" t="s">
        <v>1630</v>
      </c>
    </row>
    <row r="691" spans="1:6">
      <c r="B691" s="2" t="s">
        <v>74</v>
      </c>
      <c r="C691" s="95"/>
      <c r="D691" s="112">
        <v>6.23</v>
      </c>
      <c r="E691" s="112"/>
    </row>
    <row r="692" spans="1:6">
      <c r="B692" s="19" t="s">
        <v>75</v>
      </c>
      <c r="C692" s="103">
        <v>803573123.60000002</v>
      </c>
      <c r="D692" s="103">
        <v>803573123.60000002</v>
      </c>
      <c r="E692" s="193"/>
    </row>
    <row r="693" spans="1:6">
      <c r="A693" t="s">
        <v>1549</v>
      </c>
      <c r="B693" s="13" t="s">
        <v>1859</v>
      </c>
      <c r="D693" s="252">
        <v>5154343</v>
      </c>
      <c r="E693" s="253">
        <f>D693</f>
        <v>5154343</v>
      </c>
    </row>
    <row r="694" spans="1:6">
      <c r="A694" t="s">
        <v>1589</v>
      </c>
      <c r="B694" s="13" t="s">
        <v>1860</v>
      </c>
      <c r="D694" s="252">
        <v>5154343</v>
      </c>
      <c r="E694" s="216">
        <f>-D694</f>
        <v>-5154343</v>
      </c>
    </row>
  </sheetData>
  <mergeCells count="6">
    <mergeCell ref="C6:D6"/>
    <mergeCell ref="B1:D1"/>
    <mergeCell ref="B2:D2"/>
    <mergeCell ref="B3:D3"/>
    <mergeCell ref="C4:D4"/>
    <mergeCell ref="C5:D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84"/>
  <sheetViews>
    <sheetView showGridLines="0" view="pageBreakPreview" topLeftCell="A20" zoomScale="98" zoomScaleSheetLayoutView="98" workbookViewId="0">
      <selection activeCell="C22" sqref="C22"/>
    </sheetView>
  </sheetViews>
  <sheetFormatPr defaultColWidth="9.44140625" defaultRowHeight="14.4"/>
  <cols>
    <col min="1" max="1" width="79.5546875" style="684" bestFit="1" customWidth="1"/>
    <col min="2" max="2" width="8.44140625" style="716" customWidth="1"/>
    <col min="3" max="3" width="21" style="731" bestFit="1" customWidth="1"/>
    <col min="4" max="4" width="21" style="726" bestFit="1" customWidth="1"/>
    <col min="5" max="5" width="16.44140625" style="684" bestFit="1" customWidth="1"/>
    <col min="6" max="7" width="16.5546875" style="684" bestFit="1" customWidth="1"/>
    <col min="8" max="8" width="16.44140625" style="684" bestFit="1" customWidth="1"/>
    <col min="9" max="9" width="17.44140625" style="684" bestFit="1" customWidth="1"/>
    <col min="10" max="16384" width="9.44140625" style="684"/>
  </cols>
  <sheetData>
    <row r="1" spans="1:9" ht="15" hidden="1" customHeight="1" thickBot="1">
      <c r="C1" s="717"/>
      <c r="D1" s="728"/>
    </row>
    <row r="2" spans="1:9" ht="40.35" customHeight="1">
      <c r="A2" s="2913" t="str">
        <f>BS!A2</f>
        <v>M/s. Sathiapal Engineers (India) Private Limited
(Formerly known as M/S Sathiapal Engineers (India) Limited)</v>
      </c>
      <c r="B2" s="2914"/>
      <c r="C2" s="2914"/>
      <c r="D2" s="2915"/>
      <c r="F2" s="684" t="s">
        <v>2206</v>
      </c>
    </row>
    <row r="3" spans="1:9" ht="18.600000000000001" customHeight="1">
      <c r="A3" s="2922" t="str">
        <f>BS!A3</f>
        <v>CIN: U74210TN2002PLC048568</v>
      </c>
      <c r="B3" s="2923"/>
      <c r="C3" s="2923"/>
      <c r="D3" s="2924"/>
    </row>
    <row r="4" spans="1:9" ht="16.2">
      <c r="A4" s="2919" t="str">
        <f>+BS!A4</f>
        <v>New No. 57, Old No. 3, Canal Road, Kilpauk Garden Colony, Kilpauk, Chennai 600 010.</v>
      </c>
      <c r="B4" s="2920"/>
      <c r="C4" s="2920"/>
      <c r="D4" s="2921"/>
    </row>
    <row r="5" spans="1:9" ht="16.2">
      <c r="A5" s="1921"/>
      <c r="B5" s="2397"/>
      <c r="C5" s="2397"/>
      <c r="D5" s="1922"/>
    </row>
    <row r="6" spans="1:9" ht="16.8" thickBot="1">
      <c r="A6" s="2916" t="s">
        <v>4352</v>
      </c>
      <c r="B6" s="2917"/>
      <c r="C6" s="2917"/>
      <c r="D6" s="2918"/>
    </row>
    <row r="7" spans="1:9" ht="16.2">
      <c r="A7" s="1009"/>
      <c r="B7" s="2397"/>
      <c r="C7" s="1923"/>
      <c r="D7" s="2394"/>
    </row>
    <row r="8" spans="1:9" ht="16.2">
      <c r="A8" s="2326" t="s">
        <v>1</v>
      </c>
      <c r="B8" s="2328" t="s">
        <v>35</v>
      </c>
      <c r="C8" s="2925" t="s">
        <v>4320</v>
      </c>
      <c r="D8" s="2927" t="s">
        <v>4321</v>
      </c>
    </row>
    <row r="9" spans="1:9" ht="16.5" customHeight="1" thickBot="1">
      <c r="A9" s="2327"/>
      <c r="B9" s="2329"/>
      <c r="C9" s="2926"/>
      <c r="D9" s="2928"/>
      <c r="E9" s="684">
        <f>1000</f>
        <v>1000</v>
      </c>
      <c r="G9" s="718">
        <f>D11-D19-D20</f>
        <v>106091846.30000004</v>
      </c>
      <c r="H9" s="718">
        <f>C11-C19-C20</f>
        <v>130053560.02881354</v>
      </c>
    </row>
    <row r="10" spans="1:9" ht="16.2">
      <c r="A10" s="1925" t="s">
        <v>44</v>
      </c>
      <c r="B10" s="1926"/>
      <c r="C10" s="1927"/>
      <c r="D10" s="1928"/>
      <c r="F10" s="684">
        <f>1/1000</f>
        <v>1E-3</v>
      </c>
      <c r="G10" s="718"/>
    </row>
    <row r="11" spans="1:9" ht="16.2">
      <c r="A11" s="1009" t="s">
        <v>3804</v>
      </c>
      <c r="B11" s="1926">
        <f>Notes!B225</f>
        <v>18</v>
      </c>
      <c r="C11" s="2509">
        <f>+Notes!J230</f>
        <v>415774226.06</v>
      </c>
      <c r="D11" s="1929">
        <f>351687.70804*1000</f>
        <v>351687708.04000002</v>
      </c>
      <c r="E11" s="719"/>
      <c r="F11" s="694"/>
      <c r="G11" s="2912"/>
      <c r="H11" s="2912"/>
    </row>
    <row r="12" spans="1:9" ht="16.2">
      <c r="A12" s="1009" t="s">
        <v>3805</v>
      </c>
      <c r="B12" s="1926">
        <f>Notes!B233</f>
        <v>19</v>
      </c>
      <c r="C12" s="2510">
        <f>+Notes!J239</f>
        <v>4701233.2</v>
      </c>
      <c r="D12" s="1929">
        <f>8171.03452*1000</f>
        <v>8171034.5200000005</v>
      </c>
      <c r="E12" s="719"/>
      <c r="G12" s="2912"/>
      <c r="H12" s="2912"/>
    </row>
    <row r="13" spans="1:9" ht="16.2">
      <c r="A13" s="1009"/>
      <c r="B13" s="1926"/>
      <c r="C13" s="1927"/>
      <c r="D13" s="1929"/>
      <c r="G13" s="718" t="s">
        <v>3021</v>
      </c>
      <c r="H13" s="684" t="s">
        <v>3022</v>
      </c>
    </row>
    <row r="14" spans="1:9" ht="16.8" thickBot="1">
      <c r="A14" s="1930" t="s">
        <v>3806</v>
      </c>
      <c r="B14" s="1931"/>
      <c r="C14" s="2511">
        <f>C11+C12</f>
        <v>420475459.25999999</v>
      </c>
      <c r="D14" s="2518">
        <f>D11+D12</f>
        <v>359858742.56</v>
      </c>
      <c r="E14" s="721">
        <f>C14*1000</f>
        <v>420475459260</v>
      </c>
      <c r="G14" s="684" t="s">
        <v>3015</v>
      </c>
      <c r="H14" s="720">
        <v>35571205</v>
      </c>
      <c r="I14" s="720"/>
    </row>
    <row r="15" spans="1:9" ht="16.8" thickTop="1">
      <c r="A15" s="1009"/>
      <c r="B15" s="1926"/>
      <c r="C15" s="1927"/>
      <c r="D15" s="1929"/>
      <c r="G15" s="684" t="s">
        <v>3016</v>
      </c>
      <c r="H15" s="721">
        <v>43435129</v>
      </c>
    </row>
    <row r="16" spans="1:9" ht="16.2">
      <c r="A16" s="1925" t="s">
        <v>3807</v>
      </c>
      <c r="B16" s="1926"/>
      <c r="C16" s="1927"/>
      <c r="D16" s="1929"/>
      <c r="F16" s="718"/>
      <c r="G16" s="684" t="s">
        <v>3018</v>
      </c>
      <c r="H16" s="721">
        <v>52056151.382091105</v>
      </c>
    </row>
    <row r="17" spans="1:9" ht="16.2">
      <c r="A17" s="2058" t="s">
        <v>3808</v>
      </c>
      <c r="B17" s="1926"/>
      <c r="C17" s="1927"/>
      <c r="D17" s="1929"/>
      <c r="E17" s="694">
        <f>C19-E18</f>
        <v>105713386.25733963</v>
      </c>
      <c r="F17" s="718"/>
      <c r="H17" s="721"/>
    </row>
    <row r="18" spans="1:9" ht="16.2">
      <c r="A18" s="2058" t="s">
        <v>3809</v>
      </c>
      <c r="B18" s="1926"/>
      <c r="C18" s="1927"/>
      <c r="D18" s="1929"/>
      <c r="E18" s="694">
        <f>C19*F19</f>
        <v>231497279.77384683</v>
      </c>
      <c r="G18" s="684" t="s">
        <v>0</v>
      </c>
      <c r="H18" s="721">
        <f>H14+H15+H16</f>
        <v>131062485.3820911</v>
      </c>
    </row>
    <row r="19" spans="1:9" ht="16.2">
      <c r="A19" s="1009" t="s">
        <v>3810</v>
      </c>
      <c r="B19" s="1926">
        <f>Notes!B242</f>
        <v>20</v>
      </c>
      <c r="C19" s="2509">
        <f>+Notes!J247</f>
        <v>337210666.03118646</v>
      </c>
      <c r="D19" s="1929">
        <f>241435.86174*(1000)</f>
        <v>241435861.73999998</v>
      </c>
      <c r="E19" s="719">
        <f>C19/C11</f>
        <v>0.81104273640695534</v>
      </c>
      <c r="F19" s="723">
        <f>D19/D11</f>
        <v>0.68650639820638748</v>
      </c>
      <c r="G19" s="1490" t="s">
        <v>3017</v>
      </c>
      <c r="H19" s="694">
        <f>AVERAGE(H14:H16)</f>
        <v>43687495.127363704</v>
      </c>
    </row>
    <row r="20" spans="1:9" ht="32.4">
      <c r="A20" s="1932" t="s">
        <v>1181</v>
      </c>
      <c r="B20" s="1926">
        <f>Notes!B250</f>
        <v>21</v>
      </c>
      <c r="C20" s="2510">
        <f>+Notes!J260</f>
        <v>-51490000</v>
      </c>
      <c r="D20" s="1929">
        <f>4160*(1000)</f>
        <v>4160000</v>
      </c>
      <c r="E20" s="1053">
        <f>+C20+C19</f>
        <v>285720666.03118646</v>
      </c>
      <c r="F20" s="1053">
        <f>+D20+D19</f>
        <v>245595861.73999998</v>
      </c>
      <c r="G20" s="1490"/>
      <c r="H20" s="700">
        <v>0.02</v>
      </c>
    </row>
    <row r="21" spans="1:9" ht="16.2">
      <c r="A21" s="1009" t="s">
        <v>47</v>
      </c>
      <c r="B21" s="1926">
        <f>Notes!B263</f>
        <v>22</v>
      </c>
      <c r="C21" s="2509">
        <f>+Notes!J271</f>
        <v>57635484</v>
      </c>
      <c r="D21" s="1929">
        <f>51828.88898*(1000)</f>
        <v>51828888.980000004</v>
      </c>
      <c r="E21" s="723">
        <f>+E20/C11</f>
        <v>0.68720148610162857</v>
      </c>
      <c r="F21" s="723">
        <f>+F20/D11</f>
        <v>0.6983350743440444</v>
      </c>
      <c r="G21" s="1491" t="s">
        <v>3019</v>
      </c>
      <c r="H21" s="1218">
        <f>H19*H20</f>
        <v>873749.90254727413</v>
      </c>
    </row>
    <row r="22" spans="1:9" ht="16.2">
      <c r="A22" s="1009" t="s">
        <v>528</v>
      </c>
      <c r="B22" s="1926">
        <f>Notes!B274</f>
        <v>23</v>
      </c>
      <c r="C22" s="2509">
        <f>+Notes!J307</f>
        <v>24412524.690000001</v>
      </c>
      <c r="D22" s="1929">
        <f>22631.40145*(1000)</f>
        <v>22631401.450000003</v>
      </c>
      <c r="E22" s="2325">
        <f>+E21-1</f>
        <v>-0.31279851389837143</v>
      </c>
      <c r="F22" s="723">
        <f>+F21-1</f>
        <v>-0.3016649256559556</v>
      </c>
      <c r="G22" s="1491"/>
    </row>
    <row r="23" spans="1:9" ht="15" hidden="1" customHeight="1">
      <c r="A23" s="1009" t="s">
        <v>48</v>
      </c>
      <c r="B23" s="1926" t="e">
        <f>Notes!#REF!</f>
        <v>#REF!</v>
      </c>
      <c r="C23" s="2509"/>
      <c r="D23" s="1929">
        <f>0*(1000)</f>
        <v>0</v>
      </c>
      <c r="E23" s="724"/>
      <c r="F23" s="723"/>
      <c r="G23" s="1491"/>
    </row>
    <row r="24" spans="1:9" ht="15" customHeight="1">
      <c r="A24" s="1009" t="s">
        <v>4330</v>
      </c>
      <c r="B24" s="1926"/>
      <c r="C24" s="2512">
        <f>('Audit entries FY 22-23'!C79)</f>
        <v>868251</v>
      </c>
      <c r="D24" s="1929">
        <f>0*(1000)</f>
        <v>0</v>
      </c>
      <c r="E24" s="725"/>
      <c r="F24" s="723"/>
      <c r="G24" s="1491"/>
      <c r="H24" s="694">
        <f>C24*2</f>
        <v>1736502</v>
      </c>
    </row>
    <row r="25" spans="1:9" ht="16.2">
      <c r="A25" s="1009" t="s">
        <v>3811</v>
      </c>
      <c r="B25" s="1926">
        <v>10</v>
      </c>
      <c r="C25" s="2509">
        <f>Dep_Co!K26</f>
        <v>8219826.5053903172</v>
      </c>
      <c r="D25" s="1929">
        <f>9718.98258954644*(1000)</f>
        <v>9718982.5895464402</v>
      </c>
      <c r="E25" s="724" t="s">
        <v>14</v>
      </c>
      <c r="F25" s="723"/>
      <c r="G25" s="2574">
        <f>12765-C25</f>
        <v>-8207061.5053903172</v>
      </c>
    </row>
    <row r="26" spans="1:9" ht="16.2">
      <c r="A26" s="1933"/>
      <c r="B26" s="1934"/>
      <c r="C26" s="2509"/>
      <c r="D26" s="1929"/>
      <c r="E26" s="724"/>
      <c r="F26" s="723"/>
      <c r="G26" s="1491"/>
    </row>
    <row r="27" spans="1:9" ht="16.8" thickBot="1">
      <c r="A27" s="1935" t="s">
        <v>959</v>
      </c>
      <c r="B27" s="1936"/>
      <c r="C27" s="2511">
        <f>SUM(C19:C25)</f>
        <v>376856752.22657681</v>
      </c>
      <c r="D27" s="2518">
        <f>SUM(D19:D25)</f>
        <v>329775134.7595464</v>
      </c>
      <c r="E27" s="725"/>
      <c r="F27" s="718"/>
      <c r="G27" s="1491"/>
    </row>
    <row r="28" spans="1:9" ht="16.350000000000001" customHeight="1" thickTop="1">
      <c r="A28" s="1937"/>
      <c r="B28" s="1926"/>
      <c r="C28" s="2509"/>
      <c r="D28" s="2519"/>
      <c r="E28" s="724"/>
      <c r="F28" s="2188">
        <v>-40008739</v>
      </c>
      <c r="G28" s="2189">
        <f>F28-C30</f>
        <v>-83627446.033423185</v>
      </c>
      <c r="H28" s="684">
        <v>-115105003.76440865</v>
      </c>
      <c r="I28" s="694"/>
    </row>
    <row r="29" spans="1:9" ht="14.25" customHeight="1">
      <c r="A29" s="1925"/>
      <c r="B29" s="1926"/>
      <c r="C29" s="2509"/>
      <c r="D29" s="2519"/>
      <c r="E29" s="721"/>
      <c r="F29" s="723"/>
      <c r="G29" s="684">
        <f>262643608</f>
        <v>262643608</v>
      </c>
      <c r="H29" s="718">
        <f>C30-G29</f>
        <v>-219024900.96657681</v>
      </c>
    </row>
    <row r="30" spans="1:9" ht="31.35" customHeight="1">
      <c r="A30" s="2060" t="s">
        <v>3812</v>
      </c>
      <c r="B30" s="1926"/>
      <c r="C30" s="2509">
        <f>C14-C27</f>
        <v>43618707.033423185</v>
      </c>
      <c r="D30" s="2519">
        <f>30083.6078004535*1000</f>
        <v>30083607.800453503</v>
      </c>
      <c r="E30" s="724">
        <f>+C30/C11</f>
        <v>0.10490959828550943</v>
      </c>
      <c r="F30" s="2393">
        <f>1/1000</f>
        <v>1E-3</v>
      </c>
    </row>
    <row r="31" spans="1:9" ht="15.6" customHeight="1">
      <c r="A31" s="1938" t="s">
        <v>3813</v>
      </c>
      <c r="B31" s="1926"/>
      <c r="C31" s="2513">
        <f>('Audit entries FY 22-23'!D101)</f>
        <v>2621516</v>
      </c>
      <c r="D31" s="2520"/>
      <c r="E31" s="724"/>
      <c r="F31" s="1885">
        <v>13245738</v>
      </c>
      <c r="G31" s="694">
        <f>F31-C30</f>
        <v>-30372969.033423185</v>
      </c>
      <c r="H31" s="694">
        <f>1/1000</f>
        <v>1E-3</v>
      </c>
    </row>
    <row r="32" spans="1:9" ht="16.2" hidden="1">
      <c r="A32" s="1940"/>
      <c r="B32" s="1926"/>
      <c r="C32" s="1941"/>
      <c r="D32" s="2519">
        <v>0</v>
      </c>
      <c r="E32" s="724"/>
      <c r="F32" s="723"/>
      <c r="G32" s="684" t="s">
        <v>3119</v>
      </c>
      <c r="H32" s="684">
        <f>C30/C11</f>
        <v>0.10490959828550943</v>
      </c>
      <c r="I32" s="2343">
        <f>D30/D11</f>
        <v>8.5540685991310997E-2</v>
      </c>
    </row>
    <row r="33" spans="1:9" ht="16.350000000000001" hidden="1" customHeight="1">
      <c r="A33" s="1937" t="s">
        <v>529</v>
      </c>
      <c r="B33" s="1926"/>
      <c r="C33" s="2509"/>
      <c r="D33" s="1942"/>
      <c r="E33" s="724"/>
      <c r="F33" s="723"/>
    </row>
    <row r="34" spans="1:9" ht="16.2" hidden="1">
      <c r="A34" s="1940"/>
      <c r="B34" s="1926"/>
      <c r="C34" s="2509"/>
      <c r="D34" s="1942">
        <v>0</v>
      </c>
      <c r="E34" s="724"/>
      <c r="F34" s="723"/>
    </row>
    <row r="35" spans="1:9" s="1040" customFormat="1" ht="30.6" customHeight="1">
      <c r="A35" s="2061" t="s">
        <v>3814</v>
      </c>
      <c r="B35" s="1926"/>
      <c r="C35" s="2514">
        <f>C30+C31</f>
        <v>46240223.033423185</v>
      </c>
      <c r="D35" s="2521">
        <f>D30+D32-D34</f>
        <v>30083607.800453503</v>
      </c>
      <c r="E35" s="1041"/>
      <c r="F35" s="2316">
        <f>C35/C11</f>
        <v>0.11121474140330743</v>
      </c>
      <c r="G35" s="1039"/>
      <c r="H35" s="1039"/>
      <c r="I35" s="1042"/>
    </row>
    <row r="36" spans="1:9" ht="16.2">
      <c r="A36" s="1009" t="s">
        <v>3815</v>
      </c>
      <c r="B36" s="1926"/>
      <c r="C36" s="2509"/>
      <c r="D36" s="1929"/>
      <c r="E36" s="722"/>
      <c r="F36" s="723"/>
      <c r="H36" s="720"/>
      <c r="I36" s="726"/>
    </row>
    <row r="37" spans="1:9" ht="16.2">
      <c r="A37" s="2061" t="s">
        <v>3816</v>
      </c>
      <c r="B37" s="1926"/>
      <c r="C37" s="2513"/>
      <c r="D37" s="1929"/>
      <c r="E37" s="722"/>
      <c r="F37" s="723"/>
      <c r="H37" s="720"/>
      <c r="I37" s="726"/>
    </row>
    <row r="38" spans="1:9" ht="16.2">
      <c r="A38" s="2061" t="s">
        <v>3817</v>
      </c>
      <c r="B38" s="1926"/>
      <c r="C38" s="2513"/>
      <c r="D38" s="1929"/>
      <c r="E38" s="722"/>
      <c r="F38" s="723"/>
      <c r="H38" s="720"/>
      <c r="I38" s="726"/>
    </row>
    <row r="39" spans="1:9" ht="16.2">
      <c r="A39" s="2061" t="s">
        <v>3818</v>
      </c>
      <c r="B39" s="1926"/>
      <c r="C39" s="2513"/>
      <c r="D39" s="1929"/>
      <c r="E39" s="722"/>
      <c r="F39" s="723"/>
      <c r="H39" s="720"/>
      <c r="I39" s="726"/>
    </row>
    <row r="40" spans="1:9" ht="16.2">
      <c r="A40" s="1925" t="s">
        <v>3819</v>
      </c>
      <c r="B40" s="1926"/>
      <c r="C40" s="2515">
        <f>IT!E46</f>
        <v>10965295.032507783</v>
      </c>
      <c r="D40" s="1929">
        <f>8443.3364*1000</f>
        <v>8443336.4000000004</v>
      </c>
      <c r="E40" s="724"/>
      <c r="F40" s="723"/>
      <c r="G40" s="727" t="e">
        <f>C45-#REF!</f>
        <v>#REF!</v>
      </c>
      <c r="H40" s="727"/>
    </row>
    <row r="41" spans="1:9" ht="16.350000000000001" hidden="1" customHeight="1">
      <c r="A41" s="1943" t="s">
        <v>50</v>
      </c>
      <c r="B41" s="1926">
        <v>11</v>
      </c>
      <c r="C41" s="2509">
        <v>0</v>
      </c>
      <c r="D41" s="1929">
        <v>0</v>
      </c>
      <c r="E41" s="724"/>
      <c r="F41" s="723"/>
    </row>
    <row r="42" spans="1:9" ht="16.2">
      <c r="A42" s="1943" t="s">
        <v>51</v>
      </c>
      <c r="B42" s="1944">
        <f>+Notes!B139</f>
        <v>11</v>
      </c>
      <c r="C42" s="2509">
        <f>'Audit entries FY 22-23'!D63</f>
        <v>742110.61812685104</v>
      </c>
      <c r="D42" s="1929">
        <f>-2016.03983785948*1000</f>
        <v>-2016039.8378594799</v>
      </c>
      <c r="E42" s="724"/>
      <c r="F42" s="718">
        <f>C40-D40</f>
        <v>2521958.6325077824</v>
      </c>
    </row>
    <row r="43" spans="1:9" ht="16.2">
      <c r="A43" s="1943"/>
      <c r="B43" s="1926"/>
      <c r="C43" s="2509"/>
      <c r="D43" s="1929"/>
      <c r="F43" s="723"/>
    </row>
    <row r="44" spans="1:9" ht="16.2">
      <c r="A44" s="1943"/>
      <c r="B44" s="1945"/>
      <c r="C44" s="2516"/>
      <c r="D44" s="2522"/>
      <c r="F44" s="723"/>
    </row>
    <row r="45" spans="1:9" ht="16.2">
      <c r="A45" s="1946" t="s">
        <v>49</v>
      </c>
      <c r="B45" s="1926"/>
      <c r="C45" s="2517">
        <f>C40+C42+C43</f>
        <v>11707405.650634633</v>
      </c>
      <c r="D45" s="2523">
        <f>D40+D42+D43</f>
        <v>6427296.5621405207</v>
      </c>
      <c r="E45" s="724"/>
      <c r="F45" s="723"/>
    </row>
    <row r="46" spans="1:9" ht="16.2">
      <c r="A46" s="1009"/>
      <c r="B46" s="1926"/>
      <c r="C46" s="2509"/>
      <c r="D46" s="1929"/>
      <c r="E46" s="724"/>
      <c r="F46" s="723"/>
    </row>
    <row r="47" spans="1:9" ht="16.8" thickBot="1">
      <c r="A47" s="1925" t="s">
        <v>3820</v>
      </c>
      <c r="B47" s="1947"/>
      <c r="C47" s="2511">
        <f>(C35-C45)</f>
        <v>34532817.382788554</v>
      </c>
      <c r="D47" s="2518">
        <f>D35-D45</f>
        <v>23656311.238312982</v>
      </c>
      <c r="E47" s="724">
        <f>C47/C11</f>
        <v>8.3056657239270901E-2</v>
      </c>
      <c r="F47" s="723">
        <f>D47/D11</f>
        <v>6.7265106790773521E-2</v>
      </c>
      <c r="G47" s="718" t="e">
        <f>C47-#REF!</f>
        <v>#REF!</v>
      </c>
      <c r="H47" s="684">
        <f>1/1000</f>
        <v>1E-3</v>
      </c>
    </row>
    <row r="48" spans="1:9" ht="17.100000000000001" hidden="1" customHeight="1" thickTop="1">
      <c r="A48" s="1925"/>
      <c r="B48" s="1926"/>
      <c r="C48" s="1948"/>
      <c r="D48" s="1942"/>
      <c r="F48" s="692"/>
      <c r="G48" s="692"/>
      <c r="H48" s="692"/>
    </row>
    <row r="49" spans="1:7" ht="16.8" thickTop="1">
      <c r="A49" s="1009"/>
      <c r="B49" s="1926"/>
      <c r="C49" s="1948"/>
      <c r="D49" s="1929"/>
    </row>
    <row r="50" spans="1:7" ht="16.2">
      <c r="A50" s="1949" t="s">
        <v>3630</v>
      </c>
      <c r="B50" s="1926">
        <f>Notes!B314</f>
        <v>25</v>
      </c>
      <c r="C50" s="1927">
        <f>+Notes!J319</f>
        <v>48.314810272164593</v>
      </c>
      <c r="D50" s="1928">
        <f>Notes!K319</f>
        <v>33.097507699676527</v>
      </c>
      <c r="F50" s="684">
        <v>-174830584</v>
      </c>
    </row>
    <row r="51" spans="1:7" ht="27.75" hidden="1" customHeight="1" thickBot="1">
      <c r="A51" s="1950" t="s">
        <v>960</v>
      </c>
      <c r="B51" s="1951">
        <f>+B50</f>
        <v>25</v>
      </c>
      <c r="C51" s="1948"/>
      <c r="D51" s="1952"/>
    </row>
    <row r="52" spans="1:7" ht="18.75" hidden="1" customHeight="1">
      <c r="A52" s="1950" t="s">
        <v>2394</v>
      </c>
      <c r="B52" s="1951"/>
      <c r="C52" s="1948"/>
      <c r="D52" s="1952"/>
    </row>
    <row r="53" spans="1:7" ht="33" thickBot="1">
      <c r="A53" s="1953" t="s">
        <v>42</v>
      </c>
      <c r="B53" s="1954" t="s">
        <v>4357</v>
      </c>
      <c r="C53" s="1948"/>
      <c r="D53" s="1955"/>
      <c r="E53" s="728"/>
      <c r="F53" s="728">
        <f>F50-C47</f>
        <v>-209363401.38278854</v>
      </c>
      <c r="G53" s="728">
        <f>41260-C47</f>
        <v>-34491557.382788554</v>
      </c>
    </row>
    <row r="54" spans="1:7" ht="16.2">
      <c r="A54" s="1956" t="s">
        <v>957</v>
      </c>
      <c r="B54" s="1957"/>
      <c r="C54" s="1958"/>
      <c r="D54" s="1959" t="s">
        <v>297</v>
      </c>
      <c r="E54" s="728"/>
      <c r="F54" s="728"/>
      <c r="G54" s="728"/>
    </row>
    <row r="55" spans="1:7" ht="16.2">
      <c r="A55" s="1925" t="s">
        <v>547</v>
      </c>
      <c r="B55" s="2398"/>
      <c r="C55" s="1939"/>
      <c r="D55" s="1960"/>
      <c r="E55" s="728"/>
      <c r="F55" s="728"/>
      <c r="G55" s="728"/>
    </row>
    <row r="56" spans="1:7" ht="16.2">
      <c r="A56" s="1009" t="s">
        <v>43</v>
      </c>
      <c r="B56" s="2398"/>
      <c r="C56" s="1939"/>
      <c r="D56" s="1961"/>
      <c r="E56" s="728"/>
      <c r="F56" s="728"/>
      <c r="G56" s="728"/>
    </row>
    <row r="57" spans="1:7" ht="16.2">
      <c r="A57" s="1009" t="s">
        <v>296</v>
      </c>
      <c r="B57" s="2398"/>
      <c r="C57" s="1939"/>
      <c r="D57" s="1961"/>
      <c r="E57" s="728"/>
      <c r="F57" s="728"/>
      <c r="G57" s="728"/>
    </row>
    <row r="58" spans="1:7" ht="16.2">
      <c r="A58" s="1009"/>
      <c r="B58" s="2397"/>
      <c r="C58" s="1923"/>
      <c r="D58" s="1924"/>
      <c r="E58" s="677"/>
      <c r="F58" s="677"/>
      <c r="G58" s="677"/>
    </row>
    <row r="59" spans="1:7" ht="28.35" customHeight="1">
      <c r="A59" s="1009"/>
      <c r="B59" s="2399"/>
      <c r="C59" s="1923"/>
      <c r="D59" s="1924"/>
      <c r="E59" s="729"/>
      <c r="F59" s="729"/>
      <c r="G59" s="729"/>
    </row>
    <row r="60" spans="1:7" ht="16.2">
      <c r="A60" s="1925" t="s">
        <v>4200</v>
      </c>
      <c r="B60" s="2400" t="s">
        <v>298</v>
      </c>
      <c r="C60" s="1939"/>
      <c r="D60" s="1962" t="s">
        <v>299</v>
      </c>
      <c r="E60" s="729"/>
      <c r="F60" s="729"/>
      <c r="G60" s="729"/>
    </row>
    <row r="61" spans="1:7" ht="16.2">
      <c r="A61" s="1940" t="s">
        <v>4201</v>
      </c>
      <c r="B61" s="2401" t="s">
        <v>80</v>
      </c>
      <c r="C61" s="1939"/>
      <c r="D61" s="1963" t="s">
        <v>300</v>
      </c>
      <c r="E61" s="729"/>
      <c r="F61" s="729"/>
      <c r="G61" s="729"/>
    </row>
    <row r="62" spans="1:7" ht="16.2">
      <c r="A62" s="1009" t="s">
        <v>4253</v>
      </c>
      <c r="B62" s="2398" t="str">
        <f>BS!D63</f>
        <v>DIN No.01926196</v>
      </c>
      <c r="C62" s="1939"/>
      <c r="D62" s="1964" t="str">
        <f>BS!E63</f>
        <v>DIN No.01926144</v>
      </c>
      <c r="E62" s="729"/>
      <c r="F62" s="729"/>
      <c r="G62" s="729"/>
    </row>
    <row r="63" spans="1:7" ht="16.2">
      <c r="A63" s="1965" t="str">
        <f>BS!A63</f>
        <v>Place: Chennai</v>
      </c>
      <c r="B63" s="2398"/>
      <c r="C63" s="1939"/>
      <c r="D63" s="1966"/>
      <c r="E63" s="728"/>
      <c r="F63" s="728"/>
      <c r="G63" s="728"/>
    </row>
    <row r="64" spans="1:7" ht="16.8" thickBot="1">
      <c r="A64" s="1967" t="str">
        <f>BS!A64</f>
        <v>Date:  07-09-2023</v>
      </c>
      <c r="B64" s="2334"/>
      <c r="C64" s="2335"/>
      <c r="D64" s="1968"/>
    </row>
    <row r="65" spans="1:4">
      <c r="C65" s="717"/>
      <c r="D65" s="728"/>
    </row>
    <row r="66" spans="1:4">
      <c r="A66" s="730" t="s">
        <v>2415</v>
      </c>
    </row>
    <row r="77" spans="1:4">
      <c r="B77" s="684"/>
      <c r="C77" s="684"/>
      <c r="D77" s="684"/>
    </row>
    <row r="78" spans="1:4">
      <c r="B78" s="684"/>
      <c r="C78" s="684"/>
      <c r="D78" s="684"/>
    </row>
    <row r="79" spans="1:4">
      <c r="B79" s="684"/>
      <c r="C79" s="684"/>
      <c r="D79" s="684"/>
    </row>
    <row r="80" spans="1:4">
      <c r="B80" s="684"/>
      <c r="C80" s="684"/>
      <c r="D80" s="684"/>
    </row>
    <row r="81" s="684" customFormat="1"/>
    <row r="82" s="684" customFormat="1"/>
    <row r="83" s="684" customFormat="1"/>
    <row r="84" s="684" customFormat="1"/>
  </sheetData>
  <mergeCells count="7">
    <mergeCell ref="G11:H12"/>
    <mergeCell ref="A2:D2"/>
    <mergeCell ref="A6:D6"/>
    <mergeCell ref="A4:D4"/>
    <mergeCell ref="A3:D3"/>
    <mergeCell ref="C8:C9"/>
    <mergeCell ref="D8:D9"/>
  </mergeCells>
  <printOptions horizontalCentered="1"/>
  <pageMargins left="0.7" right="0.7" top="0.75" bottom="0.75" header="0.3" footer="0.3"/>
  <pageSetup paperSize="9" scale="6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V179"/>
  <sheetViews>
    <sheetView showGridLines="0" view="pageBreakPreview" topLeftCell="B11" zoomScale="53" zoomScaleSheetLayoutView="53" workbookViewId="0">
      <selection activeCell="G26" sqref="G26"/>
    </sheetView>
  </sheetViews>
  <sheetFormatPr defaultColWidth="5.44140625" defaultRowHeight="19.8"/>
  <cols>
    <col min="1" max="1" width="0" style="752" hidden="1" customWidth="1"/>
    <col min="2" max="2" width="3.5546875" style="752" bestFit="1" customWidth="1"/>
    <col min="3" max="3" width="22.5546875" style="752" bestFit="1" customWidth="1"/>
    <col min="4" max="4" width="6" style="752" customWidth="1"/>
    <col min="5" max="5" width="28.44140625" style="752" customWidth="1"/>
    <col min="6" max="6" width="22.6640625" style="752" bestFit="1" customWidth="1"/>
    <col min="7" max="7" width="23.5546875" style="752" bestFit="1" customWidth="1"/>
    <col min="8" max="8" width="17.5546875" style="752" bestFit="1" customWidth="1"/>
    <col min="9" max="9" width="21.5546875" style="752" customWidth="1"/>
    <col min="10" max="10" width="23.44140625" style="752" customWidth="1"/>
    <col min="11" max="11" width="21.5546875" style="752" bestFit="1" customWidth="1"/>
    <col min="12" max="12" width="21.44140625" style="752" customWidth="1"/>
    <col min="13" max="13" width="22.6640625" style="753" bestFit="1" customWidth="1"/>
    <col min="14" max="14" width="23.44140625" style="753" customWidth="1"/>
    <col min="15" max="15" width="23.5546875" style="752" bestFit="1" customWidth="1"/>
    <col min="16" max="16" width="25" style="1013" bestFit="1" customWidth="1"/>
    <col min="17" max="17" width="21.5546875" style="1013" bestFit="1" customWidth="1"/>
    <col min="18" max="18" width="26.5546875" style="752" bestFit="1" customWidth="1"/>
    <col min="19" max="19" width="22.6640625" style="752" bestFit="1" customWidth="1"/>
    <col min="20" max="20" width="18.44140625" style="752" customWidth="1"/>
    <col min="21" max="21" width="22.6640625" style="752" bestFit="1" customWidth="1"/>
    <col min="22" max="22" width="18.21875" style="752" bestFit="1" customWidth="1"/>
    <col min="23" max="16384" width="5.44140625" style="752"/>
  </cols>
  <sheetData>
    <row r="2" spans="4:22" ht="20.399999999999999" thickBot="1"/>
    <row r="3" spans="4:22" ht="25.5" customHeight="1" thickTop="1">
      <c r="D3" s="2633" t="s">
        <v>4332</v>
      </c>
      <c r="E3" s="2634"/>
      <c r="F3" s="2634"/>
      <c r="G3" s="2634"/>
      <c r="H3" s="2634"/>
      <c r="I3" s="2634"/>
      <c r="J3" s="2634"/>
      <c r="K3" s="2634"/>
      <c r="L3" s="2634"/>
      <c r="M3" s="2634"/>
      <c r="N3" s="2634"/>
      <c r="O3" s="2635"/>
      <c r="P3" s="1446"/>
      <c r="Q3" s="1446"/>
    </row>
    <row r="4" spans="4:22" ht="30.75" customHeight="1">
      <c r="D4" s="2651" t="s">
        <v>4333</v>
      </c>
      <c r="E4" s="2646"/>
      <c r="F4" s="2646"/>
      <c r="G4" s="2646"/>
      <c r="H4" s="2646"/>
      <c r="I4" s="2646"/>
      <c r="J4" s="2646"/>
      <c r="K4" s="2646"/>
      <c r="L4" s="2646"/>
      <c r="M4" s="2646"/>
      <c r="N4" s="2646"/>
      <c r="O4" s="2652"/>
      <c r="P4" s="1446"/>
      <c r="Q4" s="1446"/>
    </row>
    <row r="5" spans="4:22" ht="36" customHeight="1">
      <c r="D5" s="2532"/>
      <c r="E5" s="1446"/>
      <c r="F5" s="1446"/>
      <c r="G5" s="1446"/>
      <c r="H5" s="2645" t="str">
        <f>BS!A3</f>
        <v>CIN: U74210TN2002PLC048568</v>
      </c>
      <c r="I5" s="2646"/>
      <c r="J5" s="2646"/>
      <c r="K5" s="2646"/>
      <c r="L5" s="1446"/>
      <c r="M5" s="1446"/>
      <c r="N5" s="2527"/>
      <c r="O5" s="2533"/>
      <c r="P5" s="1446"/>
      <c r="Q5" s="1446"/>
    </row>
    <row r="6" spans="4:22">
      <c r="D6" s="2636" t="str">
        <f>+Notes!B4</f>
        <v>New No. 57, Old No. 3, Canal Road, Kilpauk Garden Colony, Kilpauk, Chennai 600 010.</v>
      </c>
      <c r="E6" s="2637"/>
      <c r="F6" s="2637"/>
      <c r="G6" s="2637"/>
      <c r="H6" s="2637"/>
      <c r="I6" s="2637"/>
      <c r="J6" s="2637"/>
      <c r="K6" s="2637"/>
      <c r="L6" s="2637"/>
      <c r="M6" s="2637"/>
      <c r="N6" s="2637"/>
      <c r="O6" s="2638"/>
      <c r="P6" s="1908"/>
      <c r="Q6" s="1908"/>
    </row>
    <row r="7" spans="4:22">
      <c r="D7" s="2535"/>
      <c r="E7" s="2528"/>
      <c r="F7" s="2528"/>
      <c r="G7" s="2528"/>
      <c r="H7" s="2528"/>
      <c r="I7" s="2528"/>
      <c r="J7" s="2528"/>
      <c r="K7" s="2528"/>
      <c r="L7" s="2528"/>
      <c r="M7" s="1447"/>
      <c r="N7" s="1447"/>
      <c r="O7" s="2541"/>
      <c r="P7" s="1908"/>
      <c r="Q7" s="1908"/>
    </row>
    <row r="8" spans="4:22">
      <c r="D8" s="2536" t="s">
        <v>2448</v>
      </c>
      <c r="E8" s="2529"/>
      <c r="F8" s="2529"/>
      <c r="G8" s="2529"/>
      <c r="H8" s="2529"/>
      <c r="I8" s="2530"/>
      <c r="J8" s="2530"/>
      <c r="K8" s="2530"/>
      <c r="L8" s="2530"/>
      <c r="M8" s="1079"/>
      <c r="N8" s="1079"/>
      <c r="O8" s="2542"/>
      <c r="P8" s="1910"/>
      <c r="Q8" s="1910"/>
      <c r="S8" s="2569">
        <v>537374.21</v>
      </c>
    </row>
    <row r="9" spans="4:22" ht="20.399999999999999" thickBot="1">
      <c r="D9" s="2535"/>
      <c r="E9" s="2528"/>
      <c r="F9" s="2528"/>
      <c r="G9" s="2528"/>
      <c r="H9" s="2528"/>
      <c r="I9" s="2528"/>
      <c r="J9" s="2528"/>
      <c r="K9" s="2528"/>
      <c r="L9" s="2528"/>
      <c r="M9" s="1447"/>
      <c r="N9" s="1447"/>
      <c r="O9" s="2534"/>
      <c r="P9" s="1908"/>
      <c r="Q9" s="1908"/>
      <c r="S9" s="2569">
        <v>1131993.8400000001</v>
      </c>
    </row>
    <row r="10" spans="4:22">
      <c r="D10" s="2641" t="s">
        <v>1375</v>
      </c>
      <c r="E10" s="2643" t="s">
        <v>1122</v>
      </c>
      <c r="F10" s="2647" t="s">
        <v>1123</v>
      </c>
      <c r="G10" s="2648"/>
      <c r="H10" s="2648"/>
      <c r="I10" s="2650"/>
      <c r="J10" s="2647" t="s">
        <v>3193</v>
      </c>
      <c r="K10" s="2648"/>
      <c r="L10" s="2648"/>
      <c r="M10" s="2649"/>
      <c r="N10" s="2639" t="s">
        <v>1124</v>
      </c>
      <c r="O10" s="2640"/>
      <c r="P10" s="1911"/>
      <c r="Q10" s="2346">
        <f>1/1000</f>
        <v>1E-3</v>
      </c>
      <c r="S10" s="2569">
        <v>3298951.95</v>
      </c>
    </row>
    <row r="11" spans="4:22" ht="99.75" customHeight="1" thickBot="1">
      <c r="D11" s="2642"/>
      <c r="E11" s="2644"/>
      <c r="F11" s="1080" t="s">
        <v>4172</v>
      </c>
      <c r="G11" s="1080" t="s">
        <v>1125</v>
      </c>
      <c r="H11" s="1080" t="s">
        <v>1126</v>
      </c>
      <c r="I11" s="1080" t="s">
        <v>4173</v>
      </c>
      <c r="J11" s="1080" t="s">
        <v>4172</v>
      </c>
      <c r="K11" s="1080" t="s">
        <v>1127</v>
      </c>
      <c r="L11" s="2194" t="s">
        <v>1126</v>
      </c>
      <c r="M11" s="1081" t="str">
        <f>I11</f>
        <v>As on                  31.03.2023</v>
      </c>
      <c r="N11" s="1754" t="str">
        <f>I11</f>
        <v>As on                  31.03.2023</v>
      </c>
      <c r="O11" s="2543" t="str">
        <f>F11</f>
        <v>As on                  01.04.2022</v>
      </c>
      <c r="P11" s="1912"/>
      <c r="Q11" s="1912"/>
    </row>
    <row r="12" spans="4:22" ht="20.399999999999999" thickBot="1">
      <c r="D12" s="2537"/>
      <c r="E12" s="1082"/>
      <c r="F12" s="1751"/>
      <c r="G12" s="1751"/>
      <c r="H12" s="1748"/>
      <c r="I12" s="1083"/>
      <c r="J12" s="1084"/>
      <c r="K12" s="1083"/>
      <c r="L12" s="1083"/>
      <c r="M12" s="1084"/>
      <c r="N12" s="1755"/>
      <c r="O12" s="2544"/>
      <c r="P12" s="1913"/>
      <c r="Q12" s="1913"/>
      <c r="R12" s="752" t="s">
        <v>2102</v>
      </c>
      <c r="S12" s="754">
        <f>+Dep_IT!I23</f>
        <v>11820033</v>
      </c>
    </row>
    <row r="13" spans="4:22" s="1055" customFormat="1">
      <c r="D13" s="2537">
        <v>1</v>
      </c>
      <c r="E13" s="1085" t="s">
        <v>1361</v>
      </c>
      <c r="F13" s="1752">
        <f>868.251*1000</f>
        <v>868251</v>
      </c>
      <c r="G13" s="1752">
        <v>0</v>
      </c>
      <c r="H13" s="1749">
        <f>F13</f>
        <v>868251</v>
      </c>
      <c r="I13" s="1086">
        <f>F13+G13-H13</f>
        <v>0</v>
      </c>
      <c r="J13" s="1087">
        <v>0</v>
      </c>
      <c r="K13" s="1086">
        <f>0</f>
        <v>0</v>
      </c>
      <c r="L13" s="1086"/>
      <c r="M13" s="1087">
        <f>J13+K13</f>
        <v>0</v>
      </c>
      <c r="N13" s="1756">
        <f>+I13-M13</f>
        <v>0</v>
      </c>
      <c r="O13" s="2544"/>
      <c r="P13" s="1914"/>
      <c r="Q13" s="1914"/>
      <c r="R13" s="1054" t="s">
        <v>2103</v>
      </c>
      <c r="S13" s="1071">
        <f>+K26</f>
        <v>8219826.5053903172</v>
      </c>
      <c r="U13" s="1054">
        <v>26312008</v>
      </c>
      <c r="V13" s="2295">
        <f>U13-G15</f>
        <v>-4778159.3881355822</v>
      </c>
    </row>
    <row r="14" spans="4:22">
      <c r="D14" s="2537"/>
      <c r="E14" s="1088"/>
      <c r="F14" s="1752"/>
      <c r="G14" s="1752"/>
      <c r="H14" s="1749"/>
      <c r="I14" s="1086"/>
      <c r="J14" s="1087"/>
      <c r="K14" s="1086"/>
      <c r="L14" s="1086"/>
      <c r="M14" s="1087"/>
      <c r="N14" s="1756"/>
      <c r="O14" s="2545">
        <f t="shared" ref="O14:O23" si="0">F14-J14</f>
        <v>0</v>
      </c>
      <c r="P14" s="1915"/>
      <c r="Q14" s="1915"/>
      <c r="R14" s="755"/>
      <c r="S14" s="756"/>
      <c r="U14" s="755"/>
      <c r="V14" s="756"/>
    </row>
    <row r="15" spans="4:22" s="1055" customFormat="1">
      <c r="D15" s="2537">
        <v>2</v>
      </c>
      <c r="E15" s="1088" t="s">
        <v>1130</v>
      </c>
      <c r="F15" s="1752">
        <f>132856.773*1000</f>
        <v>132856772.99999999</v>
      </c>
      <c r="G15" s="1752">
        <f>(Sheet9!B21+Sheet9!B22)*1000</f>
        <v>31090167.388135582</v>
      </c>
      <c r="H15" s="1749">
        <v>0</v>
      </c>
      <c r="I15" s="1086">
        <f>F15+G15-H15</f>
        <v>163946940.38813555</v>
      </c>
      <c r="J15" s="1087">
        <f>88256.709*1000</f>
        <v>88256709</v>
      </c>
      <c r="K15" s="1086">
        <f>(SUM('FA Register Final'!L169:L178)+SUM('FA Register Final'!L206:L242)+SUM('FA Register Final'!L10:L113)+SUM('FA Register Final'!L114:L143))</f>
        <v>4968320.0033359602</v>
      </c>
      <c r="L15" s="1086"/>
      <c r="M15" s="1087">
        <f>J15+K15</f>
        <v>93225029.003335953</v>
      </c>
      <c r="N15" s="1756">
        <f>+I15-M15</f>
        <v>70721911.3847996</v>
      </c>
      <c r="O15" s="2545">
        <f t="shared" si="0"/>
        <v>44600063.999999985</v>
      </c>
      <c r="P15" s="1915" t="e">
        <f>K15-(F15/#REF!)</f>
        <v>#REF!</v>
      </c>
      <c r="Q15" s="1914"/>
      <c r="R15" s="1054" t="s">
        <v>2104</v>
      </c>
      <c r="S15" s="1054">
        <f>+S14*26%</f>
        <v>0</v>
      </c>
      <c r="T15" s="1054"/>
      <c r="U15" s="1054"/>
    </row>
    <row r="16" spans="4:22">
      <c r="D16" s="2537"/>
      <c r="E16" s="1085"/>
      <c r="F16" s="1752"/>
      <c r="G16" s="1752"/>
      <c r="H16" s="1749"/>
      <c r="I16" s="1086"/>
      <c r="J16" s="1087"/>
      <c r="K16" s="1086"/>
      <c r="L16" s="1086"/>
      <c r="M16" s="1087"/>
      <c r="N16" s="1756"/>
      <c r="O16" s="2545"/>
      <c r="P16" s="1915"/>
      <c r="Q16" s="1915"/>
      <c r="R16" s="755"/>
      <c r="S16" s="753"/>
      <c r="U16" s="755"/>
    </row>
    <row r="17" spans="3:21" s="1055" customFormat="1">
      <c r="C17" s="1099"/>
      <c r="D17" s="2537">
        <v>3</v>
      </c>
      <c r="E17" s="1088" t="s">
        <v>1131</v>
      </c>
      <c r="F17" s="1752">
        <f>4247.175*1000</f>
        <v>4247175</v>
      </c>
      <c r="G17" s="1752">
        <f>(Sheet9!B18+Sheet9!B19)*1000</f>
        <v>247236.44067796614</v>
      </c>
      <c r="H17" s="1749">
        <v>0</v>
      </c>
      <c r="I17" s="1086">
        <f>F17+G17-H17</f>
        <v>4494411.440677966</v>
      </c>
      <c r="J17" s="1087">
        <f>3434.687*1000</f>
        <v>3434687</v>
      </c>
      <c r="K17" s="1086">
        <f>(SUM('FA Register Final'!L159:L167)+SUM('FA Register Final'!L190:L197)+SUM('FA Register Final'!L3:L8))</f>
        <v>290888.03008008562</v>
      </c>
      <c r="L17" s="1086"/>
      <c r="M17" s="1087">
        <f>J17+K17</f>
        <v>3725575.0300800856</v>
      </c>
      <c r="N17" s="1756">
        <f>I17-M17</f>
        <v>768836.41059788037</v>
      </c>
      <c r="O17" s="2545">
        <f t="shared" si="0"/>
        <v>812488</v>
      </c>
      <c r="P17" s="1915" t="e">
        <f>K17-(F17/#REF!)</f>
        <v>#REF!</v>
      </c>
      <c r="Q17" s="1914"/>
      <c r="R17" s="1054"/>
      <c r="S17" s="1054">
        <f>+S16+S15</f>
        <v>0</v>
      </c>
      <c r="T17" s="1054"/>
      <c r="U17" s="1054"/>
    </row>
    <row r="18" spans="3:21">
      <c r="D18" s="2537"/>
      <c r="E18" s="1085"/>
      <c r="F18" s="1752"/>
      <c r="G18" s="1752"/>
      <c r="H18" s="1749"/>
      <c r="I18" s="1086"/>
      <c r="J18" s="1087"/>
      <c r="K18" s="1086"/>
      <c r="L18" s="1086"/>
      <c r="M18" s="1087"/>
      <c r="N18" s="1756"/>
      <c r="O18" s="2545"/>
      <c r="P18" s="1915"/>
      <c r="Q18" s="1915"/>
      <c r="R18" s="755"/>
      <c r="S18" s="755"/>
      <c r="T18" s="755"/>
      <c r="U18" s="755"/>
    </row>
    <row r="19" spans="3:21" s="1055" customFormat="1">
      <c r="D19" s="2537">
        <f>D17+1</f>
        <v>4</v>
      </c>
      <c r="E19" s="1088" t="s">
        <v>1132</v>
      </c>
      <c r="F19" s="752">
        <f>950.451*(1000)</f>
        <v>950451</v>
      </c>
      <c r="G19" s="1752">
        <v>0</v>
      </c>
      <c r="H19" s="1749">
        <v>0</v>
      </c>
      <c r="I19" s="1086">
        <f>F19+G19-H19</f>
        <v>950451</v>
      </c>
      <c r="J19" s="1087">
        <f>652.763*1000</f>
        <v>652763</v>
      </c>
      <c r="K19" s="1086">
        <v>0</v>
      </c>
      <c r="L19" s="1086"/>
      <c r="M19" s="1087">
        <f>J19+K19</f>
        <v>652763</v>
      </c>
      <c r="N19" s="1757">
        <f>I19-M19</f>
        <v>297688</v>
      </c>
      <c r="O19" s="2545">
        <f t="shared" si="0"/>
        <v>297688</v>
      </c>
      <c r="P19" s="1915" t="e">
        <f>K19-(F19/#REF!)</f>
        <v>#REF!</v>
      </c>
      <c r="Q19" s="1914"/>
      <c r="R19" s="1054"/>
      <c r="S19" s="1054"/>
      <c r="T19" s="1054"/>
      <c r="U19" s="1054"/>
    </row>
    <row r="20" spans="3:21">
      <c r="D20" s="2537"/>
      <c r="E20" s="1085"/>
      <c r="F20" s="752">
        <f>0*(1000)</f>
        <v>0</v>
      </c>
      <c r="G20" s="1752"/>
      <c r="H20" s="1749"/>
      <c r="I20" s="1086"/>
      <c r="J20" s="1087"/>
      <c r="K20" s="1086"/>
      <c r="L20" s="1086"/>
      <c r="M20" s="1087"/>
      <c r="N20" s="1756"/>
      <c r="O20" s="2545"/>
      <c r="P20" s="1915"/>
      <c r="Q20" s="1915"/>
      <c r="R20" s="755"/>
      <c r="S20" s="755"/>
      <c r="T20" s="755"/>
      <c r="U20" s="755"/>
    </row>
    <row r="21" spans="3:21" s="1055" customFormat="1">
      <c r="D21" s="2537">
        <f>+D19+1</f>
        <v>5</v>
      </c>
      <c r="E21" s="1088" t="s">
        <v>1133</v>
      </c>
      <c r="F21" s="752">
        <f>19219.29*(1000)</f>
        <v>19219290</v>
      </c>
      <c r="G21" s="1752">
        <f>(Sheet9!B24)*1000</f>
        <v>1696884</v>
      </c>
      <c r="H21" s="1749">
        <f>('Audit entries FY 22-23'!D70)</f>
        <v>865919</v>
      </c>
      <c r="I21" s="1086">
        <f>F21+G21-H21</f>
        <v>20050255</v>
      </c>
      <c r="J21" s="1087">
        <f>10335.411*1000</f>
        <v>10335411</v>
      </c>
      <c r="K21" s="1086">
        <f>(SUM('FA Register Final'!L182)+SUM('FA Register Final'!L245:L246)+SUM('FA Register Final'!I148:I150))</f>
        <v>2937535.3719742717</v>
      </c>
      <c r="L21" s="1086">
        <f>('Audit entries FY 22-23'!C69)</f>
        <v>822623.05</v>
      </c>
      <c r="M21" s="1087">
        <f>J21+K21-L21</f>
        <v>12450323.32197427</v>
      </c>
      <c r="N21" s="1756">
        <f>I21-M21</f>
        <v>7599931.67802573</v>
      </c>
      <c r="O21" s="2545">
        <f t="shared" si="0"/>
        <v>8883879</v>
      </c>
      <c r="P21" s="1915" t="e">
        <f>K21-(F21/#REF!)</f>
        <v>#REF!</v>
      </c>
      <c r="Q21" s="1914">
        <f>H21-L21</f>
        <v>43295.949999999953</v>
      </c>
      <c r="R21" s="1054">
        <v>3474505</v>
      </c>
      <c r="S21" s="1054">
        <f>O21-R21</f>
        <v>5409374</v>
      </c>
      <c r="T21" s="1054"/>
      <c r="U21" s="1054"/>
    </row>
    <row r="22" spans="3:21" s="1055" customFormat="1">
      <c r="D22" s="2537"/>
      <c r="E22" s="1088"/>
      <c r="F22" s="752">
        <f>0*(1000)</f>
        <v>0</v>
      </c>
      <c r="G22" s="1752"/>
      <c r="H22" s="1749"/>
      <c r="I22" s="1086"/>
      <c r="J22" s="1087"/>
      <c r="K22" s="1086"/>
      <c r="L22" s="1086"/>
      <c r="M22" s="1087"/>
      <c r="N22" s="1756"/>
      <c r="O22" s="2545"/>
      <c r="P22" s="1915"/>
      <c r="Q22" s="1915"/>
      <c r="R22" s="1054"/>
      <c r="S22" s="1054"/>
      <c r="T22" s="1054"/>
      <c r="U22" s="1054"/>
    </row>
    <row r="23" spans="3:21" s="1055" customFormat="1">
      <c r="D23" s="2537">
        <v>6</v>
      </c>
      <c r="E23" s="1088" t="s">
        <v>3470</v>
      </c>
      <c r="F23" s="752">
        <f>121.49*(1000)</f>
        <v>121490</v>
      </c>
      <c r="G23" s="1752">
        <v>0</v>
      </c>
      <c r="H23" s="1749">
        <v>0</v>
      </c>
      <c r="I23" s="1086">
        <f>F23+G23-H23</f>
        <v>121490</v>
      </c>
      <c r="J23" s="1087">
        <f>21.818*1000</f>
        <v>21818</v>
      </c>
      <c r="K23" s="1086">
        <f>('FA Register Final'!L188)</f>
        <v>23083.1</v>
      </c>
      <c r="L23" s="1086"/>
      <c r="M23" s="1087">
        <f>J23+K23</f>
        <v>44901.1</v>
      </c>
      <c r="N23" s="1756">
        <f>I23-M23</f>
        <v>76588.899999999994</v>
      </c>
      <c r="O23" s="2545">
        <f t="shared" si="0"/>
        <v>99672</v>
      </c>
      <c r="P23" s="1915"/>
      <c r="Q23" s="1914"/>
      <c r="R23" s="1054"/>
      <c r="S23" s="1054"/>
      <c r="T23" s="1054"/>
      <c r="U23" s="1054"/>
    </row>
    <row r="24" spans="3:21" s="1055" customFormat="1">
      <c r="D24" s="2537"/>
      <c r="E24" s="1088"/>
      <c r="F24" s="1752"/>
      <c r="G24" s="1752"/>
      <c r="H24" s="1749"/>
      <c r="I24" s="1086"/>
      <c r="J24" s="1087"/>
      <c r="K24" s="1086"/>
      <c r="L24" s="1086"/>
      <c r="M24" s="1087"/>
      <c r="N24" s="1756"/>
      <c r="O24" s="2545"/>
      <c r="P24" s="1915"/>
      <c r="Q24" s="1915"/>
      <c r="R24" s="1054"/>
      <c r="S24" s="1054"/>
      <c r="T24" s="1054"/>
      <c r="U24" s="1054"/>
    </row>
    <row r="25" spans="3:21">
      <c r="D25" s="2537"/>
      <c r="E25" s="2531"/>
      <c r="F25" s="1753"/>
      <c r="G25" s="1750"/>
      <c r="H25" s="1089"/>
      <c r="I25" s="1089"/>
      <c r="J25" s="1090"/>
      <c r="K25" s="1089"/>
      <c r="L25" s="1089"/>
      <c r="M25" s="1090"/>
      <c r="N25" s="1758"/>
      <c r="O25" s="2546"/>
      <c r="P25" s="1913"/>
      <c r="Q25" s="1913"/>
      <c r="R25" s="755">
        <v>49451812</v>
      </c>
      <c r="S25" s="752">
        <v>6839713</v>
      </c>
      <c r="T25" s="758">
        <f>J19-N19</f>
        <v>355075</v>
      </c>
    </row>
    <row r="26" spans="3:21" ht="20.399999999999999" thickBot="1">
      <c r="D26" s="2538"/>
      <c r="E26" s="2539" t="s">
        <v>78</v>
      </c>
      <c r="F26" s="2540">
        <f>SUM(F13:F23)</f>
        <v>158263430</v>
      </c>
      <c r="G26" s="2540">
        <f t="shared" ref="G26:O26" si="1">SUM(G13:G23)</f>
        <v>33034287.828813549</v>
      </c>
      <c r="H26" s="2540">
        <f t="shared" si="1"/>
        <v>1734170</v>
      </c>
      <c r="I26" s="2540">
        <f>SUM(I13:I23)</f>
        <v>189563547.82881352</v>
      </c>
      <c r="J26" s="2540">
        <f t="shared" si="1"/>
        <v>102701388</v>
      </c>
      <c r="K26" s="2540">
        <f t="shared" si="1"/>
        <v>8219826.5053903172</v>
      </c>
      <c r="L26" s="2540">
        <f t="shared" si="1"/>
        <v>822623.05</v>
      </c>
      <c r="M26" s="2540">
        <f t="shared" si="1"/>
        <v>110098591.4553903</v>
      </c>
      <c r="N26" s="2540">
        <f t="shared" si="1"/>
        <v>79464956.373423219</v>
      </c>
      <c r="O26" s="2547">
        <f t="shared" si="1"/>
        <v>54693790.999999985</v>
      </c>
      <c r="P26" s="1916">
        <f>O26-N26</f>
        <v>-24771165.373423234</v>
      </c>
      <c r="Q26" s="1916"/>
      <c r="R26" s="757">
        <v>42612099</v>
      </c>
      <c r="S26" s="755">
        <f>R25-S25</f>
        <v>42612099</v>
      </c>
    </row>
    <row r="27" spans="3:21" ht="82.5" customHeight="1" thickTop="1">
      <c r="C27" s="2298">
        <f>C28-G26</f>
        <v>-4786299.8288135491</v>
      </c>
      <c r="E27" s="752">
        <f>1000</f>
        <v>1000</v>
      </c>
      <c r="F27" s="1105"/>
      <c r="G27" s="2575">
        <f>33034-G26</f>
        <v>-33001253.828813549</v>
      </c>
      <c r="H27" s="1105"/>
      <c r="I27" s="1105">
        <f>189563548/1000</f>
        <v>189563.54800000001</v>
      </c>
      <c r="J27" s="1106">
        <f>H21-L21</f>
        <v>43295.949999999953</v>
      </c>
      <c r="K27" s="1106">
        <f>I27-J27</f>
        <v>146267.59800000006</v>
      </c>
      <c r="L27" s="1105"/>
      <c r="M27" s="1106">
        <f>I26-M26</f>
        <v>79464956.373423219</v>
      </c>
      <c r="N27" s="2609">
        <f>N26*1000</f>
        <v>79464956373.423218</v>
      </c>
      <c r="O27" s="1106">
        <f>K26-Dep_IT!I23*26%</f>
        <v>5146617.9253903171</v>
      </c>
      <c r="P27" s="1107"/>
      <c r="Q27" s="1107"/>
      <c r="T27" s="755"/>
    </row>
    <row r="28" spans="3:21">
      <c r="C28" s="2297">
        <v>28247988</v>
      </c>
      <c r="E28" s="2296"/>
      <c r="F28" s="755"/>
      <c r="G28" s="757">
        <v>16072619</v>
      </c>
      <c r="I28" s="755">
        <f>I27-I26</f>
        <v>-189373984.28081352</v>
      </c>
      <c r="J28" s="758">
        <f>I26-M26</f>
        <v>79464956.373423219</v>
      </c>
      <c r="K28" s="757"/>
      <c r="L28" s="757"/>
      <c r="M28" s="1108">
        <f>I26-M26</f>
        <v>79464956.373423219</v>
      </c>
      <c r="N28" s="1108"/>
      <c r="O28" s="755"/>
      <c r="P28" s="1866">
        <v>55562042</v>
      </c>
      <c r="Q28" s="1866"/>
    </row>
    <row r="29" spans="3:21" ht="20.399999999999999" hidden="1" thickBot="1">
      <c r="E29" s="1100"/>
      <c r="F29" s="1100"/>
      <c r="G29" s="1101"/>
      <c r="H29" s="1101"/>
      <c r="I29" s="1102"/>
      <c r="J29" s="1103"/>
      <c r="K29" s="1104"/>
      <c r="L29" s="2195"/>
    </row>
    <row r="30" spans="3:21" hidden="1">
      <c r="E30" s="759"/>
      <c r="F30" s="760"/>
      <c r="G30" s="761"/>
      <c r="H30" s="762"/>
      <c r="I30" s="763"/>
      <c r="J30" s="764"/>
      <c r="K30" s="765"/>
      <c r="L30" s="2196"/>
    </row>
    <row r="31" spans="3:21" hidden="1">
      <c r="E31" s="766"/>
      <c r="F31" s="767"/>
      <c r="G31" s="768"/>
      <c r="H31" s="769"/>
      <c r="I31" s="770"/>
      <c r="J31" s="771"/>
      <c r="K31" s="765"/>
      <c r="L31" s="2196"/>
    </row>
    <row r="32" spans="3:21" ht="16.5" hidden="1" customHeight="1">
      <c r="E32" s="766"/>
      <c r="F32" s="767"/>
      <c r="G32" s="768"/>
      <c r="H32" s="769"/>
      <c r="I32" s="770"/>
      <c r="J32" s="771"/>
      <c r="K32" s="765"/>
      <c r="L32" s="2196"/>
    </row>
    <row r="33" spans="2:20" hidden="1">
      <c r="E33" s="766"/>
      <c r="F33" s="767"/>
      <c r="G33" s="768"/>
      <c r="H33" s="769"/>
      <c r="I33" s="770"/>
      <c r="J33" s="771"/>
      <c r="K33" s="765"/>
      <c r="L33" s="2196"/>
      <c r="R33" s="772"/>
      <c r="S33" s="772"/>
      <c r="T33" s="772"/>
    </row>
    <row r="34" spans="2:20" hidden="1">
      <c r="E34" s="766"/>
      <c r="F34" s="767"/>
      <c r="G34" s="768"/>
      <c r="H34" s="769"/>
      <c r="I34" s="770"/>
      <c r="J34" s="771"/>
      <c r="K34" s="765"/>
      <c r="L34" s="2196"/>
    </row>
    <row r="35" spans="2:20" hidden="1">
      <c r="E35" s="766"/>
      <c r="F35" s="767"/>
      <c r="G35" s="768"/>
      <c r="H35" s="769"/>
      <c r="I35" s="770"/>
      <c r="J35" s="771"/>
      <c r="K35" s="765"/>
      <c r="L35" s="2196"/>
    </row>
    <row r="36" spans="2:20" hidden="1">
      <c r="E36" s="766"/>
      <c r="F36" s="767"/>
      <c r="G36" s="768"/>
      <c r="H36" s="769"/>
      <c r="I36" s="770"/>
      <c r="J36" s="771"/>
      <c r="K36" s="765"/>
      <c r="L36" s="2196"/>
    </row>
    <row r="37" spans="2:20" hidden="1">
      <c r="E37" s="766"/>
      <c r="F37" s="767"/>
      <c r="G37" s="768"/>
      <c r="H37" s="769"/>
      <c r="I37" s="770"/>
      <c r="J37" s="771"/>
      <c r="K37" s="765"/>
      <c r="L37" s="2196"/>
    </row>
    <row r="38" spans="2:20" hidden="1">
      <c r="E38" s="766"/>
      <c r="F38" s="767"/>
      <c r="G38" s="768"/>
      <c r="H38" s="769"/>
      <c r="I38" s="770"/>
      <c r="J38" s="771"/>
      <c r="K38" s="765"/>
      <c r="L38" s="2196"/>
    </row>
    <row r="39" spans="2:20" hidden="1">
      <c r="E39" s="766"/>
      <c r="F39" s="767"/>
      <c r="G39" s="768"/>
      <c r="H39" s="769"/>
      <c r="I39" s="770"/>
      <c r="J39" s="771"/>
      <c r="K39" s="765"/>
      <c r="L39" s="2196"/>
    </row>
    <row r="40" spans="2:20" hidden="1">
      <c r="E40" s="766"/>
      <c r="F40" s="767"/>
      <c r="G40" s="768"/>
      <c r="H40" s="769"/>
      <c r="I40" s="770"/>
      <c r="J40" s="771"/>
      <c r="K40" s="765"/>
      <c r="L40" s="2196"/>
    </row>
    <row r="41" spans="2:20" hidden="1">
      <c r="E41" s="766"/>
      <c r="F41" s="767"/>
      <c r="G41" s="768"/>
      <c r="H41" s="769"/>
      <c r="I41" s="770"/>
      <c r="J41" s="771"/>
      <c r="K41" s="765"/>
      <c r="L41" s="2196"/>
    </row>
    <row r="42" spans="2:20" hidden="1">
      <c r="E42" s="766"/>
      <c r="F42" s="767"/>
      <c r="G42" s="768"/>
      <c r="H42" s="769"/>
      <c r="I42" s="770"/>
      <c r="J42" s="771"/>
      <c r="K42" s="765"/>
      <c r="L42" s="2196"/>
    </row>
    <row r="43" spans="2:20" hidden="1">
      <c r="E43" s="766"/>
      <c r="F43" s="767"/>
      <c r="G43" s="768"/>
      <c r="H43" s="769"/>
      <c r="I43" s="770"/>
      <c r="J43" s="771"/>
      <c r="K43" s="765"/>
      <c r="L43" s="2196"/>
    </row>
    <row r="44" spans="2:20" hidden="1">
      <c r="B44" s="752">
        <v>0</v>
      </c>
      <c r="C44" s="752">
        <v>1550</v>
      </c>
      <c r="E44" s="766"/>
      <c r="F44" s="767"/>
      <c r="G44" s="768"/>
      <c r="H44" s="769"/>
      <c r="I44" s="770"/>
      <c r="J44" s="771"/>
      <c r="K44" s="765"/>
      <c r="L44" s="2196"/>
    </row>
    <row r="45" spans="2:20" hidden="1">
      <c r="E45" s="766"/>
      <c r="F45" s="767"/>
      <c r="G45" s="768"/>
      <c r="H45" s="769"/>
      <c r="I45" s="770"/>
      <c r="J45" s="771"/>
      <c r="K45" s="765"/>
      <c r="L45" s="2196"/>
    </row>
    <row r="46" spans="2:20" hidden="1">
      <c r="E46" s="766"/>
      <c r="F46" s="767"/>
      <c r="G46" s="768"/>
      <c r="H46" s="769"/>
      <c r="I46" s="770"/>
      <c r="J46" s="771"/>
      <c r="K46" s="765"/>
      <c r="L46" s="2196"/>
    </row>
    <row r="47" spans="2:20" hidden="1">
      <c r="E47" s="766"/>
      <c r="F47" s="767"/>
      <c r="G47" s="768"/>
      <c r="H47" s="769"/>
      <c r="I47" s="770"/>
      <c r="J47" s="771"/>
      <c r="K47" s="765"/>
      <c r="L47" s="2196"/>
    </row>
    <row r="48" spans="2:20" hidden="1">
      <c r="E48" s="766"/>
      <c r="F48" s="767"/>
      <c r="G48" s="768"/>
      <c r="H48" s="769"/>
      <c r="I48" s="770"/>
      <c r="J48" s="771"/>
      <c r="K48" s="765"/>
      <c r="L48" s="2196"/>
    </row>
    <row r="49" spans="3:12" hidden="1">
      <c r="E49" s="766"/>
      <c r="F49" s="767"/>
      <c r="G49" s="768"/>
      <c r="H49" s="769"/>
      <c r="I49" s="770"/>
      <c r="J49" s="771"/>
      <c r="K49" s="765"/>
      <c r="L49" s="2196"/>
    </row>
    <row r="50" spans="3:12" hidden="1">
      <c r="E50" s="766"/>
      <c r="F50" s="767"/>
      <c r="G50" s="768"/>
      <c r="H50" s="769"/>
      <c r="I50" s="770"/>
      <c r="J50" s="771"/>
      <c r="K50" s="765"/>
      <c r="L50" s="2196"/>
    </row>
    <row r="51" spans="3:12" hidden="1">
      <c r="C51" s="752">
        <v>709574</v>
      </c>
      <c r="E51" s="766"/>
      <c r="F51" s="767"/>
      <c r="G51" s="768"/>
      <c r="H51" s="769"/>
      <c r="I51" s="770"/>
      <c r="J51" s="771"/>
      <c r="K51" s="765"/>
      <c r="L51" s="2196"/>
    </row>
    <row r="52" spans="3:12" hidden="1">
      <c r="C52" s="773">
        <v>20202</v>
      </c>
      <c r="E52" s="766"/>
      <c r="F52" s="767"/>
      <c r="G52" s="768"/>
      <c r="H52" s="769"/>
      <c r="I52" s="770"/>
      <c r="J52" s="771"/>
      <c r="K52" s="765"/>
      <c r="L52" s="2196"/>
    </row>
    <row r="53" spans="3:12" hidden="1">
      <c r="E53" s="766"/>
      <c r="F53" s="767"/>
      <c r="G53" s="768"/>
      <c r="H53" s="769"/>
      <c r="I53" s="770"/>
      <c r="J53" s="771"/>
      <c r="K53" s="765"/>
      <c r="L53" s="2196"/>
    </row>
    <row r="54" spans="3:12" hidden="1">
      <c r="E54" s="766"/>
      <c r="F54" s="767"/>
      <c r="G54" s="768"/>
      <c r="H54" s="769"/>
      <c r="I54" s="769"/>
      <c r="J54" s="771"/>
      <c r="K54" s="765"/>
      <c r="L54" s="2196"/>
    </row>
    <row r="55" spans="3:12" hidden="1">
      <c r="E55" s="766"/>
      <c r="F55" s="767"/>
      <c r="G55" s="768"/>
      <c r="H55" s="769"/>
      <c r="I55" s="769"/>
      <c r="J55" s="771"/>
      <c r="K55" s="765"/>
      <c r="L55" s="2196"/>
    </row>
    <row r="56" spans="3:12" hidden="1">
      <c r="E56" s="766"/>
      <c r="F56" s="767"/>
      <c r="G56" s="768"/>
      <c r="H56" s="769"/>
      <c r="I56" s="769"/>
      <c r="J56" s="771"/>
      <c r="K56" s="765"/>
      <c r="L56" s="2196"/>
    </row>
    <row r="57" spans="3:12" hidden="1">
      <c r="E57" s="766"/>
      <c r="F57" s="767"/>
      <c r="G57" s="768"/>
      <c r="H57" s="769"/>
      <c r="I57" s="769"/>
      <c r="J57" s="771"/>
      <c r="K57" s="765"/>
      <c r="L57" s="2196"/>
    </row>
    <row r="58" spans="3:12" hidden="1">
      <c r="E58" s="766"/>
      <c r="F58" s="767"/>
      <c r="G58" s="768"/>
      <c r="H58" s="769"/>
      <c r="I58" s="769"/>
      <c r="J58" s="771"/>
      <c r="K58" s="765"/>
      <c r="L58" s="2196"/>
    </row>
    <row r="59" spans="3:12" hidden="1">
      <c r="E59" s="766"/>
      <c r="F59" s="767"/>
      <c r="G59" s="768"/>
      <c r="H59" s="769"/>
      <c r="I59" s="769"/>
      <c r="J59" s="771"/>
      <c r="K59" s="765"/>
      <c r="L59" s="2196"/>
    </row>
    <row r="60" spans="3:12" hidden="1">
      <c r="E60" s="766"/>
      <c r="F60" s="767"/>
      <c r="G60" s="768"/>
      <c r="H60" s="769"/>
      <c r="I60" s="769"/>
      <c r="J60" s="771"/>
      <c r="K60" s="765"/>
      <c r="L60" s="2196"/>
    </row>
    <row r="61" spans="3:12" hidden="1">
      <c r="E61" s="766"/>
      <c r="F61" s="767"/>
      <c r="G61" s="768"/>
      <c r="H61" s="769"/>
      <c r="I61" s="769"/>
      <c r="J61" s="771"/>
      <c r="K61" s="765"/>
      <c r="L61" s="2196"/>
    </row>
    <row r="62" spans="3:12" hidden="1">
      <c r="E62" s="766"/>
      <c r="F62" s="767"/>
      <c r="G62" s="768"/>
      <c r="H62" s="769"/>
      <c r="I62" s="769"/>
      <c r="J62" s="771"/>
      <c r="K62" s="765"/>
      <c r="L62" s="2196"/>
    </row>
    <row r="63" spans="3:12" hidden="1">
      <c r="E63" s="766"/>
      <c r="F63" s="767"/>
      <c r="G63" s="768"/>
      <c r="H63" s="769"/>
      <c r="I63" s="769"/>
      <c r="J63" s="771"/>
      <c r="K63" s="774"/>
      <c r="L63" s="2197"/>
    </row>
    <row r="64" spans="3:12" hidden="1">
      <c r="E64" s="766"/>
      <c r="F64" s="767"/>
      <c r="G64" s="768"/>
      <c r="H64" s="769"/>
      <c r="I64" s="769"/>
      <c r="J64" s="766"/>
      <c r="K64" s="774"/>
      <c r="L64" s="2197"/>
    </row>
    <row r="65" spans="5:12" hidden="1">
      <c r="E65" s="775"/>
      <c r="F65" s="767"/>
      <c r="G65" s="768"/>
      <c r="H65" s="769"/>
      <c r="I65" s="769"/>
      <c r="J65" s="771"/>
      <c r="K65" s="765"/>
      <c r="L65" s="2196"/>
    </row>
    <row r="66" spans="5:12" hidden="1">
      <c r="E66" s="766"/>
      <c r="F66" s="767"/>
      <c r="G66" s="768"/>
      <c r="H66" s="769"/>
      <c r="I66" s="769"/>
      <c r="J66" s="771"/>
      <c r="K66" s="774"/>
      <c r="L66" s="2197"/>
    </row>
    <row r="67" spans="5:12" hidden="1">
      <c r="E67" s="766"/>
      <c r="F67" s="767"/>
      <c r="G67" s="768"/>
      <c r="H67" s="769"/>
      <c r="I67" s="769"/>
      <c r="J67" s="771"/>
      <c r="K67" s="774"/>
      <c r="L67" s="2197"/>
    </row>
    <row r="68" spans="5:12" hidden="1">
      <c r="E68" s="766"/>
      <c r="F68" s="767"/>
      <c r="G68" s="768"/>
      <c r="H68" s="769"/>
      <c r="I68" s="769"/>
      <c r="J68" s="771"/>
      <c r="K68" s="774"/>
      <c r="L68" s="2197"/>
    </row>
    <row r="69" spans="5:12" hidden="1">
      <c r="E69" s="766"/>
      <c r="F69" s="767"/>
      <c r="G69" s="768"/>
      <c r="H69" s="769"/>
      <c r="I69" s="769"/>
      <c r="J69" s="771"/>
      <c r="K69" s="774"/>
      <c r="L69" s="2197"/>
    </row>
    <row r="70" spans="5:12" hidden="1">
      <c r="E70" s="766"/>
      <c r="F70" s="767"/>
      <c r="G70" s="768"/>
      <c r="H70" s="769"/>
      <c r="I70" s="769"/>
      <c r="J70" s="771"/>
      <c r="K70" s="774"/>
      <c r="L70" s="2197"/>
    </row>
    <row r="71" spans="5:12" hidden="1">
      <c r="E71" s="766"/>
      <c r="F71" s="767"/>
      <c r="G71" s="768"/>
      <c r="H71" s="769"/>
      <c r="I71" s="769"/>
      <c r="J71" s="771"/>
      <c r="K71" s="774"/>
      <c r="L71" s="2197"/>
    </row>
    <row r="72" spans="5:12" hidden="1">
      <c r="E72" s="766"/>
      <c r="F72" s="767"/>
      <c r="G72" s="768"/>
      <c r="H72" s="769"/>
      <c r="I72" s="769"/>
      <c r="J72" s="771"/>
      <c r="K72" s="774"/>
      <c r="L72" s="2197"/>
    </row>
    <row r="73" spans="5:12" hidden="1">
      <c r="E73" s="766"/>
      <c r="F73" s="767"/>
      <c r="G73" s="768"/>
      <c r="H73" s="769"/>
      <c r="I73" s="769"/>
      <c r="J73" s="771"/>
      <c r="K73" s="774"/>
      <c r="L73" s="2197"/>
    </row>
    <row r="74" spans="5:12" hidden="1">
      <c r="E74" s="766"/>
      <c r="F74" s="767"/>
      <c r="G74" s="768"/>
      <c r="H74" s="769"/>
      <c r="I74" s="769"/>
      <c r="J74" s="771"/>
      <c r="K74" s="774"/>
      <c r="L74" s="2197"/>
    </row>
    <row r="75" spans="5:12" hidden="1">
      <c r="E75" s="766"/>
      <c r="F75" s="767"/>
      <c r="G75" s="768"/>
      <c r="H75" s="769"/>
      <c r="I75" s="769"/>
      <c r="J75" s="771"/>
      <c r="K75" s="774"/>
      <c r="L75" s="2197"/>
    </row>
    <row r="76" spans="5:12" hidden="1">
      <c r="E76" s="766"/>
      <c r="F76" s="767"/>
      <c r="G76" s="768"/>
      <c r="H76" s="769"/>
      <c r="I76" s="769"/>
      <c r="J76" s="771"/>
      <c r="K76" s="774"/>
      <c r="L76" s="2197"/>
    </row>
    <row r="77" spans="5:12" hidden="1">
      <c r="E77" s="766"/>
      <c r="F77" s="767"/>
      <c r="G77" s="768"/>
      <c r="H77" s="769"/>
      <c r="I77" s="769"/>
      <c r="J77" s="771"/>
      <c r="K77" s="774"/>
      <c r="L77" s="2197"/>
    </row>
    <row r="78" spans="5:12" hidden="1">
      <c r="E78" s="766"/>
      <c r="F78" s="767"/>
      <c r="G78" s="768"/>
      <c r="H78" s="769"/>
      <c r="I78" s="769"/>
      <c r="J78" s="771"/>
      <c r="K78" s="774"/>
      <c r="L78" s="2197"/>
    </row>
    <row r="79" spans="5:12" hidden="1">
      <c r="E79" s="766"/>
      <c r="F79" s="767"/>
      <c r="G79" s="768"/>
      <c r="H79" s="769"/>
      <c r="I79" s="769"/>
      <c r="J79" s="771"/>
      <c r="K79" s="774"/>
      <c r="L79" s="2197"/>
    </row>
    <row r="80" spans="5:12" hidden="1">
      <c r="E80" s="766"/>
      <c r="F80" s="767"/>
      <c r="G80" s="768"/>
      <c r="H80" s="769"/>
      <c r="I80" s="769"/>
      <c r="J80" s="771"/>
      <c r="K80" s="774"/>
      <c r="L80" s="2197"/>
    </row>
    <row r="81" spans="5:12" hidden="1">
      <c r="E81" s="766"/>
      <c r="F81" s="767"/>
      <c r="G81" s="768"/>
      <c r="H81" s="769"/>
      <c r="I81" s="769"/>
      <c r="J81" s="771"/>
      <c r="K81" s="774"/>
      <c r="L81" s="2197"/>
    </row>
    <row r="82" spans="5:12" hidden="1">
      <c r="E82" s="766"/>
      <c r="F82" s="767"/>
      <c r="G82" s="768"/>
      <c r="H82" s="769"/>
      <c r="I82" s="769"/>
      <c r="J82" s="771"/>
      <c r="K82" s="774"/>
      <c r="L82" s="2197"/>
    </row>
    <row r="83" spans="5:12" hidden="1">
      <c r="E83" s="766"/>
      <c r="F83" s="767"/>
      <c r="G83" s="768"/>
      <c r="H83" s="769"/>
      <c r="I83" s="769"/>
      <c r="J83" s="771"/>
      <c r="K83" s="774"/>
      <c r="L83" s="2197"/>
    </row>
    <row r="84" spans="5:12" hidden="1">
      <c r="E84" s="766"/>
      <c r="F84" s="767"/>
      <c r="G84" s="768"/>
      <c r="H84" s="769"/>
      <c r="I84" s="769"/>
      <c r="J84" s="771"/>
      <c r="K84" s="774"/>
      <c r="L84" s="2197"/>
    </row>
    <row r="85" spans="5:12" hidden="1">
      <c r="E85" s="775"/>
      <c r="F85" s="767"/>
      <c r="G85" s="768"/>
      <c r="H85" s="769"/>
      <c r="I85" s="769"/>
      <c r="J85" s="771"/>
      <c r="K85" s="765"/>
      <c r="L85" s="2196"/>
    </row>
    <row r="86" spans="5:12" hidden="1">
      <c r="E86" s="766"/>
      <c r="F86" s="767"/>
      <c r="G86" s="768"/>
      <c r="H86" s="769"/>
      <c r="I86" s="769"/>
      <c r="J86" s="771"/>
      <c r="K86" s="765"/>
      <c r="L86" s="2196"/>
    </row>
    <row r="87" spans="5:12" hidden="1">
      <c r="E87" s="766"/>
      <c r="F87" s="767"/>
      <c r="G87" s="768"/>
      <c r="H87" s="769"/>
      <c r="I87" s="769"/>
      <c r="J87" s="771"/>
      <c r="K87" s="765"/>
      <c r="L87" s="2196"/>
    </row>
    <row r="88" spans="5:12" hidden="1">
      <c r="E88" s="766"/>
      <c r="F88" s="767"/>
      <c r="G88" s="768"/>
      <c r="H88" s="769"/>
      <c r="I88" s="769"/>
      <c r="J88" s="771"/>
      <c r="K88" s="765"/>
      <c r="L88" s="2196"/>
    </row>
    <row r="89" spans="5:12" hidden="1">
      <c r="E89" s="766"/>
      <c r="F89" s="767"/>
      <c r="G89" s="768"/>
      <c r="H89" s="769"/>
      <c r="I89" s="769"/>
      <c r="J89" s="771"/>
      <c r="K89" s="765"/>
      <c r="L89" s="2196"/>
    </row>
    <row r="90" spans="5:12" hidden="1">
      <c r="E90" s="766"/>
      <c r="F90" s="767"/>
      <c r="G90" s="768"/>
      <c r="H90" s="769"/>
      <c r="I90" s="769"/>
      <c r="J90" s="771"/>
      <c r="K90" s="765"/>
      <c r="L90" s="2196"/>
    </row>
    <row r="91" spans="5:12" hidden="1">
      <c r="E91" s="766"/>
      <c r="F91" s="767"/>
      <c r="G91" s="768"/>
      <c r="H91" s="769"/>
      <c r="I91" s="769"/>
      <c r="J91" s="771"/>
      <c r="K91" s="765"/>
      <c r="L91" s="2196"/>
    </row>
    <row r="92" spans="5:12" hidden="1">
      <c r="E92" s="766"/>
      <c r="F92" s="767"/>
      <c r="G92" s="768"/>
      <c r="H92" s="769"/>
      <c r="I92" s="769"/>
      <c r="J92" s="771"/>
      <c r="K92" s="765"/>
      <c r="L92" s="2196"/>
    </row>
    <row r="93" spans="5:12" hidden="1">
      <c r="E93" s="766"/>
      <c r="F93" s="767"/>
      <c r="G93" s="768"/>
      <c r="H93" s="769"/>
      <c r="I93" s="769"/>
      <c r="J93" s="771"/>
      <c r="K93" s="774"/>
      <c r="L93" s="2197"/>
    </row>
    <row r="94" spans="5:12" hidden="1">
      <c r="E94" s="766"/>
      <c r="F94" s="767"/>
      <c r="G94" s="768"/>
      <c r="H94" s="769"/>
      <c r="I94" s="769"/>
      <c r="J94" s="771"/>
      <c r="K94" s="774"/>
      <c r="L94" s="2197"/>
    </row>
    <row r="95" spans="5:12" hidden="1">
      <c r="E95" s="775"/>
      <c r="F95" s="767"/>
      <c r="G95" s="768"/>
      <c r="H95" s="769"/>
      <c r="I95" s="769"/>
      <c r="J95" s="771"/>
      <c r="K95" s="774"/>
      <c r="L95" s="2197"/>
    </row>
    <row r="96" spans="5:12" hidden="1">
      <c r="E96" s="766"/>
      <c r="F96" s="767"/>
      <c r="G96" s="768"/>
      <c r="H96" s="769"/>
      <c r="I96" s="769"/>
      <c r="J96" s="771"/>
      <c r="K96" s="774"/>
      <c r="L96" s="2197"/>
    </row>
    <row r="97" spans="4:12" hidden="1">
      <c r="E97" s="766"/>
      <c r="F97" s="767"/>
      <c r="G97" s="768"/>
      <c r="H97" s="769"/>
      <c r="I97" s="769"/>
      <c r="J97" s="771"/>
      <c r="K97" s="774"/>
      <c r="L97" s="2197"/>
    </row>
    <row r="98" spans="4:12" hidden="1">
      <c r="E98" s="766"/>
      <c r="F98" s="767"/>
      <c r="G98" s="768"/>
      <c r="H98" s="769"/>
      <c r="I98" s="769"/>
      <c r="J98" s="771"/>
      <c r="K98" s="774"/>
      <c r="L98" s="2197"/>
    </row>
    <row r="99" spans="4:12" hidden="1">
      <c r="E99" s="766"/>
      <c r="F99" s="767"/>
      <c r="G99" s="768"/>
      <c r="H99" s="769"/>
      <c r="I99" s="769"/>
      <c r="J99" s="771"/>
      <c r="K99" s="774"/>
      <c r="L99" s="2197"/>
    </row>
    <row r="100" spans="4:12" hidden="1">
      <c r="E100" s="766"/>
      <c r="F100" s="767"/>
      <c r="G100" s="768"/>
      <c r="H100" s="769"/>
      <c r="I100" s="769"/>
      <c r="J100" s="771"/>
      <c r="K100" s="774"/>
      <c r="L100" s="2197"/>
    </row>
    <row r="101" spans="4:12" hidden="1">
      <c r="E101" s="766"/>
      <c r="F101" s="767"/>
      <c r="G101" s="768"/>
      <c r="H101" s="769"/>
      <c r="I101" s="769"/>
      <c r="J101" s="771"/>
      <c r="K101" s="774"/>
      <c r="L101" s="2197"/>
    </row>
    <row r="102" spans="4:12" hidden="1">
      <c r="E102" s="775"/>
      <c r="F102" s="767"/>
      <c r="G102" s="768"/>
      <c r="H102" s="769"/>
      <c r="I102" s="769"/>
      <c r="J102" s="771"/>
      <c r="K102" s="774"/>
      <c r="L102" s="2197"/>
    </row>
    <row r="103" spans="4:12" hidden="1">
      <c r="E103" s="766"/>
      <c r="F103" s="767"/>
      <c r="G103" s="768"/>
      <c r="H103" s="769"/>
      <c r="I103" s="769"/>
      <c r="J103" s="771"/>
      <c r="K103" s="774"/>
      <c r="L103" s="2197"/>
    </row>
    <row r="104" spans="4:12" hidden="1">
      <c r="D104" s="766"/>
      <c r="E104" s="766"/>
      <c r="F104" s="767"/>
      <c r="G104" s="768"/>
      <c r="H104" s="769"/>
      <c r="I104" s="769"/>
      <c r="J104" s="771"/>
      <c r="K104" s="774"/>
      <c r="L104" s="2197"/>
    </row>
    <row r="105" spans="4:12" hidden="1">
      <c r="D105" s="776"/>
      <c r="E105" s="766"/>
      <c r="F105" s="767"/>
      <c r="G105" s="768"/>
      <c r="H105" s="769"/>
      <c r="I105" s="769"/>
      <c r="J105" s="771"/>
      <c r="K105" s="774"/>
      <c r="L105" s="2197"/>
    </row>
    <row r="106" spans="4:12" hidden="1">
      <c r="D106" s="776"/>
      <c r="E106" s="766"/>
      <c r="F106" s="767"/>
      <c r="G106" s="768"/>
      <c r="H106" s="769"/>
      <c r="I106" s="769"/>
      <c r="J106" s="771"/>
      <c r="K106" s="774"/>
      <c r="L106" s="2197"/>
    </row>
    <row r="107" spans="4:12" hidden="1">
      <c r="E107" s="766"/>
      <c r="F107" s="767"/>
      <c r="G107" s="768"/>
      <c r="H107" s="769"/>
      <c r="I107" s="769"/>
      <c r="J107" s="771"/>
      <c r="K107" s="774"/>
      <c r="L107" s="2197"/>
    </row>
    <row r="108" spans="4:12" hidden="1">
      <c r="E108" s="766"/>
      <c r="F108" s="767"/>
      <c r="G108" s="768"/>
      <c r="H108" s="769"/>
      <c r="I108" s="769"/>
      <c r="J108" s="771"/>
      <c r="K108" s="774"/>
      <c r="L108" s="2197"/>
    </row>
    <row r="109" spans="4:12" hidden="1">
      <c r="E109" s="766"/>
      <c r="F109" s="767"/>
      <c r="G109" s="768"/>
      <c r="H109" s="769"/>
      <c r="I109" s="769"/>
      <c r="J109" s="771"/>
      <c r="K109" s="774"/>
      <c r="L109" s="2197"/>
    </row>
    <row r="110" spans="4:12" hidden="1">
      <c r="E110" s="766"/>
      <c r="F110" s="767"/>
      <c r="G110" s="768"/>
      <c r="H110" s="769"/>
      <c r="I110" s="769"/>
      <c r="J110" s="771"/>
      <c r="K110" s="774"/>
      <c r="L110" s="2197"/>
    </row>
    <row r="111" spans="4:12" hidden="1">
      <c r="E111" s="766"/>
      <c r="F111" s="767"/>
      <c r="G111" s="768"/>
      <c r="H111" s="769"/>
      <c r="I111" s="769"/>
      <c r="J111" s="771"/>
      <c r="K111" s="774"/>
      <c r="L111" s="2197"/>
    </row>
    <row r="112" spans="4:12" hidden="1">
      <c r="E112" s="766"/>
      <c r="F112" s="767"/>
      <c r="G112" s="768"/>
      <c r="H112" s="769"/>
      <c r="I112" s="769"/>
      <c r="J112" s="771"/>
      <c r="K112" s="774"/>
      <c r="L112" s="2197"/>
    </row>
    <row r="113" spans="5:12" hidden="1">
      <c r="E113" s="766"/>
      <c r="F113" s="767"/>
      <c r="G113" s="768"/>
      <c r="H113" s="769"/>
      <c r="I113" s="769"/>
      <c r="J113" s="771"/>
      <c r="K113" s="774"/>
      <c r="L113" s="2197"/>
    </row>
    <row r="114" spans="5:12" hidden="1">
      <c r="E114" s="766"/>
      <c r="F114" s="767"/>
      <c r="G114" s="768"/>
      <c r="H114" s="769"/>
      <c r="I114" s="769"/>
      <c r="J114" s="771"/>
      <c r="K114" s="774"/>
      <c r="L114" s="2197"/>
    </row>
    <row r="115" spans="5:12" hidden="1">
      <c r="E115" s="766"/>
      <c r="F115" s="767"/>
      <c r="G115" s="768"/>
      <c r="H115" s="769"/>
      <c r="I115" s="769"/>
      <c r="J115" s="771"/>
      <c r="K115" s="774"/>
      <c r="L115" s="2197"/>
    </row>
    <row r="116" spans="5:12" hidden="1">
      <c r="E116" s="766"/>
      <c r="F116" s="767"/>
      <c r="G116" s="768"/>
      <c r="H116" s="769"/>
      <c r="I116" s="769"/>
      <c r="J116" s="771"/>
      <c r="K116" s="774"/>
      <c r="L116" s="2197"/>
    </row>
    <row r="117" spans="5:12" hidden="1">
      <c r="E117" s="766"/>
      <c r="F117" s="767"/>
      <c r="G117" s="768"/>
      <c r="H117" s="769"/>
      <c r="I117" s="769"/>
      <c r="J117" s="771"/>
      <c r="K117" s="774"/>
      <c r="L117" s="2197"/>
    </row>
    <row r="118" spans="5:12" hidden="1">
      <c r="E118" s="766"/>
      <c r="F118" s="767"/>
      <c r="G118" s="768"/>
      <c r="H118" s="769"/>
      <c r="I118" s="769"/>
      <c r="J118" s="771"/>
      <c r="K118" s="774"/>
      <c r="L118" s="2197"/>
    </row>
    <row r="119" spans="5:12" hidden="1">
      <c r="E119" s="766"/>
      <c r="F119" s="767"/>
      <c r="G119" s="768"/>
      <c r="H119" s="769"/>
      <c r="I119" s="769"/>
      <c r="J119" s="771"/>
      <c r="K119" s="774"/>
      <c r="L119" s="2197"/>
    </row>
    <row r="120" spans="5:12" hidden="1">
      <c r="E120" s="775"/>
      <c r="F120" s="767"/>
      <c r="G120" s="768"/>
      <c r="H120" s="769"/>
      <c r="I120" s="769"/>
      <c r="J120" s="771"/>
      <c r="K120" s="774"/>
      <c r="L120" s="2197"/>
    </row>
    <row r="121" spans="5:12" hidden="1">
      <c r="E121" s="766"/>
      <c r="F121" s="767"/>
      <c r="G121" s="768"/>
      <c r="H121" s="769"/>
      <c r="I121" s="769"/>
      <c r="J121" s="771"/>
      <c r="K121" s="774"/>
      <c r="L121" s="2197"/>
    </row>
    <row r="122" spans="5:12" hidden="1">
      <c r="E122" s="766"/>
      <c r="F122" s="767"/>
      <c r="G122" s="768"/>
      <c r="H122" s="769"/>
      <c r="I122" s="769"/>
      <c r="J122" s="771"/>
      <c r="K122" s="774"/>
      <c r="L122" s="2197"/>
    </row>
    <row r="123" spans="5:12" hidden="1">
      <c r="E123" s="766"/>
      <c r="F123" s="777"/>
      <c r="G123" s="768"/>
      <c r="H123" s="769"/>
      <c r="I123" s="769"/>
      <c r="J123" s="771"/>
      <c r="K123" s="774"/>
      <c r="L123" s="2197"/>
    </row>
    <row r="124" spans="5:12" hidden="1">
      <c r="E124" s="766"/>
      <c r="F124" s="778"/>
      <c r="G124" s="768"/>
      <c r="H124" s="769"/>
      <c r="I124" s="770"/>
      <c r="J124" s="771"/>
      <c r="K124" s="774"/>
      <c r="L124" s="2197"/>
    </row>
    <row r="125" spans="5:12" hidden="1">
      <c r="E125" s="766"/>
      <c r="F125" s="778"/>
      <c r="G125" s="768"/>
      <c r="H125" s="769"/>
      <c r="I125" s="770"/>
      <c r="J125" s="771"/>
      <c r="K125" s="774"/>
      <c r="L125" s="2197"/>
    </row>
    <row r="126" spans="5:12" hidden="1">
      <c r="E126" s="766"/>
      <c r="F126" s="778"/>
      <c r="G126" s="768"/>
      <c r="H126" s="769"/>
      <c r="I126" s="770"/>
      <c r="J126" s="771"/>
      <c r="K126" s="774"/>
      <c r="L126" s="2197"/>
    </row>
    <row r="127" spans="5:12" hidden="1">
      <c r="E127" s="775"/>
      <c r="F127" s="777"/>
      <c r="G127" s="768"/>
      <c r="H127" s="769"/>
      <c r="I127" s="770"/>
      <c r="J127" s="771"/>
      <c r="K127" s="774"/>
      <c r="L127" s="2197"/>
    </row>
    <row r="128" spans="5:12" hidden="1">
      <c r="E128" s="766"/>
      <c r="F128" s="777"/>
      <c r="G128" s="768"/>
      <c r="H128" s="769"/>
      <c r="I128" s="770"/>
      <c r="J128" s="771"/>
      <c r="K128" s="774"/>
      <c r="L128" s="2197"/>
    </row>
    <row r="129" spans="5:21" hidden="1">
      <c r="E129" s="766"/>
      <c r="F129" s="777"/>
      <c r="G129" s="768"/>
      <c r="H129" s="769"/>
      <c r="I129" s="770"/>
      <c r="J129" s="771"/>
      <c r="K129" s="774"/>
      <c r="L129" s="2197"/>
    </row>
    <row r="130" spans="5:21" hidden="1">
      <c r="E130" s="766"/>
      <c r="F130" s="778"/>
      <c r="G130" s="768"/>
      <c r="H130" s="769"/>
      <c r="I130" s="770"/>
      <c r="J130" s="771"/>
      <c r="K130" s="774"/>
      <c r="L130" s="2197"/>
    </row>
    <row r="131" spans="5:21" hidden="1">
      <c r="E131" s="766"/>
      <c r="F131" s="778"/>
      <c r="G131" s="768"/>
      <c r="H131" s="769"/>
      <c r="I131" s="770"/>
      <c r="J131" s="771"/>
      <c r="K131" s="774"/>
      <c r="L131" s="2197"/>
    </row>
    <row r="132" spans="5:21" hidden="1">
      <c r="E132" s="766"/>
      <c r="F132" s="778"/>
      <c r="G132" s="768"/>
      <c r="H132" s="769"/>
      <c r="I132" s="770"/>
      <c r="J132" s="771"/>
      <c r="K132" s="774"/>
      <c r="L132" s="2197"/>
    </row>
    <row r="133" spans="5:21" hidden="1">
      <c r="E133" s="766"/>
      <c r="F133" s="778"/>
      <c r="G133" s="768"/>
      <c r="H133" s="769"/>
      <c r="I133" s="770"/>
      <c r="J133" s="771"/>
      <c r="K133" s="774"/>
      <c r="L133" s="2197"/>
    </row>
    <row r="134" spans="5:21" hidden="1">
      <c r="E134" s="766"/>
      <c r="F134" s="778"/>
      <c r="G134" s="768"/>
      <c r="H134" s="769"/>
      <c r="I134" s="770"/>
      <c r="J134" s="771"/>
      <c r="K134" s="774"/>
      <c r="L134" s="2197"/>
    </row>
    <row r="135" spans="5:21" hidden="1">
      <c r="E135" s="766"/>
      <c r="F135" s="778"/>
      <c r="G135" s="768"/>
      <c r="H135" s="769"/>
      <c r="I135" s="770"/>
      <c r="J135" s="771"/>
      <c r="K135" s="774"/>
      <c r="L135" s="2197"/>
    </row>
    <row r="136" spans="5:21" hidden="1">
      <c r="E136" s="766"/>
      <c r="F136" s="778"/>
      <c r="G136" s="768"/>
      <c r="H136" s="769"/>
      <c r="I136" s="770"/>
      <c r="J136" s="771"/>
      <c r="K136" s="779"/>
    </row>
    <row r="137" spans="5:21" ht="20.399999999999999" hidden="1" thickBot="1">
      <c r="E137" s="780"/>
      <c r="F137" s="778"/>
      <c r="G137" s="768"/>
      <c r="H137" s="769"/>
      <c r="I137" s="770"/>
      <c r="J137" s="781"/>
      <c r="K137" s="782"/>
      <c r="L137" s="2198"/>
    </row>
    <row r="138" spans="5:21" hidden="1">
      <c r="E138" s="783"/>
      <c r="F138" s="777"/>
      <c r="G138" s="768"/>
      <c r="H138" s="769"/>
      <c r="I138" s="770"/>
      <c r="J138" s="784"/>
      <c r="K138" s="785"/>
      <c r="L138" s="2199"/>
    </row>
    <row r="139" spans="5:21" ht="20.399999999999999" hidden="1" thickBot="1">
      <c r="E139" s="786"/>
      <c r="F139" s="777"/>
      <c r="G139" s="779"/>
      <c r="H139" s="769"/>
      <c r="I139" s="770"/>
      <c r="J139" s="787"/>
      <c r="K139" s="786"/>
    </row>
    <row r="140" spans="5:21" ht="20.399999999999999" hidden="1" thickBot="1">
      <c r="F140" s="780"/>
      <c r="G140" s="788"/>
      <c r="H140" s="769"/>
      <c r="I140" s="770"/>
    </row>
    <row r="141" spans="5:21">
      <c r="E141" s="758"/>
      <c r="F141" s="755"/>
      <c r="G141" s="756">
        <f>G28-G26</f>
        <v>-16961668.828813549</v>
      </c>
      <c r="H141" s="789">
        <v>42094</v>
      </c>
      <c r="J141" s="752">
        <v>365</v>
      </c>
      <c r="K141" s="756"/>
      <c r="L141" s="756"/>
      <c r="M141" s="753">
        <f>78054+30601</f>
        <v>108655</v>
      </c>
      <c r="O141" s="755"/>
      <c r="P141" s="2315">
        <f>+G26-H26</f>
        <v>31300117.828813549</v>
      </c>
      <c r="Q141" s="2315">
        <f>P141+L26</f>
        <v>32122740.87881355</v>
      </c>
      <c r="U141" s="755"/>
    </row>
    <row r="142" spans="5:21" ht="20.399999999999999" thickBot="1">
      <c r="N142" s="753">
        <f>565147/F21*H21</f>
        <v>25462.518391314141</v>
      </c>
      <c r="O142" s="758"/>
      <c r="P142" s="2315">
        <f>K26</f>
        <v>8219826.5053903172</v>
      </c>
      <c r="R142" s="758">
        <f>P141-P142+L26</f>
        <v>23902914.373423234</v>
      </c>
      <c r="U142" s="755"/>
    </row>
    <row r="143" spans="5:21" ht="60" thickBot="1">
      <c r="E143" s="790" t="s">
        <v>1135</v>
      </c>
      <c r="F143" s="790" t="s">
        <v>1136</v>
      </c>
      <c r="G143" s="790" t="s">
        <v>1137</v>
      </c>
      <c r="H143" s="791" t="s">
        <v>1138</v>
      </c>
      <c r="I143" s="792" t="s">
        <v>1139</v>
      </c>
      <c r="J143" s="790" t="s">
        <v>1140</v>
      </c>
      <c r="K143" s="790"/>
      <c r="L143" s="790"/>
      <c r="M143" s="793" t="s">
        <v>1141</v>
      </c>
      <c r="N143" s="758">
        <f>I19-J19</f>
        <v>297688</v>
      </c>
      <c r="O143" s="756">
        <f>I19*5%</f>
        <v>47522.55</v>
      </c>
      <c r="P143" s="1866">
        <f>P28+P141-P142</f>
        <v>78642333.323423237</v>
      </c>
    </row>
    <row r="144" spans="5:21">
      <c r="E144" s="794" t="s">
        <v>83</v>
      </c>
      <c r="F144" s="795"/>
      <c r="G144" s="796"/>
      <c r="H144" s="797"/>
      <c r="I144" s="798"/>
      <c r="J144" s="765"/>
      <c r="K144" s="799"/>
      <c r="L144" s="799"/>
      <c r="M144" s="800"/>
      <c r="N144" s="758">
        <f>N143-K19</f>
        <v>297688</v>
      </c>
      <c r="O144" s="756">
        <f>I19*5%</f>
        <v>47522.55</v>
      </c>
      <c r="P144" s="1866">
        <f>P143+L26</f>
        <v>79464956.373423234</v>
      </c>
    </row>
    <row r="145" spans="5:22" ht="19.5" customHeight="1">
      <c r="E145" s="752" t="s">
        <v>1142</v>
      </c>
      <c r="F145" s="789">
        <v>41736</v>
      </c>
      <c r="G145" s="801">
        <v>70350</v>
      </c>
      <c r="H145" s="802">
        <f>$H$141-F145</f>
        <v>358</v>
      </c>
      <c r="I145" s="803">
        <f t="shared" ref="I145:I152" si="2">G145*J145/$J$141*H145</f>
        <v>7134.6849863013704</v>
      </c>
      <c r="J145" s="765">
        <v>0.10340000000000001</v>
      </c>
      <c r="K145" s="799"/>
      <c r="L145" s="799"/>
      <c r="M145" s="800">
        <f t="shared" ref="M145:M152" si="3">IF(H145&gt;180,G145,0)</f>
        <v>70350</v>
      </c>
      <c r="N145" s="758">
        <f>N143-N144</f>
        <v>0</v>
      </c>
      <c r="O145" s="756">
        <f>O143-O144</f>
        <v>0</v>
      </c>
    </row>
    <row r="146" spans="5:22">
      <c r="E146" s="752" t="s">
        <v>1143</v>
      </c>
      <c r="F146" s="789">
        <v>41737</v>
      </c>
      <c r="G146" s="801">
        <v>77260</v>
      </c>
      <c r="H146" s="802">
        <f t="shared" ref="H146:H157" si="4">$H$141-F146</f>
        <v>357</v>
      </c>
      <c r="I146" s="803">
        <f t="shared" si="2"/>
        <v>7813.5895561643829</v>
      </c>
      <c r="J146" s="765">
        <v>0.10340000000000001</v>
      </c>
      <c r="K146" s="799"/>
      <c r="L146" s="799"/>
      <c r="M146" s="800">
        <f t="shared" si="3"/>
        <v>77260</v>
      </c>
      <c r="N146" s="752"/>
      <c r="T146" s="755"/>
      <c r="U146" s="755"/>
      <c r="V146" s="755"/>
    </row>
    <row r="147" spans="5:22">
      <c r="E147" s="752" t="s">
        <v>1144</v>
      </c>
      <c r="F147" s="789">
        <v>41747</v>
      </c>
      <c r="G147" s="801">
        <v>112931</v>
      </c>
      <c r="H147" s="802">
        <f t="shared" si="4"/>
        <v>347</v>
      </c>
      <c r="I147" s="803">
        <f t="shared" si="2"/>
        <v>11101.210120000002</v>
      </c>
      <c r="J147" s="765">
        <v>0.10340000000000001</v>
      </c>
      <c r="K147" s="799"/>
      <c r="L147" s="799"/>
      <c r="M147" s="800">
        <f t="shared" si="3"/>
        <v>112931</v>
      </c>
      <c r="N147" s="752"/>
    </row>
    <row r="148" spans="5:22">
      <c r="E148" s="752" t="s">
        <v>1145</v>
      </c>
      <c r="F148" s="789">
        <v>41747</v>
      </c>
      <c r="G148" s="801">
        <v>1318125</v>
      </c>
      <c r="H148" s="802">
        <f t="shared" si="4"/>
        <v>347</v>
      </c>
      <c r="I148" s="803">
        <f t="shared" si="2"/>
        <v>129572.77089041096</v>
      </c>
      <c r="J148" s="765">
        <v>0.10340000000000001</v>
      </c>
      <c r="K148" s="799"/>
      <c r="L148" s="799"/>
      <c r="M148" s="800">
        <f t="shared" si="3"/>
        <v>1318125</v>
      </c>
      <c r="N148" s="752"/>
    </row>
    <row r="149" spans="5:22">
      <c r="E149" s="752" t="s">
        <v>1146</v>
      </c>
      <c r="F149" s="789">
        <v>41834</v>
      </c>
      <c r="G149" s="801">
        <v>70350</v>
      </c>
      <c r="H149" s="802">
        <f t="shared" si="4"/>
        <v>260</v>
      </c>
      <c r="I149" s="803">
        <f t="shared" si="2"/>
        <v>5181.6147945205485</v>
      </c>
      <c r="J149" s="765">
        <v>0.10340000000000001</v>
      </c>
      <c r="K149" s="799"/>
      <c r="L149" s="799"/>
      <c r="M149" s="800">
        <f t="shared" si="3"/>
        <v>70350</v>
      </c>
      <c r="N149" s="752"/>
    </row>
    <row r="150" spans="5:22">
      <c r="E150" s="752" t="s">
        <v>1147</v>
      </c>
      <c r="F150" s="789">
        <v>41837</v>
      </c>
      <c r="G150" s="801">
        <v>113355</v>
      </c>
      <c r="H150" s="802">
        <f t="shared" si="4"/>
        <v>257</v>
      </c>
      <c r="I150" s="803">
        <f t="shared" si="2"/>
        <v>8252.8030109589054</v>
      </c>
      <c r="J150" s="765">
        <v>0.10340000000000001</v>
      </c>
      <c r="K150" s="799"/>
      <c r="L150" s="799"/>
      <c r="M150" s="800">
        <f t="shared" si="3"/>
        <v>113355</v>
      </c>
      <c r="N150" s="752"/>
    </row>
    <row r="151" spans="5:22">
      <c r="E151" s="752" t="s">
        <v>1148</v>
      </c>
      <c r="F151" s="789">
        <v>41897</v>
      </c>
      <c r="G151" s="801">
        <v>7875</v>
      </c>
      <c r="H151" s="802">
        <f t="shared" si="4"/>
        <v>197</v>
      </c>
      <c r="I151" s="803">
        <f t="shared" si="2"/>
        <v>439.48541095890414</v>
      </c>
      <c r="J151" s="765">
        <v>0.10340000000000001</v>
      </c>
      <c r="K151" s="799"/>
      <c r="L151" s="799"/>
      <c r="M151" s="800">
        <f t="shared" si="3"/>
        <v>7875</v>
      </c>
      <c r="N151" s="752"/>
    </row>
    <row r="152" spans="5:22">
      <c r="E152" s="752" t="s">
        <v>1149</v>
      </c>
      <c r="F152" s="789">
        <v>41921</v>
      </c>
      <c r="G152" s="801">
        <v>4351</v>
      </c>
      <c r="H152" s="802">
        <f t="shared" si="4"/>
        <v>173</v>
      </c>
      <c r="I152" s="803">
        <f t="shared" si="2"/>
        <v>213.23714575342467</v>
      </c>
      <c r="J152" s="765">
        <v>0.10340000000000001</v>
      </c>
      <c r="K152" s="799"/>
      <c r="L152" s="799"/>
      <c r="M152" s="800">
        <f t="shared" si="3"/>
        <v>0</v>
      </c>
      <c r="N152" s="752"/>
    </row>
    <row r="153" spans="5:22">
      <c r="E153" s="804"/>
      <c r="F153" s="805"/>
      <c r="G153" s="806">
        <f>SUM(G145:G152)</f>
        <v>1774597</v>
      </c>
      <c r="H153" s="802"/>
      <c r="I153" s="806">
        <f>SUM(I145:I152)</f>
        <v>169709.39591506851</v>
      </c>
      <c r="J153" s="799"/>
      <c r="K153" s="807"/>
      <c r="L153" s="807"/>
      <c r="M153" s="800"/>
      <c r="N153" s="752"/>
    </row>
    <row r="154" spans="5:22">
      <c r="E154" s="808"/>
      <c r="F154" s="805"/>
      <c r="G154" s="809"/>
      <c r="H154" s="802"/>
      <c r="I154" s="809"/>
      <c r="J154" s="807"/>
      <c r="K154" s="807"/>
      <c r="L154" s="807"/>
      <c r="M154" s="810">
        <f>SUM(M145:M152)</f>
        <v>1770246</v>
      </c>
      <c r="N154" s="752"/>
    </row>
    <row r="155" spans="5:22">
      <c r="E155" s="811" t="s">
        <v>1131</v>
      </c>
      <c r="F155" s="812"/>
      <c r="G155" s="813"/>
      <c r="H155" s="802"/>
      <c r="I155" s="803"/>
      <c r="J155" s="807"/>
      <c r="K155" s="807"/>
      <c r="L155" s="807"/>
      <c r="M155" s="800"/>
      <c r="N155" s="752"/>
    </row>
    <row r="156" spans="5:22">
      <c r="E156" s="752" t="s">
        <v>1150</v>
      </c>
      <c r="F156" s="789">
        <v>41835</v>
      </c>
      <c r="G156" s="801">
        <v>27500</v>
      </c>
      <c r="H156" s="802">
        <f t="shared" si="4"/>
        <v>259</v>
      </c>
      <c r="I156" s="803">
        <f>G156*J156/$J$141*H156</f>
        <v>3163.1705479452053</v>
      </c>
      <c r="J156" s="765">
        <v>0.16209999999999999</v>
      </c>
      <c r="K156" s="807"/>
      <c r="L156" s="807"/>
      <c r="M156" s="800">
        <f>IF(H156&gt;180,G156,0)</f>
        <v>27500</v>
      </c>
      <c r="N156" s="752"/>
    </row>
    <row r="157" spans="5:22">
      <c r="E157" s="752" t="s">
        <v>1151</v>
      </c>
      <c r="F157" s="789">
        <v>42046</v>
      </c>
      <c r="G157" s="801">
        <f>33800+8000</f>
        <v>41800</v>
      </c>
      <c r="H157" s="802">
        <f t="shared" si="4"/>
        <v>48</v>
      </c>
      <c r="I157" s="803">
        <f>G157*J157/$J$141*H157</f>
        <v>891.06147945205475</v>
      </c>
      <c r="J157" s="765">
        <v>0.16209999999999999</v>
      </c>
      <c r="K157" s="807"/>
      <c r="L157" s="807"/>
      <c r="M157" s="800">
        <f>IF(H157&gt;180,G157,0)</f>
        <v>0</v>
      </c>
      <c r="N157" s="752"/>
    </row>
    <row r="158" spans="5:22">
      <c r="E158" s="807"/>
      <c r="F158" s="805"/>
      <c r="G158" s="814">
        <f>SUM(G156:G157)</f>
        <v>69300</v>
      </c>
      <c r="H158" s="815"/>
      <c r="I158" s="816">
        <f>SUM(I156:I157)</f>
        <v>4054.23202739726</v>
      </c>
      <c r="J158" s="807"/>
      <c r="K158" s="807"/>
      <c r="L158" s="807"/>
      <c r="M158" s="810">
        <f>SUM(M156:M157)</f>
        <v>27500</v>
      </c>
      <c r="N158" s="752"/>
    </row>
    <row r="159" spans="5:22">
      <c r="E159" s="804"/>
      <c r="F159" s="767"/>
      <c r="G159" s="768"/>
      <c r="H159" s="815"/>
      <c r="I159" s="816"/>
      <c r="J159" s="774"/>
      <c r="K159" s="774"/>
      <c r="L159" s="774"/>
      <c r="M159" s="800"/>
      <c r="N159" s="752"/>
    </row>
    <row r="160" spans="5:22" ht="20.399999999999999" thickBot="1">
      <c r="E160" s="817" t="s">
        <v>78</v>
      </c>
      <c r="F160" s="818"/>
      <c r="G160" s="819"/>
      <c r="H160" s="820"/>
      <c r="I160" s="821"/>
      <c r="J160" s="822"/>
      <c r="K160" s="822"/>
      <c r="L160" s="822"/>
      <c r="M160" s="823"/>
      <c r="N160" s="752"/>
    </row>
    <row r="161" spans="6:14">
      <c r="I161" s="772"/>
    </row>
    <row r="162" spans="6:14">
      <c r="F162" s="824"/>
      <c r="I162" s="772"/>
    </row>
    <row r="163" spans="6:14">
      <c r="F163" s="824"/>
      <c r="I163" s="772"/>
    </row>
    <row r="164" spans="6:14">
      <c r="F164" s="824"/>
      <c r="G164" s="825">
        <f>+G153+G158</f>
        <v>1843897</v>
      </c>
      <c r="I164" s="772"/>
      <c r="M164" s="753" t="e">
        <f>+#REF!+#REF!</f>
        <v>#REF!</v>
      </c>
      <c r="N164" s="753">
        <f>+M158+M154</f>
        <v>1797746</v>
      </c>
    </row>
    <row r="165" spans="6:14">
      <c r="F165" s="824"/>
      <c r="I165" s="772"/>
    </row>
    <row r="175" spans="6:14">
      <c r="F175" s="752">
        <v>10000</v>
      </c>
      <c r="G175" s="752">
        <f>10*365</f>
        <v>3650</v>
      </c>
      <c r="H175" s="752">
        <v>365</v>
      </c>
      <c r="I175" s="752">
        <f>+G175-H175</f>
        <v>3285</v>
      </c>
    </row>
    <row r="177" spans="6:8">
      <c r="F177" s="752">
        <f>+F175*5/100</f>
        <v>500</v>
      </c>
    </row>
    <row r="178" spans="6:8">
      <c r="F178" s="752">
        <f>+F175-F177</f>
        <v>9500</v>
      </c>
      <c r="G178" s="752">
        <f>+F178*H175/G175</f>
        <v>950</v>
      </c>
      <c r="H178" s="752">
        <f>+F178-G178</f>
        <v>8550</v>
      </c>
    </row>
    <row r="179" spans="6:8">
      <c r="H179" s="752">
        <f>+H178*H175/G175</f>
        <v>855</v>
      </c>
    </row>
  </sheetData>
  <mergeCells count="9">
    <mergeCell ref="D3:O3"/>
    <mergeCell ref="D6:O6"/>
    <mergeCell ref="N10:O10"/>
    <mergeCell ref="D10:D11"/>
    <mergeCell ref="E10:E11"/>
    <mergeCell ref="H5:K5"/>
    <mergeCell ref="J10:M10"/>
    <mergeCell ref="F10:I10"/>
    <mergeCell ref="D4:O4"/>
  </mergeCells>
  <pageMargins left="0.7" right="0.7" top="0.75" bottom="0.75" header="0.3" footer="0.3"/>
  <pageSetup paperSize="9" scale="51" fitToHeight="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49"/>
  <sheetViews>
    <sheetView showGridLines="0" view="pageBreakPreview" topLeftCell="B1" zoomScale="55" zoomScaleNormal="77" zoomScaleSheetLayoutView="55" workbookViewId="0">
      <selection activeCell="B1" sqref="A1:XFD1048576"/>
    </sheetView>
  </sheetViews>
  <sheetFormatPr defaultColWidth="21.5546875" defaultRowHeight="22.2"/>
  <cols>
    <col min="1" max="1" width="12.44140625" style="734" customWidth="1"/>
    <col min="2" max="2" width="7.5546875" style="744" customWidth="1"/>
    <col min="3" max="3" width="31.44140625" style="734" customWidth="1"/>
    <col min="4" max="11" width="25" style="734" customWidth="1"/>
    <col min="12" max="12" width="25" style="1110" customWidth="1"/>
    <col min="13" max="16" width="22" style="734" bestFit="1" customWidth="1"/>
    <col min="17" max="16384" width="21.5546875" style="734"/>
  </cols>
  <sheetData>
    <row r="1" spans="2:16" ht="39.6" customHeight="1" thickTop="1">
      <c r="B1" s="2933" t="str">
        <f>+Dep_Co!D3</f>
        <v xml:space="preserve">M/S Sathiapal Engineers (India) Private Limited                                                                                                                                                                                                                                                </v>
      </c>
      <c r="C1" s="2934"/>
      <c r="D1" s="2934"/>
      <c r="E1" s="2934"/>
      <c r="F1" s="2934"/>
      <c r="G1" s="2934"/>
      <c r="H1" s="2934"/>
      <c r="I1" s="2934"/>
      <c r="J1" s="2934"/>
      <c r="K1" s="2934"/>
      <c r="L1" s="2935"/>
    </row>
    <row r="2" spans="2:16" ht="32.85" customHeight="1">
      <c r="B2" s="2548"/>
      <c r="C2" s="2549"/>
      <c r="D2" s="2549"/>
      <c r="E2" s="2549"/>
      <c r="F2" s="2955" t="str">
        <f>BS!A3</f>
        <v>CIN: U74210TN2002PLC048568</v>
      </c>
      <c r="G2" s="2955"/>
      <c r="H2" s="2955"/>
      <c r="I2" s="2549"/>
      <c r="J2" s="2549"/>
      <c r="K2" s="2549"/>
      <c r="L2" s="2550"/>
    </row>
    <row r="3" spans="2:16">
      <c r="B3" s="2936" t="str">
        <f>+Dep_Co!D6</f>
        <v>New No. 57, Old No. 3, Canal Road, Kilpauk Garden Colony, Kilpauk, Chennai 600 010.</v>
      </c>
      <c r="C3" s="2937"/>
      <c r="D3" s="2937"/>
      <c r="E3" s="2937"/>
      <c r="F3" s="2937"/>
      <c r="G3" s="2937"/>
      <c r="H3" s="2937"/>
      <c r="I3" s="2937"/>
      <c r="J3" s="2937"/>
      <c r="K3" s="2937"/>
      <c r="L3" s="2938"/>
    </row>
    <row r="4" spans="2:16">
      <c r="B4" s="2551"/>
      <c r="C4" s="2552"/>
      <c r="D4" s="2552"/>
      <c r="E4" s="2552"/>
      <c r="F4" s="2552"/>
      <c r="G4" s="2552"/>
      <c r="H4" s="2552"/>
      <c r="I4" s="2552"/>
      <c r="J4" s="2552"/>
      <c r="K4" s="2552"/>
      <c r="L4" s="2553"/>
      <c r="M4" s="2190">
        <v>194449</v>
      </c>
      <c r="N4" s="2190">
        <v>118176</v>
      </c>
    </row>
    <row r="5" spans="2:16" ht="30.75" customHeight="1">
      <c r="B5" s="2554" t="s">
        <v>4356</v>
      </c>
      <c r="C5" s="2555"/>
      <c r="D5" s="2555"/>
      <c r="E5" s="2555"/>
      <c r="F5" s="2555"/>
      <c r="G5" s="2555"/>
      <c r="H5" s="2555"/>
      <c r="I5" s="2555"/>
      <c r="J5" s="2555"/>
      <c r="K5" s="2555"/>
      <c r="L5" s="2553"/>
    </row>
    <row r="6" spans="2:16" ht="22.8" thickBot="1">
      <c r="B6" s="2556"/>
      <c r="C6" s="2557"/>
      <c r="D6" s="2557"/>
      <c r="E6" s="2557"/>
      <c r="F6" s="2557"/>
      <c r="G6" s="2557"/>
      <c r="H6" s="2557"/>
      <c r="I6" s="2557"/>
      <c r="J6" s="2557"/>
      <c r="K6" s="2956"/>
      <c r="L6" s="2957"/>
      <c r="N6" s="2190">
        <v>9777794</v>
      </c>
    </row>
    <row r="7" spans="2:16">
      <c r="B7" s="2949" t="s">
        <v>1375</v>
      </c>
      <c r="C7" s="2952" t="s">
        <v>1122</v>
      </c>
      <c r="D7" s="2940" t="s">
        <v>1152</v>
      </c>
      <c r="E7" s="2941"/>
      <c r="F7" s="2941"/>
      <c r="G7" s="2941"/>
      <c r="H7" s="2942"/>
      <c r="I7" s="2930" t="s">
        <v>1156</v>
      </c>
      <c r="J7" s="2945" t="s">
        <v>1124</v>
      </c>
      <c r="K7" s="2946"/>
      <c r="L7" s="2943" t="s">
        <v>1153</v>
      </c>
    </row>
    <row r="8" spans="2:16" ht="16.5" customHeight="1">
      <c r="B8" s="2950"/>
      <c r="C8" s="2953"/>
      <c r="D8" s="2939" t="s">
        <v>4164</v>
      </c>
      <c r="E8" s="2939" t="s">
        <v>1154</v>
      </c>
      <c r="F8" s="2939" t="s">
        <v>1155</v>
      </c>
      <c r="G8" s="2939" t="s">
        <v>1376</v>
      </c>
      <c r="H8" s="2939" t="s">
        <v>4165</v>
      </c>
      <c r="I8" s="2931"/>
      <c r="J8" s="2947"/>
      <c r="K8" s="2948"/>
      <c r="L8" s="2944"/>
      <c r="N8" s="2190">
        <f>1834000-260000</f>
        <v>1574000</v>
      </c>
      <c r="O8" s="2190">
        <v>20506020</v>
      </c>
      <c r="P8" s="2190">
        <v>10103870</v>
      </c>
    </row>
    <row r="9" spans="2:16" s="735" customFormat="1" ht="73.5" customHeight="1" thickBot="1">
      <c r="B9" s="2951"/>
      <c r="C9" s="2954"/>
      <c r="D9" s="2932"/>
      <c r="E9" s="2932"/>
      <c r="F9" s="2932"/>
      <c r="G9" s="2932"/>
      <c r="H9" s="2932"/>
      <c r="I9" s="2932"/>
      <c r="J9" s="1091" t="s">
        <v>4166</v>
      </c>
      <c r="K9" s="1091" t="s">
        <v>4167</v>
      </c>
      <c r="L9" s="2558" t="s">
        <v>1128</v>
      </c>
      <c r="M9" s="735">
        <v>1000</v>
      </c>
    </row>
    <row r="10" spans="2:16">
      <c r="B10" s="2559"/>
      <c r="C10" s="1092"/>
      <c r="D10" s="1093"/>
      <c r="E10" s="1093"/>
      <c r="F10" s="1093"/>
      <c r="G10" s="1093"/>
      <c r="H10" s="1093"/>
      <c r="I10" s="1093"/>
      <c r="J10" s="1093"/>
      <c r="K10" s="1093"/>
      <c r="L10" s="2560"/>
      <c r="N10" s="736"/>
    </row>
    <row r="11" spans="2:16" ht="20.100000000000001" customHeight="1">
      <c r="B11" s="2559">
        <v>1</v>
      </c>
      <c r="C11" s="1094" t="s">
        <v>1361</v>
      </c>
      <c r="D11" s="1095">
        <f>868.251*1000</f>
        <v>868251</v>
      </c>
      <c r="E11" s="1095">
        <v>0</v>
      </c>
      <c r="F11" s="1095">
        <v>0</v>
      </c>
      <c r="G11" s="1095"/>
      <c r="H11" s="1095">
        <f>D11+E11+F11-G11</f>
        <v>868251</v>
      </c>
      <c r="I11" s="1095">
        <v>0</v>
      </c>
      <c r="J11" s="1095">
        <f>H11-I11</f>
        <v>868251</v>
      </c>
      <c r="K11" s="1095">
        <f>868.251*1000</f>
        <v>868251</v>
      </c>
      <c r="L11" s="2561"/>
      <c r="N11" s="737">
        <f>1/1000</f>
        <v>1E-3</v>
      </c>
    </row>
    <row r="12" spans="2:16" ht="20.100000000000001" customHeight="1">
      <c r="B12" s="2559"/>
      <c r="C12" s="1094"/>
      <c r="D12" s="1095">
        <v>0</v>
      </c>
      <c r="E12" s="1095"/>
      <c r="F12" s="1095"/>
      <c r="G12" s="1095"/>
      <c r="H12" s="1095"/>
      <c r="I12" s="1095"/>
      <c r="J12" s="1095"/>
      <c r="K12" s="1095">
        <v>0</v>
      </c>
      <c r="L12" s="2562"/>
      <c r="N12" s="737"/>
    </row>
    <row r="13" spans="2:16" ht="20.100000000000001" customHeight="1">
      <c r="B13" s="2559">
        <v>2</v>
      </c>
      <c r="C13" s="1094" t="s">
        <v>83</v>
      </c>
      <c r="D13" s="1095">
        <f>40521.164*1000</f>
        <v>40521164</v>
      </c>
      <c r="E13" s="1095">
        <f>(Sheet9!B22)*1000</f>
        <v>20215117.732203383</v>
      </c>
      <c r="F13" s="1095">
        <f>(Sheet9!B21)*1000</f>
        <v>10875049.655932199</v>
      </c>
      <c r="G13" s="1095"/>
      <c r="H13" s="1095">
        <f>D13+E13+F13-G13</f>
        <v>71611331.388135582</v>
      </c>
      <c r="I13" s="1095">
        <f>ROUND((D13-G13+E13)*L13+(F13*L13/2),0)</f>
        <v>9926071</v>
      </c>
      <c r="J13" s="1095">
        <f>H13-I13</f>
        <v>61685260.388135582</v>
      </c>
      <c r="K13" s="1095">
        <f>40521.164*1000</f>
        <v>40521164</v>
      </c>
      <c r="L13" s="2563">
        <v>0.15</v>
      </c>
      <c r="M13" s="736"/>
      <c r="N13" s="737">
        <f>+(D13+E13)*L13+(F13*L13/2)</f>
        <v>9926070.9840254206</v>
      </c>
    </row>
    <row r="14" spans="2:16" ht="20.100000000000001" customHeight="1">
      <c r="B14" s="2559"/>
      <c r="C14" s="1094"/>
      <c r="D14" s="1095">
        <v>0</v>
      </c>
      <c r="E14" s="1095">
        <v>0</v>
      </c>
      <c r="F14" s="1095">
        <v>0</v>
      </c>
      <c r="G14" s="1095"/>
      <c r="H14" s="1095"/>
      <c r="I14" s="1095"/>
      <c r="J14" s="1095"/>
      <c r="K14" s="1095">
        <v>0</v>
      </c>
      <c r="L14" s="2563"/>
      <c r="N14" s="737"/>
    </row>
    <row r="15" spans="2:16" ht="20.100000000000001" customHeight="1">
      <c r="B15" s="2559">
        <v>3</v>
      </c>
      <c r="C15" s="1094" t="s">
        <v>1131</v>
      </c>
      <c r="D15" s="1095">
        <f>562.447*1000</f>
        <v>562447</v>
      </c>
      <c r="E15" s="1095">
        <f>(Sheet9!B19)*1000</f>
        <v>148587.28813559323</v>
      </c>
      <c r="F15" s="1095">
        <f>(Sheet9!B18)*1000</f>
        <v>98649.152542372874</v>
      </c>
      <c r="G15" s="1095"/>
      <c r="H15" s="1095">
        <f>D15+E15+F15-G15</f>
        <v>809683.44067796622</v>
      </c>
      <c r="I15" s="1095">
        <f>ROUND((D15+E15)*L15+(F15*L15/2),0)</f>
        <v>304144</v>
      </c>
      <c r="J15" s="1095">
        <f>H15-I15</f>
        <v>505539.44067796622</v>
      </c>
      <c r="K15" s="1095">
        <f>562.447*1000</f>
        <v>562447</v>
      </c>
      <c r="L15" s="2563">
        <v>0.4</v>
      </c>
      <c r="M15" s="738">
        <f>10545099-E13</f>
        <v>-9670018.732203383</v>
      </c>
      <c r="N15" s="737">
        <f>+(D15+E15)*L15+(F15*L15/2)</f>
        <v>304143.5457627119</v>
      </c>
    </row>
    <row r="16" spans="2:16" ht="20.100000000000001" customHeight="1">
      <c r="B16" s="2559"/>
      <c r="C16" s="1094"/>
      <c r="D16" s="1095">
        <v>0</v>
      </c>
      <c r="E16" s="1095">
        <v>0</v>
      </c>
      <c r="F16" s="1095">
        <v>0</v>
      </c>
      <c r="G16" s="1095"/>
      <c r="H16" s="1095"/>
      <c r="I16" s="1095"/>
      <c r="J16" s="1095"/>
      <c r="K16" s="1095">
        <v>0</v>
      </c>
      <c r="L16" s="2563"/>
      <c r="N16" s="737"/>
    </row>
    <row r="17" spans="1:16" ht="20.100000000000001" customHeight="1">
      <c r="B17" s="2559">
        <v>4</v>
      </c>
      <c r="C17" s="1094" t="s">
        <v>1132</v>
      </c>
      <c r="D17" s="1095">
        <f>388.047*1000</f>
        <v>388047</v>
      </c>
      <c r="E17" s="1095">
        <v>0</v>
      </c>
      <c r="F17" s="1095">
        <v>0</v>
      </c>
      <c r="G17" s="1095"/>
      <c r="H17" s="1095">
        <f>D17+E17+F17-G17</f>
        <v>388047</v>
      </c>
      <c r="I17" s="1095">
        <f>ROUND((D17+E17)*L17+(F17*L17/2),0)</f>
        <v>38805</v>
      </c>
      <c r="J17" s="1095">
        <f>H17-I17</f>
        <v>349242</v>
      </c>
      <c r="K17" s="1095">
        <f>388.047*1000</f>
        <v>388047</v>
      </c>
      <c r="L17" s="2563">
        <v>0.1</v>
      </c>
      <c r="N17" s="737">
        <f>+(D17+E17)*L17+(F17*L17/2)</f>
        <v>38804.700000000004</v>
      </c>
    </row>
    <row r="18" spans="1:16" ht="20.100000000000001" customHeight="1">
      <c r="B18" s="2559"/>
      <c r="C18" s="1094"/>
      <c r="D18" s="1095">
        <v>0</v>
      </c>
      <c r="E18" s="1095">
        <v>0</v>
      </c>
      <c r="F18" s="1095">
        <v>0</v>
      </c>
      <c r="G18" s="1095"/>
      <c r="H18" s="1095"/>
      <c r="I18" s="1095"/>
      <c r="J18" s="1095"/>
      <c r="K18" s="1095">
        <v>0</v>
      </c>
      <c r="L18" s="2563"/>
      <c r="N18" s="739"/>
      <c r="O18" s="734">
        <v>8305309</v>
      </c>
      <c r="P18" s="734">
        <v>2828449</v>
      </c>
    </row>
    <row r="19" spans="1:16" ht="20.100000000000001" customHeight="1">
      <c r="B19" s="2559">
        <v>5</v>
      </c>
      <c r="C19" s="1094" t="s">
        <v>1157</v>
      </c>
      <c r="D19" s="1095">
        <f>9648.378*1000</f>
        <v>9648378</v>
      </c>
      <c r="E19" s="1095">
        <v>0</v>
      </c>
      <c r="F19" s="1095">
        <f>(Sheet9!B24)*1000</f>
        <v>1696884</v>
      </c>
      <c r="G19" s="1095">
        <f>260*1000</f>
        <v>260000</v>
      </c>
      <c r="H19" s="1095">
        <f>D19+E19+F19-G19</f>
        <v>11085262</v>
      </c>
      <c r="I19" s="1095">
        <f>ROUND((D19+E19)*L19-F27+(F19*L19/2),0)</f>
        <v>1535523</v>
      </c>
      <c r="J19" s="1095">
        <f>H19-I19</f>
        <v>9549739</v>
      </c>
      <c r="K19" s="1095">
        <f>9648.378*1000</f>
        <v>9648378</v>
      </c>
      <c r="L19" s="2563">
        <v>0.15</v>
      </c>
      <c r="N19" s="737">
        <f>+(D19+E19)*L19+(F19*L19/2)</f>
        <v>1574523</v>
      </c>
      <c r="O19" s="738">
        <f>E23+F23</f>
        <v>33034287.828813545</v>
      </c>
      <c r="P19" s="734">
        <v>4935867</v>
      </c>
    </row>
    <row r="20" spans="1:16" ht="20.100000000000001" customHeight="1">
      <c r="B20" s="2559"/>
      <c r="C20" s="1094"/>
      <c r="D20" s="1095">
        <v>0</v>
      </c>
      <c r="E20" s="1095">
        <v>0</v>
      </c>
      <c r="F20" s="1095">
        <v>0</v>
      </c>
      <c r="G20" s="1095"/>
      <c r="H20" s="1095"/>
      <c r="I20" s="1095"/>
      <c r="J20" s="1095"/>
      <c r="K20" s="1095">
        <v>0</v>
      </c>
      <c r="L20" s="2563"/>
      <c r="N20" s="737"/>
      <c r="O20" s="738"/>
    </row>
    <row r="21" spans="1:16" ht="20.100000000000001" customHeight="1">
      <c r="B21" s="2559">
        <v>6</v>
      </c>
      <c r="C21" s="1094" t="s">
        <v>3470</v>
      </c>
      <c r="D21" s="1095">
        <f>103.266*1000</f>
        <v>103266</v>
      </c>
      <c r="E21" s="1095"/>
      <c r="F21" s="1095">
        <v>0</v>
      </c>
      <c r="G21" s="1095">
        <v>0</v>
      </c>
      <c r="H21" s="1095">
        <f>D21+E21+F21-G21</f>
        <v>103266</v>
      </c>
      <c r="I21" s="1095">
        <f>ROUND((D21+E21)*L21+(F21*L21/2),0)</f>
        <v>15490</v>
      </c>
      <c r="J21" s="1095">
        <f>H21-I21</f>
        <v>87776</v>
      </c>
      <c r="K21" s="1095">
        <f>103.266*1000</f>
        <v>103266</v>
      </c>
      <c r="L21" s="2563">
        <v>0.15</v>
      </c>
      <c r="N21" s="737"/>
      <c r="O21" s="738"/>
    </row>
    <row r="22" spans="1:16" ht="20.100000000000001" customHeight="1">
      <c r="B22" s="2559"/>
      <c r="C22" s="1096"/>
      <c r="D22" s="1097"/>
      <c r="E22" s="1097"/>
      <c r="F22" s="1097"/>
      <c r="G22" s="1097"/>
      <c r="H22" s="1097"/>
      <c r="I22" s="1097"/>
      <c r="J22" s="1097"/>
      <c r="K22" s="1098"/>
      <c r="L22" s="2564"/>
      <c r="N22" s="739"/>
      <c r="O22" s="738">
        <f>O18-O19</f>
        <v>-24728978.828813545</v>
      </c>
      <c r="P22" s="734">
        <f>SUM(P18:P19)</f>
        <v>7764316</v>
      </c>
    </row>
    <row r="23" spans="1:16" ht="26.85" customHeight="1" thickBot="1">
      <c r="B23" s="2565" t="s">
        <v>1158</v>
      </c>
      <c r="C23" s="2566" t="s">
        <v>78</v>
      </c>
      <c r="D23" s="2567">
        <f>SUM(D11:D21)</f>
        <v>52091553</v>
      </c>
      <c r="E23" s="2567">
        <f t="shared" ref="E23:K23" si="0">SUM(E11:E21)</f>
        <v>20363705.020338975</v>
      </c>
      <c r="F23" s="2567">
        <f t="shared" si="0"/>
        <v>12670582.808474572</v>
      </c>
      <c r="G23" s="2567">
        <f t="shared" si="0"/>
        <v>260000</v>
      </c>
      <c r="H23" s="2567">
        <f t="shared" si="0"/>
        <v>84865840.828813553</v>
      </c>
      <c r="I23" s="2567">
        <f t="shared" si="0"/>
        <v>11820033</v>
      </c>
      <c r="J23" s="2567">
        <f t="shared" si="0"/>
        <v>73045807.828813553</v>
      </c>
      <c r="K23" s="2567">
        <f t="shared" si="0"/>
        <v>52091553</v>
      </c>
      <c r="L23" s="2568"/>
      <c r="N23" s="738">
        <f>I23-[31]Dep_IT!$J$24</f>
        <v>8053001</v>
      </c>
      <c r="O23" s="736"/>
    </row>
    <row r="24" spans="1:16" ht="101.25" customHeight="1" thickTop="1">
      <c r="A24" s="734">
        <v>7164105</v>
      </c>
      <c r="B24" s="2929"/>
      <c r="C24" s="2929"/>
      <c r="D24" s="2929"/>
      <c r="E24" s="2929"/>
      <c r="F24" s="2929"/>
      <c r="G24" s="2929"/>
      <c r="H24" s="2929"/>
      <c r="I24" s="2929"/>
      <c r="J24" s="2929"/>
      <c r="K24" s="2929"/>
      <c r="L24" s="2929"/>
      <c r="N24" s="734">
        <v>1000</v>
      </c>
      <c r="O24" s="736"/>
    </row>
    <row r="25" spans="1:16" ht="20.100000000000001" customHeight="1">
      <c r="B25" s="740"/>
      <c r="C25" s="741"/>
      <c r="D25" s="742"/>
      <c r="E25" s="743">
        <v>17826565</v>
      </c>
      <c r="F25" s="743"/>
      <c r="G25" s="743"/>
      <c r="H25" s="743"/>
      <c r="I25" s="743"/>
      <c r="J25" s="743"/>
      <c r="K25" s="743"/>
      <c r="L25" s="1109"/>
      <c r="N25" s="2202">
        <v>17757</v>
      </c>
      <c r="O25" s="736"/>
    </row>
    <row r="26" spans="1:16">
      <c r="E26" s="734">
        <v>8335907</v>
      </c>
      <c r="F26" s="734">
        <v>260000</v>
      </c>
      <c r="I26" s="734">
        <v>853465</v>
      </c>
      <c r="J26" s="736"/>
      <c r="K26" s="736"/>
      <c r="M26" s="734">
        <v>2955480</v>
      </c>
      <c r="N26" s="2202">
        <v>29662</v>
      </c>
    </row>
    <row r="27" spans="1:16">
      <c r="F27" s="734">
        <f>F26*15%</f>
        <v>39000</v>
      </c>
      <c r="G27" s="734">
        <f>F27/2</f>
        <v>19500</v>
      </c>
      <c r="I27" s="738">
        <f>I26-I19</f>
        <v>-682058</v>
      </c>
      <c r="J27" s="734">
        <f>+F13*L13</f>
        <v>1631257.4483898298</v>
      </c>
      <c r="M27" s="734">
        <v>1491627</v>
      </c>
    </row>
    <row r="28" spans="1:16">
      <c r="B28" s="734"/>
      <c r="H28" s="736"/>
      <c r="I28" s="736"/>
      <c r="K28" s="738">
        <f>I23</f>
        <v>11820033</v>
      </c>
      <c r="L28" s="1111">
        <f>K29-K28</f>
        <v>-3600206.4946096828</v>
      </c>
      <c r="M28" s="734">
        <v>4297882</v>
      </c>
    </row>
    <row r="29" spans="1:16">
      <c r="C29" s="745" t="s">
        <v>1352</v>
      </c>
      <c r="G29" s="734" t="s">
        <v>1355</v>
      </c>
      <c r="H29" s="736"/>
      <c r="K29" s="734">
        <f>Dep_Co!K26</f>
        <v>8219826.5053903172</v>
      </c>
      <c r="L29" s="1112">
        <f>L28*0.26</f>
        <v>-936053.68859851756</v>
      </c>
      <c r="M29" s="734">
        <f>SUM(M26:M27)</f>
        <v>4447107</v>
      </c>
    </row>
    <row r="30" spans="1:16">
      <c r="C30" s="747"/>
      <c r="D30" s="747"/>
      <c r="E30" s="748"/>
      <c r="H30" s="736"/>
      <c r="M30" s="734">
        <f>M29-M28</f>
        <v>149225</v>
      </c>
    </row>
    <row r="31" spans="1:16">
      <c r="C31" s="749" t="s">
        <v>1353</v>
      </c>
      <c r="D31" s="747" t="s">
        <v>1</v>
      </c>
      <c r="E31" s="747" t="s">
        <v>1354</v>
      </c>
      <c r="G31" s="749" t="s">
        <v>1353</v>
      </c>
      <c r="H31" s="747" t="s">
        <v>1</v>
      </c>
      <c r="I31" s="747" t="s">
        <v>1137</v>
      </c>
      <c r="M31" s="734">
        <f>M30/2</f>
        <v>74612.5</v>
      </c>
    </row>
    <row r="32" spans="1:16">
      <c r="C32" s="750">
        <v>42460</v>
      </c>
      <c r="D32" s="747" t="s">
        <v>1129</v>
      </c>
      <c r="E32" s="747">
        <v>868251</v>
      </c>
      <c r="G32" s="750">
        <v>42275</v>
      </c>
      <c r="H32" s="747" t="s">
        <v>942</v>
      </c>
      <c r="I32" s="747">
        <v>560000</v>
      </c>
    </row>
    <row r="33" spans="3:12">
      <c r="C33" s="750">
        <v>42334</v>
      </c>
      <c r="D33" s="747" t="s">
        <v>1131</v>
      </c>
      <c r="E33" s="747">
        <v>61500</v>
      </c>
      <c r="G33" s="750">
        <v>42312</v>
      </c>
      <c r="H33" s="747" t="s">
        <v>942</v>
      </c>
      <c r="I33" s="747">
        <v>190000</v>
      </c>
    </row>
    <row r="34" spans="3:12">
      <c r="C34" s="750">
        <v>42460</v>
      </c>
      <c r="D34" s="747" t="s">
        <v>1131</v>
      </c>
      <c r="E34" s="747">
        <v>65000</v>
      </c>
      <c r="G34" s="736"/>
    </row>
    <row r="35" spans="3:12">
      <c r="C35" s="750">
        <v>42268</v>
      </c>
      <c r="D35" s="747" t="s">
        <v>1130</v>
      </c>
      <c r="E35" s="734">
        <v>0</v>
      </c>
      <c r="G35" s="736"/>
      <c r="I35" s="746"/>
      <c r="L35" s="1110">
        <v>52643</v>
      </c>
    </row>
    <row r="36" spans="3:12">
      <c r="C36" s="750">
        <v>42374</v>
      </c>
      <c r="D36" s="747" t="s">
        <v>1130</v>
      </c>
      <c r="E36" s="747">
        <v>143800</v>
      </c>
      <c r="G36" s="736"/>
      <c r="I36" s="746"/>
      <c r="L36" s="2203">
        <v>47419</v>
      </c>
    </row>
    <row r="37" spans="3:12">
      <c r="C37" s="750">
        <v>42431</v>
      </c>
      <c r="D37" s="747" t="s">
        <v>1130</v>
      </c>
      <c r="E37" s="747">
        <v>239400</v>
      </c>
      <c r="G37" s="736"/>
      <c r="J37" s="738">
        <f>J23-Dep_Co!N26</f>
        <v>-6419148.5446096659</v>
      </c>
      <c r="L37" s="2203">
        <f>L35-L36</f>
        <v>5224</v>
      </c>
    </row>
    <row r="38" spans="3:12">
      <c r="C38" s="750">
        <v>42434</v>
      </c>
      <c r="D38" s="747" t="s">
        <v>1130</v>
      </c>
      <c r="E38" s="747">
        <v>39525</v>
      </c>
      <c r="G38" s="736"/>
      <c r="J38" s="746">
        <f>J37*25.168%</f>
        <v>-1615571.3057073609</v>
      </c>
    </row>
    <row r="39" spans="3:12">
      <c r="C39" s="750">
        <v>42438</v>
      </c>
      <c r="D39" s="747" t="s">
        <v>1130</v>
      </c>
      <c r="E39" s="747">
        <v>80150</v>
      </c>
      <c r="G39" s="736"/>
    </row>
    <row r="40" spans="3:12">
      <c r="C40" s="750">
        <v>42439</v>
      </c>
      <c r="D40" s="747" t="s">
        <v>1130</v>
      </c>
      <c r="E40" s="747">
        <v>15000</v>
      </c>
      <c r="G40" s="736"/>
    </row>
    <row r="41" spans="3:12">
      <c r="C41" s="750">
        <v>42439</v>
      </c>
      <c r="D41" s="747" t="s">
        <v>1130</v>
      </c>
      <c r="E41" s="747">
        <v>11550</v>
      </c>
      <c r="H41" s="736"/>
    </row>
    <row r="42" spans="3:12">
      <c r="C42" s="750">
        <v>42430</v>
      </c>
      <c r="D42" s="747" t="s">
        <v>942</v>
      </c>
      <c r="E42" s="747">
        <v>806617</v>
      </c>
      <c r="H42" s="751"/>
    </row>
    <row r="43" spans="3:12">
      <c r="H43" s="736"/>
    </row>
    <row r="44" spans="3:12">
      <c r="H44" s="736"/>
    </row>
    <row r="45" spans="3:12">
      <c r="H45" s="736"/>
    </row>
    <row r="46" spans="3:12">
      <c r="H46" s="736"/>
    </row>
    <row r="47" spans="3:12">
      <c r="H47" s="736"/>
    </row>
    <row r="48" spans="3:12">
      <c r="H48" s="736"/>
    </row>
    <row r="49" spans="8:8">
      <c r="H49" s="736"/>
    </row>
  </sheetData>
  <mergeCells count="16">
    <mergeCell ref="B24:L24"/>
    <mergeCell ref="I7:I9"/>
    <mergeCell ref="B1:L1"/>
    <mergeCell ref="B3:L3"/>
    <mergeCell ref="G8:G9"/>
    <mergeCell ref="H8:H9"/>
    <mergeCell ref="D7:H7"/>
    <mergeCell ref="L7:L8"/>
    <mergeCell ref="J7:K8"/>
    <mergeCell ref="B7:B9"/>
    <mergeCell ref="C7:C9"/>
    <mergeCell ref="D8:D9"/>
    <mergeCell ref="E8:E9"/>
    <mergeCell ref="F8:F9"/>
    <mergeCell ref="F2:H2"/>
    <mergeCell ref="K6:L6"/>
  </mergeCells>
  <pageMargins left="0.7" right="0.7" top="0.75" bottom="0.75" header="0.3" footer="0.3"/>
  <pageSetup paperSize="9" scale="49" fitToHeight="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01"/>
  <sheetViews>
    <sheetView view="pageBreakPreview" zoomScale="70" zoomScaleNormal="100" zoomScaleSheetLayoutView="70" workbookViewId="0">
      <selection activeCell="A40" sqref="A40:J40"/>
    </sheetView>
  </sheetViews>
  <sheetFormatPr defaultRowHeight="14.4"/>
  <cols>
    <col min="1" max="1" width="37.5546875" customWidth="1"/>
    <col min="2" max="2" width="9.5546875" customWidth="1"/>
    <col min="4" max="4" width="16.44140625" bestFit="1" customWidth="1"/>
    <col min="5" max="5" width="15" customWidth="1"/>
    <col min="6" max="10" width="12.5546875" customWidth="1"/>
  </cols>
  <sheetData>
    <row r="1" spans="1:10" ht="15" thickBot="1"/>
    <row r="2" spans="1:10" ht="37.5" customHeight="1">
      <c r="A2" s="3003" t="s">
        <v>3627</v>
      </c>
      <c r="B2" s="3004"/>
      <c r="C2" s="3004"/>
      <c r="D2" s="3004"/>
      <c r="E2" s="3004"/>
      <c r="F2" s="3004"/>
      <c r="G2" s="3004"/>
      <c r="H2" s="3004"/>
      <c r="I2" s="3004"/>
      <c r="J2" s="3005"/>
    </row>
    <row r="3" spans="1:10" ht="15.6">
      <c r="A3" s="3006" t="s">
        <v>3207</v>
      </c>
      <c r="B3" s="3007"/>
      <c r="C3" s="3007"/>
      <c r="D3" s="3007"/>
      <c r="E3" s="3007"/>
      <c r="F3" s="3007"/>
      <c r="G3" s="3007"/>
      <c r="H3" s="3007"/>
      <c r="I3" s="3007"/>
      <c r="J3" s="3008"/>
    </row>
    <row r="4" spans="1:10" ht="16.2" thickBot="1">
      <c r="A4" s="3009" t="s">
        <v>1665</v>
      </c>
      <c r="B4" s="3010"/>
      <c r="C4" s="3010"/>
      <c r="D4" s="3010"/>
      <c r="E4" s="3010"/>
      <c r="F4" s="3010"/>
      <c r="G4" s="3010"/>
      <c r="H4" s="3010"/>
      <c r="I4" s="3010"/>
      <c r="J4" s="3011"/>
    </row>
    <row r="5" spans="1:10" ht="33.75" customHeight="1" thickBot="1">
      <c r="A5" s="3012" t="s">
        <v>3711</v>
      </c>
      <c r="B5" s="3013"/>
      <c r="C5" s="3013"/>
      <c r="D5" s="3013"/>
      <c r="E5" s="3013"/>
      <c r="F5" s="3013"/>
      <c r="G5" s="3013"/>
      <c r="H5" s="3013"/>
      <c r="I5" s="3013"/>
      <c r="J5" s="3014"/>
    </row>
    <row r="6" spans="1:10" ht="15.6">
      <c r="A6" s="1989"/>
      <c r="B6" s="1990"/>
      <c r="C6" s="1990"/>
      <c r="D6" s="1990"/>
      <c r="E6" s="1990"/>
      <c r="F6" s="1990"/>
      <c r="G6" s="1990"/>
      <c r="H6" s="1990"/>
      <c r="I6" s="1990"/>
      <c r="J6" s="1991"/>
    </row>
    <row r="7" spans="1:10" ht="15.6">
      <c r="A7" s="3015" t="s">
        <v>3641</v>
      </c>
      <c r="B7" s="3016"/>
      <c r="C7" s="3016"/>
      <c r="D7" s="3016"/>
      <c r="E7" s="3016"/>
      <c r="F7" s="3016"/>
      <c r="G7" s="3016"/>
      <c r="H7" s="1992"/>
      <c r="I7" s="1992"/>
      <c r="J7" s="1993"/>
    </row>
    <row r="8" spans="1:10" ht="16.2" thickBot="1">
      <c r="A8" s="3060" t="s">
        <v>3642</v>
      </c>
      <c r="B8" s="3061"/>
      <c r="C8" s="3061"/>
      <c r="D8" s="3061"/>
      <c r="E8" s="3061"/>
      <c r="F8" s="3061"/>
      <c r="G8" s="3061"/>
      <c r="H8" s="3061"/>
      <c r="I8" s="3061"/>
      <c r="J8" s="3062"/>
    </row>
    <row r="9" spans="1:10" ht="15" customHeight="1">
      <c r="A9" s="2975" t="s">
        <v>3752</v>
      </c>
      <c r="B9" s="2978" t="s">
        <v>3643</v>
      </c>
      <c r="C9" s="2979"/>
      <c r="D9" s="2980"/>
      <c r="E9" s="2960" t="s">
        <v>3644</v>
      </c>
      <c r="F9" s="2960"/>
      <c r="G9" s="2960" t="s">
        <v>3645</v>
      </c>
      <c r="H9" s="2960"/>
      <c r="I9" s="2960" t="s">
        <v>3646</v>
      </c>
      <c r="J9" s="2961"/>
    </row>
    <row r="10" spans="1:10" ht="15" customHeight="1">
      <c r="A10" s="2976"/>
      <c r="B10" s="2981"/>
      <c r="C10" s="2982"/>
      <c r="D10" s="2983"/>
      <c r="E10" s="3017"/>
      <c r="F10" s="3017"/>
      <c r="G10" s="3017"/>
      <c r="H10" s="3017"/>
      <c r="I10" s="3017"/>
      <c r="J10" s="3018"/>
    </row>
    <row r="11" spans="1:10" ht="15" customHeight="1">
      <c r="A11" s="2977"/>
      <c r="B11" s="2984"/>
      <c r="C11" s="2985"/>
      <c r="D11" s="2986"/>
      <c r="E11" s="3017"/>
      <c r="F11" s="3017"/>
      <c r="G11" s="3017"/>
      <c r="H11" s="3017"/>
      <c r="I11" s="3017"/>
      <c r="J11" s="3018"/>
    </row>
    <row r="12" spans="1:10" ht="15.6">
      <c r="A12" s="2456">
        <v>1</v>
      </c>
      <c r="B12" s="2996" t="s">
        <v>217</v>
      </c>
      <c r="C12" s="2997"/>
      <c r="D12" s="2998"/>
      <c r="E12" s="3002">
        <v>580331</v>
      </c>
      <c r="F12" s="3002"/>
      <c r="G12" s="2999">
        <f>E12/$E$19</f>
        <v>0.81194018574430638</v>
      </c>
      <c r="H12" s="2999"/>
      <c r="I12" s="3000">
        <v>0</v>
      </c>
      <c r="J12" s="3001"/>
    </row>
    <row r="13" spans="1:10" ht="15.6">
      <c r="A13" s="2456">
        <v>2</v>
      </c>
      <c r="B13" s="2996" t="s">
        <v>531</v>
      </c>
      <c r="C13" s="2997"/>
      <c r="D13" s="2998"/>
      <c r="E13" s="3002">
        <v>66455</v>
      </c>
      <c r="F13" s="3002"/>
      <c r="G13" s="2999">
        <f t="shared" ref="G13:G18" si="0">E13/$E$19</f>
        <v>9.2977085566061227E-2</v>
      </c>
      <c r="H13" s="2999"/>
      <c r="I13" s="3000">
        <v>0</v>
      </c>
      <c r="J13" s="3001"/>
    </row>
    <row r="14" spans="1:10" ht="15.6">
      <c r="A14" s="2456">
        <v>3</v>
      </c>
      <c r="B14" s="2996" t="s">
        <v>3747</v>
      </c>
      <c r="C14" s="2997"/>
      <c r="D14" s="2998"/>
      <c r="E14" s="3002">
        <v>500</v>
      </c>
      <c r="F14" s="3002"/>
      <c r="G14" s="2999">
        <f t="shared" si="0"/>
        <v>6.9954921048876102E-4</v>
      </c>
      <c r="H14" s="2999"/>
      <c r="I14" s="3000">
        <v>0</v>
      </c>
      <c r="J14" s="3001"/>
    </row>
    <row r="15" spans="1:10" ht="15.6">
      <c r="A15" s="2456">
        <v>4</v>
      </c>
      <c r="B15" s="2996" t="s">
        <v>3748</v>
      </c>
      <c r="C15" s="2997"/>
      <c r="D15" s="2998"/>
      <c r="E15" s="3002">
        <v>500</v>
      </c>
      <c r="F15" s="3002"/>
      <c r="G15" s="2999">
        <f t="shared" si="0"/>
        <v>6.9954921048876102E-4</v>
      </c>
      <c r="H15" s="2999"/>
      <c r="I15" s="3000">
        <v>0</v>
      </c>
      <c r="J15" s="3001"/>
    </row>
    <row r="16" spans="1:10" ht="15.6">
      <c r="A16" s="2456">
        <v>5</v>
      </c>
      <c r="B16" s="2996" t="s">
        <v>3749</v>
      </c>
      <c r="C16" s="2997"/>
      <c r="D16" s="2998"/>
      <c r="E16" s="3002">
        <v>500</v>
      </c>
      <c r="F16" s="3002"/>
      <c r="G16" s="2999">
        <f t="shared" si="0"/>
        <v>6.9954921048876102E-4</v>
      </c>
      <c r="H16" s="2999"/>
      <c r="I16" s="3000">
        <v>0</v>
      </c>
      <c r="J16" s="3001"/>
    </row>
    <row r="17" spans="1:12" ht="15.6">
      <c r="A17" s="2456">
        <v>6</v>
      </c>
      <c r="B17" s="2996" t="s">
        <v>3750</v>
      </c>
      <c r="C17" s="2997"/>
      <c r="D17" s="2998"/>
      <c r="E17" s="3002">
        <v>33230</v>
      </c>
      <c r="F17" s="3002"/>
      <c r="G17" s="2999">
        <f t="shared" si="0"/>
        <v>4.649204052908306E-2</v>
      </c>
      <c r="H17" s="2999"/>
      <c r="I17" s="3000">
        <v>0</v>
      </c>
      <c r="J17" s="3001"/>
    </row>
    <row r="18" spans="1:12" ht="15.6">
      <c r="A18" s="2456">
        <v>7</v>
      </c>
      <c r="B18" s="2996" t="s">
        <v>3751</v>
      </c>
      <c r="C18" s="2997"/>
      <c r="D18" s="2998"/>
      <c r="E18" s="3002">
        <v>33230</v>
      </c>
      <c r="F18" s="3002"/>
      <c r="G18" s="2999">
        <f t="shared" si="0"/>
        <v>4.649204052908306E-2</v>
      </c>
      <c r="H18" s="2999"/>
      <c r="I18" s="3000">
        <v>0</v>
      </c>
      <c r="J18" s="3001"/>
    </row>
    <row r="19" spans="1:12" ht="16.2" thickBot="1">
      <c r="A19" s="2045" t="s">
        <v>3647</v>
      </c>
      <c r="B19" s="2987"/>
      <c r="C19" s="2988"/>
      <c r="D19" s="2989"/>
      <c r="E19" s="3019">
        <f>SUM(E12:F18)</f>
        <v>714746</v>
      </c>
      <c r="F19" s="3019"/>
      <c r="G19" s="3020">
        <f>SUM(G12:H18)</f>
        <v>1</v>
      </c>
      <c r="H19" s="3020"/>
      <c r="I19" s="3021">
        <v>0</v>
      </c>
      <c r="J19" s="3022"/>
      <c r="K19" s="1520"/>
    </row>
    <row r="20" spans="1:12" ht="15.6">
      <c r="A20" s="1995"/>
      <c r="B20" s="1996"/>
      <c r="C20" s="1996"/>
      <c r="D20" s="1996"/>
      <c r="E20" s="1996"/>
      <c r="F20" s="1992"/>
      <c r="G20" s="1992"/>
      <c r="H20" s="1992"/>
      <c r="I20" s="1992"/>
      <c r="J20" s="1993"/>
    </row>
    <row r="21" spans="1:12" ht="15.6">
      <c r="A21" s="3015" t="s">
        <v>3648</v>
      </c>
      <c r="B21" s="3016"/>
      <c r="C21" s="3016"/>
      <c r="D21" s="3016"/>
      <c r="E21" s="3016"/>
      <c r="F21" s="3016"/>
      <c r="G21" s="3016"/>
      <c r="H21" s="1992"/>
      <c r="I21" s="1992"/>
      <c r="J21" s="1993"/>
    </row>
    <row r="22" spans="1:12" ht="15.6">
      <c r="A22" s="3023" t="s">
        <v>3649</v>
      </c>
      <c r="B22" s="3024"/>
      <c r="C22" s="3024"/>
      <c r="D22" s="3024"/>
      <c r="E22" s="3024"/>
      <c r="F22" s="3024"/>
      <c r="G22" s="3024"/>
      <c r="H22" s="3024"/>
      <c r="I22" s="3024"/>
      <c r="J22" s="3025"/>
    </row>
    <row r="23" spans="1:12" ht="15.6">
      <c r="A23" s="3023" t="s">
        <v>3650</v>
      </c>
      <c r="B23" s="3024"/>
      <c r="C23" s="3024"/>
      <c r="D23" s="3024"/>
      <c r="E23" s="3024"/>
      <c r="F23" s="3024"/>
      <c r="G23" s="3024"/>
      <c r="H23" s="1992"/>
      <c r="I23" s="1992"/>
      <c r="J23" s="1993"/>
    </row>
    <row r="24" spans="1:12" ht="16.2" thickBot="1">
      <c r="A24" s="3026" t="s">
        <v>1</v>
      </c>
      <c r="B24" s="2960"/>
      <c r="C24" s="2960"/>
      <c r="D24" s="2960" t="s">
        <v>3651</v>
      </c>
      <c r="E24" s="2960"/>
      <c r="F24" s="2960"/>
      <c r="G24" s="2960"/>
      <c r="H24" s="2960"/>
      <c r="I24" s="2960"/>
      <c r="J24" s="2961"/>
    </row>
    <row r="25" spans="1:12" ht="15.6">
      <c r="A25" s="2977"/>
      <c r="B25" s="3027"/>
      <c r="C25" s="3027"/>
      <c r="D25" s="3029" t="s">
        <v>1137</v>
      </c>
      <c r="E25" s="3030"/>
      <c r="F25" s="3030"/>
      <c r="G25" s="3030"/>
      <c r="H25" s="3030"/>
      <c r="I25" s="3030"/>
      <c r="J25" s="3031"/>
    </row>
    <row r="26" spans="1:12" ht="31.2">
      <c r="A26" s="3028"/>
      <c r="B26" s="3017"/>
      <c r="C26" s="3017"/>
      <c r="D26" s="1994" t="s">
        <v>3652</v>
      </c>
      <c r="E26" s="1994" t="s">
        <v>3653</v>
      </c>
      <c r="F26" s="1994" t="s">
        <v>3654</v>
      </c>
      <c r="G26" s="1994" t="s">
        <v>3655</v>
      </c>
      <c r="H26" s="1994" t="s">
        <v>3656</v>
      </c>
      <c r="I26" s="3017" t="s">
        <v>0</v>
      </c>
      <c r="J26" s="3018"/>
    </row>
    <row r="27" spans="1:12" ht="15.6">
      <c r="A27" s="3032" t="s">
        <v>3657</v>
      </c>
      <c r="B27" s="3033"/>
      <c r="C27" s="3033"/>
      <c r="D27" s="1997"/>
      <c r="E27" s="1997">
        <f>(Notes!J178)/1000</f>
        <v>12929.680039999999</v>
      </c>
      <c r="F27" s="1997"/>
      <c r="G27" s="1997"/>
      <c r="H27" s="1997"/>
      <c r="I27" s="3034">
        <f>SUM(D27:H27)</f>
        <v>12929.680039999999</v>
      </c>
      <c r="J27" s="3035"/>
    </row>
    <row r="28" spans="1:12" ht="15.6">
      <c r="A28" s="3032" t="s">
        <v>3658</v>
      </c>
      <c r="B28" s="3033"/>
      <c r="C28" s="3033"/>
      <c r="D28" s="1997"/>
      <c r="E28" s="1997">
        <v>0</v>
      </c>
      <c r="F28" s="1997"/>
      <c r="G28" s="1997"/>
      <c r="H28" s="1997"/>
      <c r="I28" s="3034">
        <f>SUM(D28:H28)</f>
        <v>0</v>
      </c>
      <c r="J28" s="3035"/>
      <c r="L28">
        <v>1000</v>
      </c>
    </row>
    <row r="29" spans="1:12" ht="15.6">
      <c r="A29" s="3032" t="s">
        <v>3659</v>
      </c>
      <c r="B29" s="3033"/>
      <c r="C29" s="3033"/>
      <c r="D29" s="1997"/>
      <c r="E29" s="1997">
        <v>0</v>
      </c>
      <c r="F29" s="1997"/>
      <c r="G29" s="1997"/>
      <c r="H29" s="1997"/>
      <c r="I29" s="3034">
        <f>SUM(D29:H29)</f>
        <v>0</v>
      </c>
      <c r="J29" s="3035"/>
    </row>
    <row r="30" spans="1:12" ht="16.2" thickBot="1">
      <c r="A30" s="3036" t="s">
        <v>3660</v>
      </c>
      <c r="B30" s="3037"/>
      <c r="C30" s="3037"/>
      <c r="D30" s="1998"/>
      <c r="E30" s="1998">
        <v>0</v>
      </c>
      <c r="F30" s="1998"/>
      <c r="G30" s="1998"/>
      <c r="H30" s="1998"/>
      <c r="I30" s="3034">
        <f>SUM(D30:H30)</f>
        <v>0</v>
      </c>
      <c r="J30" s="3035"/>
    </row>
    <row r="31" spans="1:12" ht="15.6">
      <c r="A31" s="1995"/>
      <c r="B31" s="1996"/>
      <c r="C31" s="1996"/>
      <c r="D31" s="1996"/>
      <c r="E31" s="1996"/>
      <c r="F31" s="1996"/>
      <c r="G31" s="1996"/>
      <c r="H31" s="1992"/>
      <c r="I31" s="1992"/>
      <c r="J31" s="1993"/>
    </row>
    <row r="32" spans="1:12" ht="15.6">
      <c r="A32" s="3015" t="s">
        <v>3661</v>
      </c>
      <c r="B32" s="3016"/>
      <c r="C32" s="3016"/>
      <c r="D32" s="3016"/>
      <c r="E32" s="3016"/>
      <c r="F32" s="3016"/>
      <c r="G32" s="3016"/>
      <c r="H32" s="1992"/>
      <c r="I32" s="1992"/>
      <c r="J32" s="1993"/>
    </row>
    <row r="33" spans="1:10" ht="16.2" thickBot="1">
      <c r="A33" s="3023" t="s">
        <v>3662</v>
      </c>
      <c r="B33" s="3024"/>
      <c r="C33" s="3024"/>
      <c r="D33" s="3024"/>
      <c r="E33" s="3024"/>
      <c r="F33" s="3024"/>
      <c r="G33" s="3024"/>
      <c r="H33" s="3024"/>
      <c r="I33" s="3024"/>
      <c r="J33" s="3025"/>
    </row>
    <row r="34" spans="1:10" ht="15.6">
      <c r="A34" s="3026" t="s">
        <v>3029</v>
      </c>
      <c r="B34" s="2960"/>
      <c r="C34" s="2960" t="s">
        <v>1</v>
      </c>
      <c r="D34" s="2960"/>
      <c r="E34" s="2990"/>
      <c r="F34" s="2991"/>
      <c r="G34" s="2992"/>
      <c r="H34" s="2968" t="s">
        <v>1137</v>
      </c>
      <c r="I34" s="2968"/>
      <c r="J34" s="3038"/>
    </row>
    <row r="35" spans="1:10" ht="15.6">
      <c r="A35" s="3039" t="s">
        <v>3663</v>
      </c>
      <c r="B35" s="3040"/>
      <c r="C35" s="3040" t="s">
        <v>3664</v>
      </c>
      <c r="D35" s="3040"/>
      <c r="E35" s="2993" t="s">
        <v>3665</v>
      </c>
      <c r="F35" s="2994"/>
      <c r="G35" s="2995"/>
      <c r="H35" s="3049">
        <f>Notes!J191/1000</f>
        <v>57211.389000000003</v>
      </c>
      <c r="I35" s="3050"/>
      <c r="J35" s="3051"/>
    </row>
    <row r="36" spans="1:10" ht="15.6">
      <c r="A36" s="3039" t="s">
        <v>3666</v>
      </c>
      <c r="B36" s="3040"/>
      <c r="C36" s="3040" t="s">
        <v>3667</v>
      </c>
      <c r="D36" s="3040"/>
      <c r="E36" s="3043" t="s">
        <v>3668</v>
      </c>
      <c r="F36" s="3044"/>
      <c r="G36" s="3045"/>
      <c r="H36" s="3049">
        <f>Notes!J162/1000</f>
        <v>74626.865699999995</v>
      </c>
      <c r="I36" s="3050"/>
      <c r="J36" s="3051"/>
    </row>
    <row r="37" spans="1:10" ht="16.5" customHeight="1" thickBot="1">
      <c r="A37" s="3055" t="s">
        <v>3669</v>
      </c>
      <c r="B37" s="3056"/>
      <c r="C37" s="3056" t="s">
        <v>3670</v>
      </c>
      <c r="D37" s="3056"/>
      <c r="E37" s="3046" t="s">
        <v>3671</v>
      </c>
      <c r="F37" s="3047"/>
      <c r="G37" s="3048"/>
      <c r="H37" s="3052">
        <f>Notes!J198/1000</f>
        <v>21230.842989999994</v>
      </c>
      <c r="I37" s="3053"/>
      <c r="J37" s="3054"/>
    </row>
    <row r="38" spans="1:10" ht="15.6">
      <c r="A38" s="1999"/>
      <c r="B38" s="2000"/>
      <c r="C38" s="2000"/>
      <c r="D38" s="2000"/>
      <c r="E38" s="2000"/>
      <c r="F38" s="2000"/>
      <c r="G38" s="2000"/>
      <c r="H38" s="1992"/>
      <c r="I38" s="1992"/>
      <c r="J38" s="1993"/>
    </row>
    <row r="39" spans="1:10" ht="15.6">
      <c r="A39" s="3015" t="s">
        <v>3672</v>
      </c>
      <c r="B39" s="3016"/>
      <c r="C39" s="3016"/>
      <c r="D39" s="3016"/>
      <c r="E39" s="3016"/>
      <c r="F39" s="3016"/>
      <c r="G39" s="3016"/>
      <c r="H39" s="1992"/>
      <c r="I39" s="1992"/>
      <c r="J39" s="1993"/>
    </row>
    <row r="40" spans="1:10" ht="16.2" thickBot="1">
      <c r="A40" s="3023" t="s">
        <v>3673</v>
      </c>
      <c r="B40" s="3024"/>
      <c r="C40" s="3024"/>
      <c r="D40" s="3024"/>
      <c r="E40" s="3024"/>
      <c r="F40" s="3024"/>
      <c r="G40" s="3024"/>
      <c r="H40" s="3024"/>
      <c r="I40" s="3024"/>
      <c r="J40" s="3025"/>
    </row>
    <row r="41" spans="1:10" ht="15.6">
      <c r="A41" s="3026" t="s">
        <v>1</v>
      </c>
      <c r="B41" s="2960"/>
      <c r="C41" s="2960" t="s">
        <v>3651</v>
      </c>
      <c r="D41" s="2960"/>
      <c r="E41" s="2960"/>
      <c r="F41" s="2960"/>
      <c r="G41" s="2960"/>
      <c r="H41" s="2960"/>
      <c r="I41" s="2961"/>
      <c r="J41" s="2001"/>
    </row>
    <row r="42" spans="1:10" ht="15.6">
      <c r="A42" s="2977"/>
      <c r="B42" s="3027"/>
      <c r="C42" s="3029" t="s">
        <v>1137</v>
      </c>
      <c r="D42" s="3030"/>
      <c r="E42" s="3030"/>
      <c r="F42" s="3030"/>
      <c r="G42" s="3030"/>
      <c r="H42" s="3030"/>
      <c r="I42" s="3031"/>
      <c r="J42" s="2001"/>
    </row>
    <row r="43" spans="1:10" ht="31.2">
      <c r="A43" s="3028"/>
      <c r="B43" s="3017"/>
      <c r="C43" s="3017" t="s">
        <v>3674</v>
      </c>
      <c r="D43" s="3017"/>
      <c r="E43" s="2002" t="s">
        <v>3654</v>
      </c>
      <c r="F43" s="2002" t="s">
        <v>3655</v>
      </c>
      <c r="G43" s="2002" t="s">
        <v>3656</v>
      </c>
      <c r="H43" s="3017" t="s">
        <v>0</v>
      </c>
      <c r="I43" s="3018"/>
      <c r="J43" s="1993"/>
    </row>
    <row r="44" spans="1:10" ht="15.6">
      <c r="A44" s="3039" t="s">
        <v>3675</v>
      </c>
      <c r="B44" s="3040"/>
      <c r="C44" s="3041">
        <f>(Notes!J80-Notes!K80)/1000</f>
        <v>11210.089808644059</v>
      </c>
      <c r="D44" s="3041"/>
      <c r="E44" s="2003">
        <f>Notes!K80/1000</f>
        <v>6562.7098400000004</v>
      </c>
      <c r="F44" s="2003">
        <v>0</v>
      </c>
      <c r="G44" s="2003">
        <v>0</v>
      </c>
      <c r="H44" s="3041">
        <f>SUM(C44:G44)</f>
        <v>17772.799648644061</v>
      </c>
      <c r="I44" s="3042"/>
      <c r="J44" s="1993"/>
    </row>
    <row r="45" spans="1:10" ht="15.6">
      <c r="A45" s="3039" t="s">
        <v>3676</v>
      </c>
      <c r="B45" s="3040"/>
      <c r="C45" s="3041"/>
      <c r="D45" s="3041"/>
      <c r="E45" s="2003">
        <v>0</v>
      </c>
      <c r="F45" s="2003">
        <v>0</v>
      </c>
      <c r="G45" s="2003">
        <v>0</v>
      </c>
      <c r="H45" s="3041">
        <f t="shared" ref="H45:H47" si="1">SUM(C45:G45)</f>
        <v>0</v>
      </c>
      <c r="I45" s="3042"/>
      <c r="J45" s="1993"/>
    </row>
    <row r="46" spans="1:10" ht="15.6">
      <c r="A46" s="3039" t="s">
        <v>3677</v>
      </c>
      <c r="B46" s="3040"/>
      <c r="C46" s="3041">
        <v>0</v>
      </c>
      <c r="D46" s="3041"/>
      <c r="E46" s="2003">
        <v>0</v>
      </c>
      <c r="F46" s="2003">
        <v>0</v>
      </c>
      <c r="G46" s="2003">
        <v>0</v>
      </c>
      <c r="H46" s="3041">
        <f t="shared" si="1"/>
        <v>0</v>
      </c>
      <c r="I46" s="3042"/>
      <c r="J46" s="1993"/>
    </row>
    <row r="47" spans="1:10" ht="16.2" thickBot="1">
      <c r="A47" s="3055" t="s">
        <v>3678</v>
      </c>
      <c r="B47" s="3056"/>
      <c r="C47" s="3067">
        <v>0</v>
      </c>
      <c r="D47" s="3067"/>
      <c r="E47" s="2004">
        <v>0</v>
      </c>
      <c r="F47" s="2004">
        <v>0</v>
      </c>
      <c r="G47" s="2004">
        <v>0</v>
      </c>
      <c r="H47" s="3067">
        <f t="shared" si="1"/>
        <v>0</v>
      </c>
      <c r="I47" s="3068"/>
      <c r="J47" s="1993"/>
    </row>
    <row r="48" spans="1:10" ht="15.6">
      <c r="A48" s="1995"/>
      <c r="B48" s="1996"/>
      <c r="C48" s="1996"/>
      <c r="D48" s="1996"/>
      <c r="E48" s="1996"/>
      <c r="F48" s="1996"/>
      <c r="G48" s="1992"/>
      <c r="H48" s="1992"/>
      <c r="I48" s="1992"/>
      <c r="J48" s="1993"/>
    </row>
    <row r="49" spans="1:10" ht="15.6">
      <c r="A49" s="3015" t="s">
        <v>3679</v>
      </c>
      <c r="B49" s="3016"/>
      <c r="C49" s="3016"/>
      <c r="D49" s="3016"/>
      <c r="E49" s="3016"/>
      <c r="F49" s="3016"/>
      <c r="G49" s="3016"/>
      <c r="H49" s="1992"/>
      <c r="I49" s="1992"/>
      <c r="J49" s="1993"/>
    </row>
    <row r="50" spans="1:10" ht="15.6">
      <c r="A50" s="2005"/>
      <c r="B50" s="1992"/>
      <c r="C50" s="1992"/>
      <c r="D50" s="1992"/>
      <c r="E50" s="1992"/>
      <c r="F50" s="1992"/>
      <c r="G50" s="1992"/>
      <c r="H50" s="1992"/>
      <c r="I50" s="1992"/>
      <c r="J50" s="1993"/>
    </row>
    <row r="51" spans="1:10" ht="15.6">
      <c r="A51" s="2005" t="s">
        <v>3680</v>
      </c>
      <c r="B51" s="1992"/>
      <c r="C51" s="1992"/>
      <c r="D51" s="1992"/>
      <c r="E51" s="1992"/>
      <c r="F51" s="1992"/>
      <c r="G51" s="1992"/>
      <c r="H51" s="1992"/>
      <c r="I51" s="1992"/>
      <c r="J51" s="1993"/>
    </row>
    <row r="52" spans="1:10" ht="15.6">
      <c r="A52" s="2005"/>
      <c r="B52" s="1992"/>
      <c r="C52" s="1992"/>
      <c r="D52" s="1992"/>
      <c r="E52" s="1992"/>
      <c r="F52" s="1992"/>
      <c r="G52" s="1992"/>
      <c r="H52" s="1992"/>
      <c r="I52" s="1992"/>
      <c r="J52" s="1993"/>
    </row>
    <row r="53" spans="1:10" ht="15.6">
      <c r="A53" s="3015" t="s">
        <v>3681</v>
      </c>
      <c r="B53" s="3016"/>
      <c r="C53" s="3016"/>
      <c r="D53" s="3016"/>
      <c r="E53" s="3016"/>
      <c r="F53" s="3016"/>
      <c r="G53" s="3016"/>
      <c r="H53" s="1992"/>
      <c r="I53" s="1992"/>
      <c r="J53" s="1993"/>
    </row>
    <row r="54" spans="1:10" ht="16.2" thickBot="1">
      <c r="A54" s="2006" t="s">
        <v>3682</v>
      </c>
      <c r="B54" s="2007"/>
      <c r="C54" s="2007"/>
      <c r="D54" s="2007"/>
      <c r="E54" s="2007"/>
      <c r="F54" s="2007"/>
      <c r="G54" s="2007"/>
      <c r="H54" s="2007"/>
      <c r="I54" s="2007"/>
      <c r="J54" s="2008"/>
    </row>
    <row r="55" spans="1:10" ht="15.6">
      <c r="A55" s="2009"/>
      <c r="B55" s="2010"/>
      <c r="C55" s="2010"/>
      <c r="D55" s="2010"/>
      <c r="E55" s="2010"/>
      <c r="F55" s="2010"/>
      <c r="G55" s="2010"/>
      <c r="H55" s="2010"/>
      <c r="I55" s="2010"/>
      <c r="J55" s="2011"/>
    </row>
    <row r="56" spans="1:10" ht="15.6">
      <c r="A56" s="3015" t="s">
        <v>3683</v>
      </c>
      <c r="B56" s="3016"/>
      <c r="C56" s="3016"/>
      <c r="D56" s="3016"/>
      <c r="E56" s="3016"/>
      <c r="F56" s="3016"/>
      <c r="G56" s="3016"/>
      <c r="H56" s="1992"/>
      <c r="I56" s="1992"/>
      <c r="J56" s="1993"/>
    </row>
    <row r="57" spans="1:10" ht="15.6">
      <c r="A57" s="2005" t="s">
        <v>3684</v>
      </c>
      <c r="B57" s="1992"/>
      <c r="C57" s="1992"/>
      <c r="D57" s="1992"/>
      <c r="E57" s="1992"/>
      <c r="F57" s="1992"/>
      <c r="G57" s="1992"/>
      <c r="H57" s="1992"/>
      <c r="I57" s="1992"/>
      <c r="J57" s="1993"/>
    </row>
    <row r="58" spans="1:10" ht="15.6">
      <c r="A58" s="2005"/>
      <c r="B58" s="1992"/>
      <c r="C58" s="1992"/>
      <c r="D58" s="1992"/>
      <c r="E58" s="1992"/>
      <c r="F58" s="1992"/>
      <c r="G58" s="1992"/>
      <c r="H58" s="1992"/>
      <c r="I58" s="1992"/>
      <c r="J58" s="1993"/>
    </row>
    <row r="59" spans="1:10" ht="15.6">
      <c r="A59" s="2012" t="s">
        <v>3685</v>
      </c>
      <c r="B59" s="1992"/>
      <c r="C59" s="1992"/>
      <c r="D59" s="1992"/>
      <c r="E59" s="1992"/>
      <c r="F59" s="1992"/>
      <c r="G59" s="1992"/>
      <c r="H59" s="1992"/>
      <c r="I59" s="1992"/>
      <c r="J59" s="1993"/>
    </row>
    <row r="60" spans="1:10" ht="16.2" thickBot="1">
      <c r="A60" s="2005"/>
      <c r="B60" s="1992"/>
      <c r="C60" s="1992"/>
      <c r="D60" s="1992"/>
      <c r="E60" s="1992"/>
      <c r="F60" s="1992"/>
      <c r="G60" s="1992"/>
      <c r="H60" s="1992"/>
      <c r="I60" s="1992"/>
      <c r="J60" s="1993"/>
    </row>
    <row r="61" spans="1:10" ht="15.6">
      <c r="A61" s="3065" t="s">
        <v>3686</v>
      </c>
      <c r="B61" s="2971" t="s">
        <v>3687</v>
      </c>
      <c r="C61" s="2971"/>
      <c r="D61" s="2971"/>
      <c r="E61" s="2971"/>
      <c r="F61" s="2971"/>
      <c r="G61" s="2971"/>
      <c r="H61" s="2971"/>
      <c r="I61" s="2972"/>
      <c r="J61" s="1993"/>
    </row>
    <row r="62" spans="1:10" ht="15.6">
      <c r="A62" s="3066"/>
      <c r="B62" s="2973" t="s">
        <v>3688</v>
      </c>
      <c r="C62" s="2973"/>
      <c r="D62" s="2973" t="s">
        <v>3689</v>
      </c>
      <c r="E62" s="2973"/>
      <c r="F62" s="2973" t="s">
        <v>3690</v>
      </c>
      <c r="G62" s="2973"/>
      <c r="H62" s="2973" t="s">
        <v>3691</v>
      </c>
      <c r="I62" s="2974"/>
      <c r="J62" s="1993"/>
    </row>
    <row r="63" spans="1:10" ht="15.6">
      <c r="A63" s="2046"/>
      <c r="B63" s="2969"/>
      <c r="C63" s="2969"/>
      <c r="D63" s="2969"/>
      <c r="E63" s="2969"/>
      <c r="F63" s="2969"/>
      <c r="G63" s="2969"/>
      <c r="H63" s="2969"/>
      <c r="I63" s="2970"/>
      <c r="J63" s="1993"/>
    </row>
    <row r="64" spans="1:10" ht="15.6">
      <c r="A64" s="2047" t="s">
        <v>3692</v>
      </c>
      <c r="B64" s="2969" t="s">
        <v>3693</v>
      </c>
      <c r="C64" s="2969"/>
      <c r="D64" s="2969" t="s">
        <v>3693</v>
      </c>
      <c r="E64" s="2969" t="s">
        <v>3693</v>
      </c>
      <c r="F64" s="2969" t="s">
        <v>3693</v>
      </c>
      <c r="G64" s="2969" t="s">
        <v>3693</v>
      </c>
      <c r="H64" s="2969" t="s">
        <v>3693</v>
      </c>
      <c r="I64" s="2970"/>
      <c r="J64" s="1993"/>
    </row>
    <row r="65" spans="1:10" ht="16.2" thickBot="1">
      <c r="A65" s="2048"/>
      <c r="B65" s="2966"/>
      <c r="C65" s="2966"/>
      <c r="D65" s="2966"/>
      <c r="E65" s="2966"/>
      <c r="F65" s="2966"/>
      <c r="G65" s="2966"/>
      <c r="H65" s="2966"/>
      <c r="I65" s="2967"/>
      <c r="J65" s="1993"/>
    </row>
    <row r="66" spans="1:10" ht="15.6">
      <c r="A66" s="2005"/>
      <c r="B66" s="1992"/>
      <c r="C66" s="1992"/>
      <c r="D66" s="1992"/>
      <c r="E66" s="1992"/>
      <c r="F66" s="1992"/>
      <c r="G66" s="1992"/>
      <c r="H66" s="1992"/>
      <c r="I66" s="1992"/>
      <c r="J66" s="1993"/>
    </row>
    <row r="67" spans="1:10" ht="15.6">
      <c r="A67" s="2012" t="s">
        <v>3694</v>
      </c>
      <c r="B67" s="1992"/>
      <c r="C67" s="1992"/>
      <c r="D67" s="1992"/>
      <c r="E67" s="1992"/>
      <c r="F67" s="1992"/>
      <c r="G67" s="1992"/>
      <c r="H67" s="1992"/>
      <c r="I67" s="1992"/>
      <c r="J67" s="1993"/>
    </row>
    <row r="68" spans="1:10" ht="16.2" thickBot="1">
      <c r="A68" s="2005"/>
      <c r="B68" s="1992"/>
      <c r="C68" s="1992"/>
      <c r="D68" s="1992"/>
      <c r="E68" s="1992"/>
      <c r="F68" s="1992"/>
      <c r="G68" s="1992"/>
      <c r="H68" s="1992"/>
      <c r="I68" s="1992"/>
      <c r="J68" s="1993"/>
    </row>
    <row r="69" spans="1:10" ht="15.6">
      <c r="A69" s="3065" t="s">
        <v>3753</v>
      </c>
      <c r="B69" s="2971" t="s">
        <v>3687</v>
      </c>
      <c r="C69" s="2971"/>
      <c r="D69" s="2971"/>
      <c r="E69" s="2971"/>
      <c r="F69" s="2971"/>
      <c r="G69" s="2971"/>
      <c r="H69" s="2971"/>
      <c r="I69" s="2972"/>
      <c r="J69" s="1993"/>
    </row>
    <row r="70" spans="1:10" ht="15.6">
      <c r="A70" s="3066"/>
      <c r="B70" s="2973" t="s">
        <v>3688</v>
      </c>
      <c r="C70" s="2973"/>
      <c r="D70" s="2973" t="s">
        <v>3689</v>
      </c>
      <c r="E70" s="2973"/>
      <c r="F70" s="2973" t="s">
        <v>3690</v>
      </c>
      <c r="G70" s="2973"/>
      <c r="H70" s="2973" t="s">
        <v>3691</v>
      </c>
      <c r="I70" s="2974"/>
      <c r="J70" s="1993"/>
    </row>
    <row r="71" spans="1:10" ht="15.6">
      <c r="A71" s="2046"/>
      <c r="B71" s="2969"/>
      <c r="C71" s="2969"/>
      <c r="D71" s="2969"/>
      <c r="E71" s="2969"/>
      <c r="F71" s="2969"/>
      <c r="G71" s="2969"/>
      <c r="H71" s="2969"/>
      <c r="I71" s="2970"/>
      <c r="J71" s="1993"/>
    </row>
    <row r="72" spans="1:10" ht="15.6">
      <c r="A72" s="2047" t="s">
        <v>3692</v>
      </c>
      <c r="B72" s="2969" t="s">
        <v>3693</v>
      </c>
      <c r="C72" s="2969"/>
      <c r="D72" s="2969" t="s">
        <v>3693</v>
      </c>
      <c r="E72" s="2969" t="s">
        <v>3693</v>
      </c>
      <c r="F72" s="2969" t="s">
        <v>3693</v>
      </c>
      <c r="G72" s="2969" t="s">
        <v>3693</v>
      </c>
      <c r="H72" s="2969" t="s">
        <v>3693</v>
      </c>
      <c r="I72" s="2970"/>
      <c r="J72" s="1993"/>
    </row>
    <row r="73" spans="1:10" ht="16.2" thickBot="1">
      <c r="A73" s="2048"/>
      <c r="B73" s="2966"/>
      <c r="C73" s="2966"/>
      <c r="D73" s="2966"/>
      <c r="E73" s="2966"/>
      <c r="F73" s="2966"/>
      <c r="G73" s="2966"/>
      <c r="H73" s="2966"/>
      <c r="I73" s="2967"/>
      <c r="J73" s="1993"/>
    </row>
    <row r="74" spans="1:10" ht="15.6">
      <c r="A74" s="2005"/>
      <c r="B74" s="1992"/>
      <c r="C74" s="1992"/>
      <c r="D74" s="1992"/>
      <c r="E74" s="1992"/>
      <c r="F74" s="1992"/>
      <c r="G74" s="1992"/>
      <c r="H74" s="1992"/>
      <c r="I74" s="1992"/>
      <c r="J74" s="1993"/>
    </row>
    <row r="75" spans="1:10" ht="15.6">
      <c r="A75" s="2005"/>
      <c r="B75" s="1992"/>
      <c r="C75" s="1992"/>
      <c r="D75" s="1992"/>
      <c r="E75" s="1992"/>
      <c r="F75" s="1992"/>
      <c r="G75" s="1992"/>
      <c r="H75" s="1992"/>
      <c r="I75" s="1992"/>
      <c r="J75" s="1993"/>
    </row>
    <row r="76" spans="1:10" ht="15.6">
      <c r="A76" s="2012" t="s">
        <v>3695</v>
      </c>
      <c r="B76" s="1992"/>
      <c r="C76" s="1992"/>
      <c r="D76" s="1992"/>
      <c r="E76" s="1992"/>
      <c r="F76" s="1992"/>
      <c r="G76" s="1992"/>
      <c r="H76" s="1992"/>
      <c r="I76" s="1992"/>
      <c r="J76" s="1993"/>
    </row>
    <row r="77" spans="1:10" ht="15.6">
      <c r="A77" s="3057" t="s">
        <v>3696</v>
      </c>
      <c r="B77" s="3058"/>
      <c r="C77" s="3058"/>
      <c r="D77" s="3058"/>
      <c r="E77" s="3058"/>
      <c r="F77" s="3058"/>
      <c r="G77" s="3058"/>
      <c r="H77" s="3058"/>
      <c r="I77" s="3058"/>
      <c r="J77" s="3059"/>
    </row>
    <row r="78" spans="1:10" ht="15.6">
      <c r="A78" s="2005"/>
      <c r="B78" s="1992"/>
      <c r="C78" s="1992"/>
      <c r="D78" s="1992"/>
      <c r="E78" s="1992"/>
      <c r="F78" s="1992"/>
      <c r="G78" s="1992"/>
      <c r="H78" s="1992"/>
      <c r="I78" s="1992"/>
      <c r="J78" s="1993"/>
    </row>
    <row r="79" spans="1:10" ht="15.6">
      <c r="A79" s="2005"/>
      <c r="B79" s="1992"/>
      <c r="C79" s="1992"/>
      <c r="D79" s="1992"/>
      <c r="E79" s="1992"/>
      <c r="F79" s="1992"/>
      <c r="G79" s="1992"/>
      <c r="H79" s="1992"/>
      <c r="I79" s="1992"/>
      <c r="J79" s="1993"/>
    </row>
    <row r="80" spans="1:10" ht="15.6">
      <c r="A80" s="2012" t="s">
        <v>3697</v>
      </c>
      <c r="B80" s="1992"/>
      <c r="C80" s="1992"/>
      <c r="D80" s="1992"/>
      <c r="E80" s="1992"/>
      <c r="F80" s="1992"/>
      <c r="G80" s="1992"/>
      <c r="H80" s="1992"/>
      <c r="I80" s="1992"/>
      <c r="J80" s="1993"/>
    </row>
    <row r="81" spans="1:10" ht="15.6">
      <c r="A81" s="2005" t="s">
        <v>3698</v>
      </c>
      <c r="B81" s="1992"/>
      <c r="C81" s="1992"/>
      <c r="D81" s="1992"/>
      <c r="E81" s="1992"/>
      <c r="F81" s="1992"/>
      <c r="G81" s="1992"/>
      <c r="H81" s="1992"/>
      <c r="I81" s="1992"/>
      <c r="J81" s="1993"/>
    </row>
    <row r="82" spans="1:10" ht="15.6">
      <c r="A82" s="2005"/>
      <c r="B82" s="1992"/>
      <c r="C82" s="1992"/>
      <c r="D82" s="1992"/>
      <c r="E82" s="1992"/>
      <c r="F82" s="1992"/>
      <c r="G82" s="1992"/>
      <c r="H82" s="1992"/>
      <c r="I82" s="1992"/>
      <c r="J82" s="1993"/>
    </row>
    <row r="83" spans="1:10" ht="15.6">
      <c r="A83" s="2012" t="s">
        <v>3699</v>
      </c>
      <c r="B83" s="1992"/>
      <c r="C83" s="1992"/>
      <c r="D83" s="1992"/>
      <c r="E83" s="1992"/>
      <c r="F83" s="1992"/>
      <c r="G83" s="1992"/>
      <c r="H83" s="1992"/>
      <c r="I83" s="1992"/>
      <c r="J83" s="1993"/>
    </row>
    <row r="84" spans="1:10" ht="16.2" thickBot="1">
      <c r="A84" s="2005"/>
      <c r="B84" s="1992"/>
      <c r="C84" s="1992"/>
      <c r="D84" s="1992"/>
      <c r="E84" s="1992"/>
      <c r="F84" s="1992"/>
      <c r="G84" s="1992"/>
      <c r="H84" s="1992"/>
      <c r="I84" s="1992"/>
      <c r="J84" s="1993"/>
    </row>
    <row r="85" spans="1:10" ht="32.25" customHeight="1">
      <c r="A85" s="2013" t="s">
        <v>3700</v>
      </c>
      <c r="B85" s="2968" t="s">
        <v>3701</v>
      </c>
      <c r="C85" s="2968"/>
      <c r="D85" s="2968"/>
      <c r="E85" s="2960" t="s">
        <v>3702</v>
      </c>
      <c r="F85" s="2960"/>
      <c r="G85" s="2960" t="s">
        <v>4353</v>
      </c>
      <c r="H85" s="2961"/>
      <c r="I85" s="1992"/>
      <c r="J85" s="1993"/>
    </row>
    <row r="86" spans="1:10" ht="15.6">
      <c r="A86" s="2049"/>
      <c r="B86" s="2958"/>
      <c r="C86" s="2958"/>
      <c r="D86" s="2958"/>
      <c r="E86" s="3063"/>
      <c r="F86" s="3063"/>
      <c r="G86" s="2962"/>
      <c r="H86" s="2963"/>
      <c r="I86" s="1992"/>
      <c r="J86" s="1993"/>
    </row>
    <row r="87" spans="1:10" ht="16.2" thickBot="1">
      <c r="A87" s="2014"/>
      <c r="B87" s="2959"/>
      <c r="C87" s="2959"/>
      <c r="D87" s="2959"/>
      <c r="E87" s="3064"/>
      <c r="F87" s="3064"/>
      <c r="G87" s="2964"/>
      <c r="H87" s="2965"/>
      <c r="I87" s="1992"/>
      <c r="J87" s="1993"/>
    </row>
    <row r="88" spans="1:10" ht="15.6">
      <c r="A88" s="2005"/>
      <c r="B88" s="1992"/>
      <c r="C88" s="1992"/>
      <c r="D88" s="1992"/>
      <c r="E88" s="1992"/>
      <c r="F88" s="1992"/>
      <c r="G88" s="1992"/>
      <c r="H88" s="1992"/>
      <c r="I88" s="1992"/>
      <c r="J88" s="1993"/>
    </row>
    <row r="89" spans="1:10" ht="15.6">
      <c r="A89" s="2012" t="s">
        <v>3703</v>
      </c>
      <c r="B89" s="1992"/>
      <c r="C89" s="1992"/>
      <c r="D89" s="1992"/>
      <c r="E89" s="1992"/>
      <c r="F89" s="1992"/>
      <c r="G89" s="1992"/>
      <c r="H89" s="1992"/>
      <c r="I89" s="1992"/>
      <c r="J89" s="1993"/>
    </row>
    <row r="90" spans="1:10" ht="15.6">
      <c r="A90" s="2005" t="s">
        <v>3704</v>
      </c>
      <c r="B90" s="1992"/>
      <c r="C90" s="1992"/>
      <c r="D90" s="1992"/>
      <c r="E90" s="1992"/>
      <c r="F90" s="1992"/>
      <c r="G90" s="1992"/>
      <c r="H90" s="1992"/>
      <c r="I90" s="1992"/>
      <c r="J90" s="1993"/>
    </row>
    <row r="91" spans="1:10" ht="15.6">
      <c r="A91" s="2005"/>
      <c r="B91" s="1992"/>
      <c r="C91" s="1992"/>
      <c r="D91" s="1992"/>
      <c r="E91" s="1992"/>
      <c r="F91" s="1992"/>
      <c r="G91" s="1992"/>
      <c r="H91" s="1992"/>
      <c r="I91" s="1992"/>
      <c r="J91" s="1993"/>
    </row>
    <row r="92" spans="1:10" ht="15.6">
      <c r="A92" s="2012" t="s">
        <v>3705</v>
      </c>
      <c r="B92" s="1992"/>
      <c r="C92" s="1992"/>
      <c r="D92" s="1992"/>
      <c r="E92" s="1992"/>
      <c r="F92" s="1992"/>
      <c r="G92" s="1992"/>
      <c r="H92" s="1992"/>
      <c r="I92" s="1992"/>
      <c r="J92" s="1993"/>
    </row>
    <row r="93" spans="1:10">
      <c r="A93" s="3057" t="s">
        <v>3706</v>
      </c>
      <c r="B93" s="3058"/>
      <c r="C93" s="3058"/>
      <c r="D93" s="3058"/>
      <c r="E93" s="3058"/>
      <c r="F93" s="3058"/>
      <c r="G93" s="3058"/>
      <c r="H93" s="3058"/>
      <c r="I93" s="3058"/>
      <c r="J93" s="3059"/>
    </row>
    <row r="94" spans="1:10">
      <c r="A94" s="3057"/>
      <c r="B94" s="3058"/>
      <c r="C94" s="3058"/>
      <c r="D94" s="3058"/>
      <c r="E94" s="3058"/>
      <c r="F94" s="3058"/>
      <c r="G94" s="3058"/>
      <c r="H94" s="3058"/>
      <c r="I94" s="3058"/>
      <c r="J94" s="3059"/>
    </row>
    <row r="95" spans="1:10" ht="15.6">
      <c r="A95" s="2005"/>
      <c r="B95" s="1992"/>
      <c r="C95" s="1992"/>
      <c r="D95" s="1992"/>
      <c r="E95" s="1992"/>
      <c r="F95" s="1992"/>
      <c r="G95" s="1992"/>
      <c r="H95" s="1992"/>
      <c r="I95" s="1992"/>
      <c r="J95" s="1993"/>
    </row>
    <row r="96" spans="1:10" ht="15.6">
      <c r="A96" s="2012" t="s">
        <v>3707</v>
      </c>
      <c r="B96" s="1992"/>
      <c r="C96" s="1992"/>
      <c r="D96" s="1992"/>
      <c r="E96" s="1992"/>
      <c r="F96" s="1992"/>
      <c r="G96" s="1992"/>
      <c r="H96" s="1992"/>
      <c r="I96" s="1992"/>
      <c r="J96" s="1993"/>
    </row>
    <row r="97" spans="1:10" ht="15.6">
      <c r="A97" s="2005" t="s">
        <v>3708</v>
      </c>
      <c r="B97" s="1992"/>
      <c r="C97" s="1992"/>
      <c r="D97" s="1992"/>
      <c r="E97" s="1992"/>
      <c r="F97" s="1992"/>
      <c r="G97" s="1992"/>
      <c r="H97" s="1992"/>
      <c r="I97" s="1992"/>
      <c r="J97" s="1993"/>
    </row>
    <row r="98" spans="1:10" ht="15.6">
      <c r="A98" s="2005"/>
      <c r="B98" s="1992"/>
      <c r="C98" s="1992"/>
      <c r="D98" s="1992"/>
      <c r="E98" s="1992"/>
      <c r="F98" s="1992"/>
      <c r="G98" s="1992"/>
      <c r="H98" s="1992"/>
      <c r="I98" s="1992"/>
      <c r="J98" s="1993"/>
    </row>
    <row r="99" spans="1:10" ht="15.6">
      <c r="A99" s="2012" t="s">
        <v>3709</v>
      </c>
      <c r="B99" s="1992"/>
      <c r="C99" s="1992"/>
      <c r="D99" s="1992"/>
      <c r="E99" s="1992"/>
      <c r="F99" s="1992"/>
      <c r="G99" s="1992"/>
      <c r="H99" s="1992"/>
      <c r="I99" s="1992"/>
      <c r="J99" s="1993"/>
    </row>
    <row r="100" spans="1:10" ht="15.6">
      <c r="A100" s="2005" t="s">
        <v>3710</v>
      </c>
      <c r="B100" s="1992"/>
      <c r="C100" s="1992"/>
      <c r="D100" s="1992"/>
      <c r="E100" s="1992"/>
      <c r="F100" s="1992"/>
      <c r="G100" s="1992"/>
      <c r="H100" s="1992"/>
      <c r="I100" s="1992"/>
      <c r="J100" s="1993"/>
    </row>
    <row r="101" spans="1:10" ht="16.2" thickBot="1">
      <c r="A101" s="2015"/>
      <c r="B101" s="2007"/>
      <c r="C101" s="2007"/>
      <c r="D101" s="2007"/>
      <c r="E101" s="2007"/>
      <c r="F101" s="2007"/>
      <c r="G101" s="2007"/>
      <c r="H101" s="2007"/>
      <c r="I101" s="2007"/>
      <c r="J101" s="2008"/>
    </row>
  </sheetData>
  <mergeCells count="145">
    <mergeCell ref="A49:G49"/>
    <mergeCell ref="A53:G53"/>
    <mergeCell ref="A56:G56"/>
    <mergeCell ref="A45:B45"/>
    <mergeCell ref="C45:D45"/>
    <mergeCell ref="A93:J94"/>
    <mergeCell ref="A8:J8"/>
    <mergeCell ref="E85:F85"/>
    <mergeCell ref="E86:F86"/>
    <mergeCell ref="E87:F87"/>
    <mergeCell ref="A61:A62"/>
    <mergeCell ref="A69:A70"/>
    <mergeCell ref="A77:J77"/>
    <mergeCell ref="A47:B47"/>
    <mergeCell ref="C47:D47"/>
    <mergeCell ref="H47:I47"/>
    <mergeCell ref="H45:I45"/>
    <mergeCell ref="A46:B46"/>
    <mergeCell ref="C46:D46"/>
    <mergeCell ref="H46:I46"/>
    <mergeCell ref="A41:B43"/>
    <mergeCell ref="C41:I41"/>
    <mergeCell ref="C42:I42"/>
    <mergeCell ref="C43:D43"/>
    <mergeCell ref="H43:I43"/>
    <mergeCell ref="A44:B44"/>
    <mergeCell ref="C44:D44"/>
    <mergeCell ref="H44:I44"/>
    <mergeCell ref="A40:J40"/>
    <mergeCell ref="A35:B35"/>
    <mergeCell ref="C35:D35"/>
    <mergeCell ref="A36:B36"/>
    <mergeCell ref="C36:D36"/>
    <mergeCell ref="E36:G36"/>
    <mergeCell ref="E37:G37"/>
    <mergeCell ref="H35:J35"/>
    <mergeCell ref="H36:J36"/>
    <mergeCell ref="H37:J37"/>
    <mergeCell ref="A37:B37"/>
    <mergeCell ref="C37:D37"/>
    <mergeCell ref="A39:G39"/>
    <mergeCell ref="A29:C29"/>
    <mergeCell ref="I29:J29"/>
    <mergeCell ref="A30:C30"/>
    <mergeCell ref="I30:J30"/>
    <mergeCell ref="A32:G32"/>
    <mergeCell ref="A33:J33"/>
    <mergeCell ref="A34:B34"/>
    <mergeCell ref="C34:D34"/>
    <mergeCell ref="H34:J34"/>
    <mergeCell ref="A22:J22"/>
    <mergeCell ref="A23:G23"/>
    <mergeCell ref="A24:C26"/>
    <mergeCell ref="D24:J24"/>
    <mergeCell ref="D25:J25"/>
    <mergeCell ref="I26:J26"/>
    <mergeCell ref="A27:C27"/>
    <mergeCell ref="I27:J27"/>
    <mergeCell ref="A28:C28"/>
    <mergeCell ref="I28:J28"/>
    <mergeCell ref="A21:G21"/>
    <mergeCell ref="E9:F11"/>
    <mergeCell ref="G9:H11"/>
    <mergeCell ref="E16:F16"/>
    <mergeCell ref="G16:H16"/>
    <mergeCell ref="E18:F18"/>
    <mergeCell ref="E19:F19"/>
    <mergeCell ref="G19:H19"/>
    <mergeCell ref="I19:J19"/>
    <mergeCell ref="G13:H13"/>
    <mergeCell ref="I13:J13"/>
    <mergeCell ref="E14:F14"/>
    <mergeCell ref="G14:H14"/>
    <mergeCell ref="I14:J14"/>
    <mergeCell ref="E15:F15"/>
    <mergeCell ref="G15:H15"/>
    <mergeCell ref="I15:J15"/>
    <mergeCell ref="A2:J2"/>
    <mergeCell ref="A3:J3"/>
    <mergeCell ref="A4:J4"/>
    <mergeCell ref="A5:J5"/>
    <mergeCell ref="A7:G7"/>
    <mergeCell ref="I9:J11"/>
    <mergeCell ref="E12:F12"/>
    <mergeCell ref="G12:H12"/>
    <mergeCell ref="I12:J12"/>
    <mergeCell ref="B62:C62"/>
    <mergeCell ref="D62:E62"/>
    <mergeCell ref="F62:G62"/>
    <mergeCell ref="H62:I62"/>
    <mergeCell ref="B61:I61"/>
    <mergeCell ref="A9:A11"/>
    <mergeCell ref="B9:D11"/>
    <mergeCell ref="B19:D19"/>
    <mergeCell ref="E34:G34"/>
    <mergeCell ref="E35:G35"/>
    <mergeCell ref="B12:D12"/>
    <mergeCell ref="B13:D13"/>
    <mergeCell ref="B14:D14"/>
    <mergeCell ref="B15:D15"/>
    <mergeCell ref="B16:D16"/>
    <mergeCell ref="B17:D17"/>
    <mergeCell ref="B18:D18"/>
    <mergeCell ref="G18:H18"/>
    <mergeCell ref="I18:J18"/>
    <mergeCell ref="I16:J16"/>
    <mergeCell ref="E17:F17"/>
    <mergeCell ref="G17:H17"/>
    <mergeCell ref="I17:J17"/>
    <mergeCell ref="E13:F13"/>
    <mergeCell ref="F63:G63"/>
    <mergeCell ref="F64:G64"/>
    <mergeCell ref="F65:G65"/>
    <mergeCell ref="H63:I63"/>
    <mergeCell ref="H64:I64"/>
    <mergeCell ref="H65:I65"/>
    <mergeCell ref="B63:C63"/>
    <mergeCell ref="B64:C64"/>
    <mergeCell ref="B65:C65"/>
    <mergeCell ref="D63:E63"/>
    <mergeCell ref="D64:E64"/>
    <mergeCell ref="D65:E65"/>
    <mergeCell ref="B71:C71"/>
    <mergeCell ref="D71:E71"/>
    <mergeCell ref="F71:G71"/>
    <mergeCell ref="H71:I71"/>
    <mergeCell ref="B72:C72"/>
    <mergeCell ref="D72:E72"/>
    <mergeCell ref="F72:G72"/>
    <mergeCell ref="H72:I72"/>
    <mergeCell ref="B69:I69"/>
    <mergeCell ref="B70:C70"/>
    <mergeCell ref="D70:E70"/>
    <mergeCell ref="F70:G70"/>
    <mergeCell ref="H70:I70"/>
    <mergeCell ref="B86:D86"/>
    <mergeCell ref="B87:D87"/>
    <mergeCell ref="G85:H85"/>
    <mergeCell ref="G86:H86"/>
    <mergeCell ref="G87:H87"/>
    <mergeCell ref="B73:C73"/>
    <mergeCell ref="D73:E73"/>
    <mergeCell ref="F73:G73"/>
    <mergeCell ref="H73:I73"/>
    <mergeCell ref="B85:D85"/>
  </mergeCells>
  <pageMargins left="0.7" right="0.7" top="0.75" bottom="0.75" header="0.3" footer="0.3"/>
  <pageSetup scale="60" orientation="portrait" r:id="rId1"/>
  <rowBreaks count="1" manualBreakCount="1">
    <brk id="54" max="9"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G84"/>
  <sheetViews>
    <sheetView view="pageBreakPreview" topLeftCell="A4" zoomScale="70" zoomScaleNormal="100" zoomScaleSheetLayoutView="70" workbookViewId="0">
      <selection activeCell="F11" sqref="F11"/>
    </sheetView>
  </sheetViews>
  <sheetFormatPr defaultRowHeight="14.4"/>
  <cols>
    <col min="1" max="1" width="36.5546875" bestFit="1" customWidth="1"/>
    <col min="2" max="2" width="32.44140625" bestFit="1" customWidth="1"/>
    <col min="3" max="3" width="25" bestFit="1" customWidth="1"/>
    <col min="4" max="6" width="20.44140625" customWidth="1"/>
    <col min="7" max="7" width="47.5546875" customWidth="1"/>
  </cols>
  <sheetData>
    <row r="1" spans="1:7" ht="15" thickBot="1">
      <c r="A1" s="1619"/>
      <c r="B1" s="2319"/>
      <c r="C1" s="2319"/>
      <c r="D1" s="2319"/>
      <c r="E1" s="2319"/>
      <c r="F1" s="2319"/>
      <c r="G1" s="1620"/>
    </row>
    <row r="2" spans="1:7" ht="36.75" customHeight="1">
      <c r="A2" s="3072" t="s">
        <v>3627</v>
      </c>
      <c r="B2" s="3073"/>
      <c r="C2" s="3073"/>
      <c r="D2" s="3073"/>
      <c r="E2" s="3073"/>
      <c r="F2" s="3073"/>
      <c r="G2" s="3074"/>
    </row>
    <row r="3" spans="1:7" ht="17.399999999999999">
      <c r="A3" s="3075" t="str">
        <f>'Additional Disclosures'!A3:J3</f>
        <v>New No. 57, Old No. 3, Canal Road, Kilpauk Garden Colony, Kilpauk, Chennai 600 010.</v>
      </c>
      <c r="B3" s="3076"/>
      <c r="C3" s="3076"/>
      <c r="D3" s="3076"/>
      <c r="E3" s="3076"/>
      <c r="F3" s="3076"/>
      <c r="G3" s="3077"/>
    </row>
    <row r="4" spans="1:7" ht="30.75" customHeight="1" thickBot="1">
      <c r="A4" s="3078" t="str">
        <f>'Additional Disclosures'!A4:J4</f>
        <v>CIN: U74210TN2002PLC048568</v>
      </c>
      <c r="B4" s="3076"/>
      <c r="C4" s="3076"/>
      <c r="D4" s="3076"/>
      <c r="E4" s="3076"/>
      <c r="F4" s="3076"/>
      <c r="G4" s="3077"/>
    </row>
    <row r="5" spans="1:7" ht="24" customHeight="1" thickBot="1">
      <c r="A5" s="3079" t="s">
        <v>3712</v>
      </c>
      <c r="B5" s="3073"/>
      <c r="C5" s="3073"/>
      <c r="D5" s="3073"/>
      <c r="E5" s="3073"/>
      <c r="F5" s="3073"/>
      <c r="G5" s="3074"/>
    </row>
    <row r="6" spans="1:7" ht="36" customHeight="1" thickBot="1">
      <c r="A6" s="3080" t="s">
        <v>3640</v>
      </c>
      <c r="B6" s="3081"/>
      <c r="C6" s="3081"/>
      <c r="D6" s="3081"/>
      <c r="E6" s="3081"/>
      <c r="F6" s="3081"/>
      <c r="G6" s="3082"/>
    </row>
    <row r="7" spans="1:7" ht="31.2">
      <c r="A7" s="2016" t="s">
        <v>3713</v>
      </c>
      <c r="B7" s="2017" t="s">
        <v>3714</v>
      </c>
      <c r="C7" s="2017" t="s">
        <v>3715</v>
      </c>
      <c r="D7" s="2018" t="s">
        <v>4213</v>
      </c>
      <c r="E7" s="2018" t="s">
        <v>3716</v>
      </c>
      <c r="F7" s="2017" t="s">
        <v>3717</v>
      </c>
      <c r="G7" s="2019" t="s">
        <v>3718</v>
      </c>
    </row>
    <row r="8" spans="1:7" ht="15.6">
      <c r="A8" s="2020"/>
      <c r="B8" s="2021"/>
      <c r="C8" s="2021"/>
      <c r="D8" s="2022"/>
      <c r="E8" s="2022"/>
      <c r="F8" s="2022"/>
      <c r="G8" s="2023"/>
    </row>
    <row r="9" spans="1:7" ht="15.6">
      <c r="A9" s="2024" t="s">
        <v>3719</v>
      </c>
      <c r="B9" s="2025"/>
      <c r="C9" s="2025"/>
      <c r="D9" s="2022"/>
      <c r="E9" s="2022"/>
      <c r="F9" s="2022"/>
      <c r="G9" s="2026"/>
    </row>
    <row r="10" spans="1:7" ht="15.6">
      <c r="A10" s="2024"/>
      <c r="B10" s="2025"/>
      <c r="C10" s="2025"/>
      <c r="D10" s="2022"/>
      <c r="E10" s="2022"/>
      <c r="F10" s="2022"/>
      <c r="G10" s="2026"/>
    </row>
    <row r="11" spans="1:7" ht="15.6">
      <c r="A11" s="2020" t="s">
        <v>3720</v>
      </c>
      <c r="B11" s="2027" t="s">
        <v>3721</v>
      </c>
      <c r="C11" s="2027" t="s">
        <v>3722</v>
      </c>
      <c r="D11" s="2022">
        <f>(B56/B57)</f>
        <v>3.7042770106397653</v>
      </c>
      <c r="E11" s="2022">
        <f>(C56/C57)</f>
        <v>3.7355995105025377</v>
      </c>
      <c r="F11" s="2028">
        <f>(D11-E11)/E11</f>
        <v>-8.3848656085080825E-3</v>
      </c>
      <c r="G11" s="2026"/>
    </row>
    <row r="12" spans="1:7" ht="15.6">
      <c r="A12" s="2020"/>
      <c r="B12" s="2320"/>
      <c r="C12" s="2029"/>
      <c r="D12" s="2022"/>
      <c r="E12" s="2022"/>
      <c r="F12" s="2028"/>
      <c r="G12" s="2026"/>
    </row>
    <row r="13" spans="1:7" ht="15.6">
      <c r="A13" s="2024" t="s">
        <v>3723</v>
      </c>
      <c r="B13" s="2592"/>
      <c r="C13" s="2030"/>
      <c r="D13" s="2022"/>
      <c r="E13" s="2022"/>
      <c r="F13" s="2028"/>
      <c r="G13" s="2026"/>
    </row>
    <row r="14" spans="1:7" ht="15.6">
      <c r="A14" s="2024"/>
      <c r="B14" s="2030"/>
      <c r="C14" s="2030"/>
      <c r="D14" s="2022"/>
      <c r="E14" s="2022"/>
      <c r="F14" s="2028"/>
      <c r="G14" s="2026"/>
    </row>
    <row r="15" spans="1:7" ht="15.6">
      <c r="A15" s="2020" t="s">
        <v>3724</v>
      </c>
      <c r="B15" s="2593" t="s">
        <v>3725</v>
      </c>
      <c r="C15" s="2029" t="s">
        <v>3726</v>
      </c>
      <c r="D15" s="2022">
        <f>(B58/B59)</f>
        <v>0.20020856337108187</v>
      </c>
      <c r="E15" s="2022">
        <f>C58/C59</f>
        <v>0.20556761950982941</v>
      </c>
      <c r="F15" s="2028">
        <f>(D15-E15)/E15</f>
        <v>-2.6069553908957408E-2</v>
      </c>
      <c r="G15" s="2026"/>
    </row>
    <row r="16" spans="1:7" ht="15.6">
      <c r="A16" s="2020" t="s">
        <v>3727</v>
      </c>
      <c r="B16" s="2029" t="s">
        <v>3728</v>
      </c>
      <c r="C16" s="2029" t="s">
        <v>3729</v>
      </c>
      <c r="D16" s="2022">
        <v>0</v>
      </c>
      <c r="E16" s="2022">
        <v>0</v>
      </c>
      <c r="F16" s="2028"/>
      <c r="G16" s="2031"/>
    </row>
    <row r="17" spans="1:7" ht="15.6">
      <c r="A17" s="2020"/>
      <c r="B17" s="2320"/>
      <c r="C17" s="2029"/>
      <c r="D17" s="2022"/>
      <c r="E17" s="2022"/>
      <c r="F17" s="2028"/>
      <c r="G17" s="2026"/>
    </row>
    <row r="18" spans="1:7" ht="15.6">
      <c r="A18" s="2024" t="s">
        <v>3730</v>
      </c>
      <c r="B18" s="2025"/>
      <c r="C18" s="2025"/>
      <c r="D18" s="2022"/>
      <c r="E18" s="2022"/>
      <c r="F18" s="2028"/>
      <c r="G18" s="2026"/>
    </row>
    <row r="19" spans="1:7" ht="15.6">
      <c r="A19" s="2020"/>
      <c r="B19" s="2021"/>
      <c r="C19" s="2021"/>
      <c r="D19" s="2022"/>
      <c r="E19" s="2022"/>
      <c r="F19" s="2028"/>
      <c r="G19" s="2026"/>
    </row>
    <row r="20" spans="1:7" ht="15.6">
      <c r="A20" s="2020" t="s">
        <v>3731</v>
      </c>
      <c r="B20" s="2021" t="s">
        <v>3732</v>
      </c>
      <c r="C20" s="2021" t="s">
        <v>3733</v>
      </c>
      <c r="D20" s="2022">
        <f>(B78/B83)</f>
        <v>5.5388323355856635</v>
      </c>
      <c r="E20" s="2022">
        <v>8.8000000000000007</v>
      </c>
      <c r="F20" s="2028">
        <f>(D20-E20)/E20</f>
        <v>-0.37058723459253828</v>
      </c>
      <c r="G20" s="2026"/>
    </row>
    <row r="21" spans="1:7" ht="15.6">
      <c r="A21" s="2020" t="s">
        <v>3734</v>
      </c>
      <c r="B21" s="2021" t="s">
        <v>3775</v>
      </c>
      <c r="C21" s="2021" t="s">
        <v>3776</v>
      </c>
      <c r="D21" s="2022">
        <f>(B61/B81)</f>
        <v>11.313180358899858</v>
      </c>
      <c r="E21" s="2022">
        <v>5.72</v>
      </c>
      <c r="F21" s="2028">
        <f>(D21-E21)/E21</f>
        <v>0.97782873407340187</v>
      </c>
      <c r="G21" s="2031"/>
    </row>
    <row r="22" spans="1:7" ht="15.6">
      <c r="A22" s="2020" t="s">
        <v>3735</v>
      </c>
      <c r="B22" s="2021" t="s">
        <v>3775</v>
      </c>
      <c r="C22" s="2021" t="s">
        <v>3770</v>
      </c>
      <c r="D22" s="2022">
        <f>(B61/B82)</f>
        <v>34.170168186042474</v>
      </c>
      <c r="E22" s="2022">
        <v>8.42</v>
      </c>
      <c r="F22" s="2028">
        <f>(D22-E22)/E22</f>
        <v>3.0582147489361606</v>
      </c>
      <c r="G22" s="2026"/>
    </row>
    <row r="23" spans="1:7" ht="15.6">
      <c r="A23" s="2020" t="s">
        <v>3736</v>
      </c>
      <c r="B23" s="2021" t="s">
        <v>3726</v>
      </c>
      <c r="C23" s="2021" t="s">
        <v>45</v>
      </c>
      <c r="D23" s="2022">
        <f>(B59/B61)</f>
        <v>0.77616365424202494</v>
      </c>
      <c r="E23" s="2022">
        <v>2.16</v>
      </c>
      <c r="F23" s="2028">
        <f>(D23-E23)/E23</f>
        <v>-0.64066497488795149</v>
      </c>
      <c r="G23" s="2026"/>
    </row>
    <row r="24" spans="1:7" ht="15.6">
      <c r="A24" s="2020"/>
      <c r="B24" s="2021"/>
      <c r="C24" s="2021"/>
      <c r="D24" s="2022"/>
      <c r="E24" s="2022"/>
      <c r="F24" s="2028"/>
      <c r="G24" s="2026"/>
    </row>
    <row r="25" spans="1:7" ht="15.6">
      <c r="A25" s="2024" t="s">
        <v>3737</v>
      </c>
      <c r="B25" s="2025"/>
      <c r="C25" s="2025"/>
      <c r="D25" s="2022"/>
      <c r="E25" s="2022"/>
      <c r="F25" s="2028"/>
      <c r="G25" s="2026"/>
    </row>
    <row r="26" spans="1:7" ht="15.6">
      <c r="A26" s="2020"/>
      <c r="B26" s="2021"/>
      <c r="C26" s="2021"/>
      <c r="D26" s="2022"/>
      <c r="E26" s="2022"/>
      <c r="F26" s="2028"/>
      <c r="G26" s="2026"/>
    </row>
    <row r="27" spans="1:7" ht="15.6">
      <c r="A27" s="2020" t="s">
        <v>3738</v>
      </c>
      <c r="B27" s="2021" t="s">
        <v>3739</v>
      </c>
      <c r="C27" s="2021" t="s">
        <v>45</v>
      </c>
      <c r="D27" s="2396">
        <f>(B64/B61)</f>
        <v>8.3056657239270901E-2</v>
      </c>
      <c r="E27" s="2396">
        <f>C64/C61</f>
        <v>6.7265106790773521E-2</v>
      </c>
      <c r="F27" s="2028">
        <f>(D27-E27)/E27</f>
        <v>0.23476585709759762</v>
      </c>
      <c r="G27" s="2026"/>
    </row>
    <row r="28" spans="1:7" ht="15.6">
      <c r="A28" s="2020" t="s">
        <v>3740</v>
      </c>
      <c r="B28" s="2021" t="s">
        <v>3739</v>
      </c>
      <c r="C28" s="2021" t="s">
        <v>3726</v>
      </c>
      <c r="D28" s="2022">
        <f>B64/B59</f>
        <v>0.10700920712447069</v>
      </c>
      <c r="E28" s="2022">
        <f>C64/C59</f>
        <v>8.0590663996018191E-2</v>
      </c>
      <c r="F28" s="2028">
        <f>(D28-E28)/E28</f>
        <v>0.32781145877837392</v>
      </c>
      <c r="G28" s="2026"/>
    </row>
    <row r="29" spans="1:7" ht="15.6">
      <c r="A29" s="2020" t="s">
        <v>3741</v>
      </c>
      <c r="B29" s="2021" t="s">
        <v>3742</v>
      </c>
      <c r="C29" s="2021" t="s">
        <v>3726</v>
      </c>
      <c r="D29" s="2022">
        <f>B63/B59</f>
        <v>0.1432877471078132</v>
      </c>
      <c r="E29" s="2022">
        <f>C63/C59</f>
        <v>0.10248672769014672</v>
      </c>
      <c r="F29" s="2028">
        <f>(D29-E29)/E29</f>
        <v>0.39811027571318558</v>
      </c>
      <c r="G29" s="2026"/>
    </row>
    <row r="30" spans="1:7" ht="51.75" customHeight="1" thickBot="1">
      <c r="A30" s="2032" t="s">
        <v>3743</v>
      </c>
      <c r="B30" s="2033" t="s">
        <v>46</v>
      </c>
      <c r="C30" s="2317" t="s">
        <v>4251</v>
      </c>
      <c r="D30" s="2034">
        <f>B66/B84</f>
        <v>0.17188004394154041</v>
      </c>
      <c r="E30" s="2034">
        <v>0.05</v>
      </c>
      <c r="F30" s="2035">
        <f>(D30-E30)/E30</f>
        <v>2.4376008788308079</v>
      </c>
      <c r="G30" s="2036"/>
    </row>
    <row r="31" spans="1:7" ht="16.2" thickBot="1">
      <c r="A31" s="2594"/>
      <c r="B31" s="2595"/>
      <c r="C31" s="2595"/>
      <c r="D31" s="2596"/>
      <c r="E31" s="2596"/>
      <c r="F31" s="2597"/>
      <c r="G31" s="2036"/>
    </row>
    <row r="32" spans="1:7" ht="15.6">
      <c r="A32" s="2051" t="s">
        <v>3744</v>
      </c>
      <c r="B32" s="2320"/>
      <c r="C32" s="2320"/>
      <c r="D32" s="3070" t="str">
        <f>PL!D54</f>
        <v xml:space="preserve">For and on behalf of the Board of Directors </v>
      </c>
      <c r="E32" s="3070"/>
      <c r="F32" s="3070"/>
      <c r="G32" s="3071"/>
    </row>
    <row r="33" spans="1:7" ht="15.6">
      <c r="A33" s="2037" t="s">
        <v>3745</v>
      </c>
      <c r="B33" s="2320"/>
      <c r="C33" s="2320"/>
      <c r="D33" s="2038"/>
      <c r="E33" s="2038"/>
      <c r="F33" s="2039"/>
      <c r="G33" s="2026"/>
    </row>
    <row r="34" spans="1:7" ht="15.6">
      <c r="A34" s="2037" t="s">
        <v>43</v>
      </c>
      <c r="B34" s="2320"/>
      <c r="C34" s="2320"/>
      <c r="D34" s="2038"/>
      <c r="E34" s="2038"/>
      <c r="F34" s="2039"/>
      <c r="G34" s="2026"/>
    </row>
    <row r="35" spans="1:7" ht="15.6">
      <c r="A35" s="2037" t="s">
        <v>3746</v>
      </c>
      <c r="B35" s="2320"/>
      <c r="C35" s="2320"/>
      <c r="D35" s="2038"/>
      <c r="E35" s="2038"/>
      <c r="F35" s="2039"/>
      <c r="G35" s="2026"/>
    </row>
    <row r="36" spans="1:7" ht="15.6">
      <c r="A36" s="2037"/>
      <c r="B36" s="2320"/>
      <c r="C36" s="2320"/>
      <c r="D36" s="2038"/>
      <c r="E36" s="2038"/>
      <c r="F36" s="2039"/>
      <c r="G36" s="2026"/>
    </row>
    <row r="37" spans="1:7" ht="15.6">
      <c r="A37" s="2037"/>
      <c r="B37" s="2320"/>
      <c r="C37" s="2320"/>
      <c r="D37" s="2038"/>
      <c r="E37" s="2038"/>
      <c r="F37" s="2040"/>
      <c r="G37" s="2026"/>
    </row>
    <row r="38" spans="1:7" ht="15.6">
      <c r="A38" s="2037"/>
      <c r="B38" s="2320"/>
      <c r="C38" s="2320"/>
      <c r="D38" s="2038"/>
      <c r="E38" s="2038"/>
      <c r="F38" s="2040"/>
      <c r="G38" s="2041"/>
    </row>
    <row r="39" spans="1:7" ht="15.6">
      <c r="A39" s="2037"/>
      <c r="B39" s="2320"/>
      <c r="C39" s="2320"/>
      <c r="D39" s="2038"/>
      <c r="E39" s="2038"/>
      <c r="F39" s="2040"/>
      <c r="G39" s="2041"/>
    </row>
    <row r="40" spans="1:7" ht="15.6">
      <c r="A40" s="2037" t="str">
        <f>PL!A60</f>
        <v>(CA A.JOHN MORIS)</v>
      </c>
      <c r="B40" s="2321"/>
      <c r="C40" s="2321"/>
      <c r="D40" s="3069" t="str">
        <f>PL!B60</f>
        <v>(S. KUMARAN)</v>
      </c>
      <c r="E40" s="3069"/>
      <c r="F40" s="2040"/>
      <c r="G40" s="2050" t="s">
        <v>299</v>
      </c>
    </row>
    <row r="41" spans="1:7" ht="15.6">
      <c r="A41" s="2037" t="str">
        <f>PL!A61</f>
        <v>Managing Partner</v>
      </c>
      <c r="B41" s="2043"/>
      <c r="C41" s="2043"/>
      <c r="D41" s="3069" t="str">
        <f>PL!B61</f>
        <v>Managing Director</v>
      </c>
      <c r="E41" s="3069"/>
      <c r="F41" s="2040"/>
      <c r="G41" s="2050" t="s">
        <v>300</v>
      </c>
    </row>
    <row r="42" spans="1:7" ht="15.6">
      <c r="A42" s="2037" t="str">
        <f>PL!A62</f>
        <v>M.No. 029424</v>
      </c>
      <c r="B42" s="2043"/>
      <c r="C42" s="2043"/>
      <c r="D42" s="3069" t="str">
        <f>PL!B62</f>
        <v>DIN No.01926196</v>
      </c>
      <c r="E42" s="3069"/>
      <c r="F42" s="2040"/>
      <c r="G42" s="2050" t="s">
        <v>2959</v>
      </c>
    </row>
    <row r="43" spans="1:7" ht="14.1" customHeight="1">
      <c r="A43" s="2037" t="str">
        <f>PL!A63</f>
        <v>Place: Chennai</v>
      </c>
      <c r="B43" s="2043"/>
      <c r="C43" s="2043"/>
      <c r="D43" s="2042"/>
      <c r="E43" s="2042"/>
      <c r="F43" s="2042"/>
      <c r="G43" s="2044"/>
    </row>
    <row r="44" spans="1:7" ht="15.6">
      <c r="A44" s="2037" t="str">
        <f>PL!A64</f>
        <v>Date:  07-09-2023</v>
      </c>
      <c r="G44" s="1873"/>
    </row>
    <row r="45" spans="1:7" ht="15" thickBot="1">
      <c r="A45" s="1623"/>
      <c r="B45" s="2318"/>
      <c r="C45" s="2318"/>
      <c r="D45" s="2318"/>
      <c r="E45" s="2318"/>
      <c r="F45" s="2318"/>
      <c r="G45" s="1624"/>
    </row>
    <row r="49" spans="1:4">
      <c r="A49" t="s">
        <v>1158</v>
      </c>
    </row>
    <row r="54" spans="1:4">
      <c r="A54" s="2043" t="s">
        <v>2465</v>
      </c>
      <c r="B54" t="s">
        <v>3625</v>
      </c>
      <c r="C54" t="s">
        <v>3771</v>
      </c>
      <c r="D54" t="s">
        <v>3074</v>
      </c>
    </row>
    <row r="55" spans="1:4">
      <c r="A55" s="2043"/>
    </row>
    <row r="56" spans="1:4">
      <c r="A56" s="2043" t="s">
        <v>3754</v>
      </c>
      <c r="B56" s="2053">
        <f>SUM(BS!C46:C50)</f>
        <v>233226093.6535593</v>
      </c>
      <c r="C56" s="2053">
        <f>SUM(BS!E46:E50)</f>
        <v>222028976.73999998</v>
      </c>
    </row>
    <row r="57" spans="1:4">
      <c r="A57" s="2043" t="s">
        <v>3755</v>
      </c>
      <c r="B57" s="2053">
        <f>SUM(BS!C24:C27)</f>
        <v>62961299.326067097</v>
      </c>
      <c r="C57" s="2053">
        <f>SUM(BS!E24:E27)</f>
        <v>59435969.009999998</v>
      </c>
    </row>
    <row r="58" spans="1:4">
      <c r="A58" s="2043" t="s">
        <v>3725</v>
      </c>
      <c r="B58" s="2054">
        <f>SUM(BS!D20:D28)</f>
        <v>64609073.771774456</v>
      </c>
      <c r="C58" s="2054">
        <f>SUM(BS!F20:F28)</f>
        <v>60341624.532140516</v>
      </c>
    </row>
    <row r="59" spans="1:4">
      <c r="A59" s="2043" t="s">
        <v>3726</v>
      </c>
      <c r="B59" s="2054">
        <f>SUM(BS!D13:D15)</f>
        <v>322708842.63837934</v>
      </c>
      <c r="C59" s="2054">
        <f>SUM(BS!F13:F15)</f>
        <v>293536621.55559099</v>
      </c>
    </row>
    <row r="60" spans="1:4">
      <c r="A60" s="2043" t="s">
        <v>3756</v>
      </c>
      <c r="B60" s="2053">
        <f>BS!C47</f>
        <v>12929680.039999999</v>
      </c>
      <c r="C60" s="2053">
        <f>BS!E47</f>
        <v>60572944.839999996</v>
      </c>
      <c r="D60" s="1513">
        <v>47729964</v>
      </c>
    </row>
    <row r="61" spans="1:4">
      <c r="A61" s="2043" t="s">
        <v>3757</v>
      </c>
      <c r="B61" s="2054">
        <f>PL!C11</f>
        <v>415774226.06</v>
      </c>
      <c r="C61" s="2054">
        <f>PL!D11</f>
        <v>351687708.04000002</v>
      </c>
    </row>
    <row r="62" spans="1:4">
      <c r="A62" s="2043" t="s">
        <v>2951</v>
      </c>
      <c r="B62" s="2053">
        <f>BS!C25</f>
        <v>17772799.64864406</v>
      </c>
      <c r="C62" s="2053">
        <f>BS!E25</f>
        <v>6562709.8400000008</v>
      </c>
      <c r="D62">
        <v>8874142.9299999997</v>
      </c>
    </row>
    <row r="63" spans="1:4">
      <c r="A63" s="2043" t="s">
        <v>3758</v>
      </c>
      <c r="B63" s="2054">
        <f>PL!C35</f>
        <v>46240223.033423185</v>
      </c>
      <c r="C63" s="2054">
        <f>PL!D35</f>
        <v>30083607.800453503</v>
      </c>
    </row>
    <row r="64" spans="1:4">
      <c r="A64" s="2043" t="s">
        <v>3759</v>
      </c>
      <c r="B64" s="2054">
        <f>PL!C47</f>
        <v>34532817.382788554</v>
      </c>
      <c r="C64" s="2054">
        <f>PL!D47</f>
        <v>23656311.238312982</v>
      </c>
    </row>
    <row r="65" spans="1:4">
      <c r="A65" s="2043" t="s">
        <v>3760</v>
      </c>
      <c r="B65" s="2053">
        <f>BS!C13</f>
        <v>7147460</v>
      </c>
      <c r="C65" s="2053">
        <v>7147460</v>
      </c>
    </row>
    <row r="66" spans="1:4">
      <c r="A66" s="2043" t="s">
        <v>354</v>
      </c>
      <c r="B66" s="2054">
        <f>Notes!J239</f>
        <v>4701233.2</v>
      </c>
      <c r="C66" s="2054"/>
    </row>
    <row r="67" spans="1:4">
      <c r="A67" s="2052" t="s">
        <v>3761</v>
      </c>
      <c r="B67" s="2054"/>
      <c r="C67" s="2054"/>
    </row>
    <row r="68" spans="1:4">
      <c r="A68" s="2043" t="s">
        <v>3762</v>
      </c>
      <c r="B68" s="2054"/>
      <c r="C68" s="2054"/>
    </row>
    <row r="69" spans="1:4">
      <c r="A69" s="2043" t="s">
        <v>3763</v>
      </c>
      <c r="B69" s="2054"/>
      <c r="C69" s="2054"/>
    </row>
    <row r="70" spans="1:4">
      <c r="A70" s="2043" t="s">
        <v>3764</v>
      </c>
      <c r="B70" s="2054"/>
      <c r="C70" s="2054"/>
    </row>
    <row r="71" spans="1:4">
      <c r="A71" s="2043" t="s">
        <v>3765</v>
      </c>
      <c r="B71" s="2054"/>
      <c r="C71" s="2054"/>
    </row>
    <row r="72" spans="1:4">
      <c r="A72" s="2043" t="s">
        <v>1172</v>
      </c>
      <c r="B72" s="2054"/>
      <c r="C72" s="2054"/>
    </row>
    <row r="73" spans="1:4">
      <c r="A73" s="2043" t="s">
        <v>3766</v>
      </c>
      <c r="B73" s="2054"/>
      <c r="C73" s="2054"/>
    </row>
    <row r="74" spans="1:4">
      <c r="A74" s="2043"/>
      <c r="B74" s="2054"/>
      <c r="C74" s="2054"/>
    </row>
    <row r="75" spans="1:4">
      <c r="A75" s="2043" t="s">
        <v>3767</v>
      </c>
      <c r="B75" s="2054"/>
      <c r="C75" s="2054"/>
    </row>
    <row r="76" spans="1:4">
      <c r="A76" s="2043" t="s">
        <v>3768</v>
      </c>
      <c r="B76" s="2054"/>
      <c r="C76" s="2054"/>
    </row>
    <row r="77" spans="1:4">
      <c r="A77" s="2043"/>
      <c r="B77" s="2054"/>
      <c r="C77" s="2054"/>
    </row>
    <row r="78" spans="1:4">
      <c r="A78" s="2043" t="s">
        <v>3772</v>
      </c>
      <c r="B78" s="2054">
        <f>PL!C19+PL!C20</f>
        <v>285720666.03118646</v>
      </c>
      <c r="C78" s="2054">
        <f>PL!D19+PL!D20</f>
        <v>245595861.73999998</v>
      </c>
    </row>
    <row r="79" spans="1:4">
      <c r="A79" s="2043" t="s">
        <v>3774</v>
      </c>
      <c r="B79" s="2053">
        <f>BS!C46</f>
        <v>77330000</v>
      </c>
      <c r="C79" s="2053">
        <f>BS!E46</f>
        <v>25840000</v>
      </c>
      <c r="D79">
        <v>11200000</v>
      </c>
    </row>
    <row r="80" spans="1:4">
      <c r="A80" s="2043"/>
      <c r="B80" s="2054"/>
      <c r="C80" s="2054"/>
    </row>
    <row r="81" spans="1:3">
      <c r="A81" s="2043" t="s">
        <v>3769</v>
      </c>
      <c r="B81" s="2054">
        <f>(B60+C60)/2</f>
        <v>36751312.439999998</v>
      </c>
      <c r="C81" s="2054">
        <f>(C60+D60)/2</f>
        <v>54151454.420000002</v>
      </c>
    </row>
    <row r="82" spans="1:3">
      <c r="A82" s="2043" t="s">
        <v>3770</v>
      </c>
      <c r="B82" s="2054">
        <f>(B62+C62)/2</f>
        <v>12167754.74432203</v>
      </c>
      <c r="C82" s="2054">
        <f>(C62+D62)/2</f>
        <v>7718426.3849999998</v>
      </c>
    </row>
    <row r="83" spans="1:3">
      <c r="A83" s="2043" t="s">
        <v>3773</v>
      </c>
      <c r="B83" s="2054">
        <f>(B79+C79)/2</f>
        <v>51585000</v>
      </c>
      <c r="C83" s="2054">
        <f>(C79+D79)/2</f>
        <v>18520000</v>
      </c>
    </row>
    <row r="84" spans="1:3">
      <c r="A84" s="2043" t="s">
        <v>4252</v>
      </c>
      <c r="B84" s="2054">
        <f>(Notes!K198+Notes!J198)/2</f>
        <v>27351826.844999973</v>
      </c>
    </row>
  </sheetData>
  <mergeCells count="9">
    <mergeCell ref="D40:E40"/>
    <mergeCell ref="D41:E41"/>
    <mergeCell ref="D42:E42"/>
    <mergeCell ref="D32:G32"/>
    <mergeCell ref="A2:G2"/>
    <mergeCell ref="A3:G3"/>
    <mergeCell ref="A4:G4"/>
    <mergeCell ref="A5:G5"/>
    <mergeCell ref="A6:G6"/>
  </mergeCells>
  <pageMargins left="0.7" right="0.7" top="0.75" bottom="0.75" header="0.3" footer="0.3"/>
  <pageSetup scale="6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833"/>
  <sheetViews>
    <sheetView showGridLines="0" view="pageBreakPreview" topLeftCell="B303" zoomScale="88" zoomScaleSheetLayoutView="78" workbookViewId="0">
      <selection activeCell="I193" sqref="I193"/>
    </sheetView>
  </sheetViews>
  <sheetFormatPr defaultColWidth="9.44140625" defaultRowHeight="16.2"/>
  <cols>
    <col min="1" max="1" width="11.44140625" style="1212" customWidth="1"/>
    <col min="2" max="2" width="13.44140625" style="2349" customWidth="1"/>
    <col min="3" max="3" width="10.44140625" style="2331" customWidth="1"/>
    <col min="4" max="4" width="9.44140625" style="2331"/>
    <col min="5" max="5" width="12.44140625" style="2331" bestFit="1" customWidth="1"/>
    <col min="6" max="6" width="9.44140625" style="2331" customWidth="1"/>
    <col min="7" max="7" width="7.44140625" style="2331" customWidth="1"/>
    <col min="8" max="8" width="12.5546875" style="1886" bestFit="1" customWidth="1"/>
    <col min="9" max="11" width="29.44140625" style="1886" customWidth="1"/>
    <col min="12" max="12" width="24.44140625" style="1212" customWidth="1"/>
    <col min="13" max="13" width="27.44140625" style="1212" bestFit="1" customWidth="1"/>
    <col min="14" max="14" width="18.44140625" style="1212" bestFit="1" customWidth="1"/>
    <col min="15" max="15" width="17.5546875" style="1212" bestFit="1" customWidth="1"/>
    <col min="16" max="16" width="10.44140625" style="1212" bestFit="1" customWidth="1"/>
    <col min="17" max="17" width="6.44140625" style="1212" customWidth="1"/>
    <col min="18" max="18" width="21.5546875" style="1212" customWidth="1"/>
    <col min="19" max="19" width="15.5546875" style="1212" bestFit="1" customWidth="1"/>
    <col min="20" max="20" width="13.44140625" style="1212" bestFit="1" customWidth="1"/>
    <col min="21" max="21" width="19" style="1212" customWidth="1"/>
    <col min="22" max="16384" width="9.44140625" style="1212"/>
  </cols>
  <sheetData>
    <row r="1" spans="2:14" ht="16.8" thickBot="1"/>
    <row r="2" spans="2:14" ht="37.5" customHeight="1">
      <c r="B2" s="3118" t="str">
        <f>PL!A2</f>
        <v>M/s. Sathiapal Engineers (India) Private Limited
(Formerly known as M/S Sathiapal Engineers (India) Limited)</v>
      </c>
      <c r="C2" s="3119"/>
      <c r="D2" s="3119"/>
      <c r="E2" s="3119"/>
      <c r="F2" s="3119"/>
      <c r="G2" s="3119"/>
      <c r="H2" s="3119"/>
      <c r="I2" s="3119"/>
      <c r="J2" s="3119"/>
      <c r="K2" s="3120"/>
    </row>
    <row r="3" spans="2:14" ht="20.85" customHeight="1">
      <c r="B3" s="3133" t="str">
        <f>BS!A3</f>
        <v>CIN: U74210TN2002PLC048568</v>
      </c>
      <c r="C3" s="3134"/>
      <c r="D3" s="3134"/>
      <c r="E3" s="3134"/>
      <c r="F3" s="3134"/>
      <c r="G3" s="3134"/>
      <c r="H3" s="3134"/>
      <c r="I3" s="3134"/>
      <c r="J3" s="3134"/>
      <c r="K3" s="3135"/>
    </row>
    <row r="4" spans="2:14">
      <c r="B4" s="3128" t="str">
        <f>+PL!A4</f>
        <v>New No. 57, Old No. 3, Canal Road, Kilpauk Garden Colony, Kilpauk, Chennai 600 010.</v>
      </c>
      <c r="C4" s="3129"/>
      <c r="D4" s="3129"/>
      <c r="E4" s="3129"/>
      <c r="F4" s="3129"/>
      <c r="G4" s="3129"/>
      <c r="H4" s="3129"/>
      <c r="I4" s="3129"/>
      <c r="J4" s="3129"/>
      <c r="K4" s="3130"/>
    </row>
    <row r="5" spans="2:14" ht="15.6" customHeight="1" thickBot="1">
      <c r="B5" s="3125"/>
      <c r="C5" s="3126"/>
      <c r="D5" s="3126"/>
      <c r="E5" s="3126"/>
      <c r="F5" s="3126"/>
      <c r="G5" s="3126"/>
      <c r="H5" s="3126"/>
      <c r="I5" s="3126"/>
      <c r="J5" s="3126"/>
      <c r="K5" s="3127"/>
    </row>
    <row r="6" spans="2:14" ht="37.5" customHeight="1" thickBot="1">
      <c r="B6" s="2438" t="s">
        <v>16</v>
      </c>
      <c r="C6" s="3131" t="s">
        <v>64</v>
      </c>
      <c r="D6" s="3131"/>
      <c r="E6" s="3131"/>
      <c r="F6" s="3131"/>
      <c r="G6" s="3131"/>
      <c r="H6" s="3131"/>
      <c r="I6" s="3131"/>
      <c r="J6" s="3131"/>
      <c r="K6" s="3132"/>
    </row>
    <row r="7" spans="2:14" ht="16.8" thickBot="1">
      <c r="B7" s="2429">
        <v>3</v>
      </c>
      <c r="C7" s="2427" t="s">
        <v>85</v>
      </c>
      <c r="H7" s="1888"/>
      <c r="I7" s="1888"/>
      <c r="J7" s="1887"/>
      <c r="K7" s="2350" t="s">
        <v>4323</v>
      </c>
    </row>
    <row r="8" spans="2:14" ht="18" customHeight="1">
      <c r="B8" s="2430"/>
      <c r="C8" s="3119" t="s">
        <v>1</v>
      </c>
      <c r="D8" s="3119"/>
      <c r="E8" s="3119"/>
      <c r="F8" s="3119"/>
      <c r="G8" s="3119"/>
      <c r="H8" s="3123" t="s">
        <v>4206</v>
      </c>
      <c r="I8" s="3123"/>
      <c r="J8" s="3123" t="s">
        <v>3209</v>
      </c>
      <c r="K8" s="3124"/>
      <c r="N8" s="1212" t="s">
        <v>1158</v>
      </c>
    </row>
    <row r="9" spans="2:14" ht="33.75" customHeight="1" thickBot="1">
      <c r="B9" s="2430"/>
      <c r="C9" s="3102"/>
      <c r="D9" s="3102"/>
      <c r="E9" s="3102"/>
      <c r="F9" s="3102"/>
      <c r="G9" s="3102"/>
      <c r="H9" s="2403" t="s">
        <v>5</v>
      </c>
      <c r="I9" s="2403" t="s">
        <v>2978</v>
      </c>
      <c r="J9" s="2403" t="s">
        <v>5</v>
      </c>
      <c r="K9" s="2351" t="s">
        <v>2978</v>
      </c>
    </row>
    <row r="10" spans="2:14">
      <c r="B10" s="2361"/>
      <c r="C10" s="222" t="s">
        <v>1184</v>
      </c>
      <c r="H10" s="1888"/>
      <c r="I10" s="1888"/>
      <c r="J10" s="1888"/>
      <c r="K10" s="2347"/>
    </row>
    <row r="11" spans="2:14">
      <c r="B11" s="2361"/>
      <c r="C11" s="2331" t="s">
        <v>4</v>
      </c>
      <c r="H11" s="1889">
        <v>750000</v>
      </c>
      <c r="I11" s="1889">
        <f>(H11*10)</f>
        <v>7500000</v>
      </c>
      <c r="J11" s="1889">
        <f>H11</f>
        <v>750000</v>
      </c>
      <c r="K11" s="2352">
        <f>I11</f>
        <v>7500000</v>
      </c>
      <c r="L11" s="1212" t="s">
        <v>1158</v>
      </c>
      <c r="M11" s="1212">
        <f>1/1000</f>
        <v>1E-3</v>
      </c>
    </row>
    <row r="12" spans="2:14">
      <c r="B12" s="2361"/>
      <c r="H12" s="1890"/>
      <c r="I12" s="1890">
        <v>0</v>
      </c>
      <c r="J12" s="1890"/>
      <c r="K12" s="2353">
        <v>0</v>
      </c>
    </row>
    <row r="13" spans="2:14">
      <c r="B13" s="2361"/>
      <c r="C13" s="3121" t="s">
        <v>6</v>
      </c>
      <c r="D13" s="3121"/>
      <c r="E13" s="3121"/>
      <c r="F13" s="3121"/>
      <c r="H13" s="1890"/>
      <c r="I13" s="1890">
        <v>0</v>
      </c>
      <c r="J13" s="1890"/>
      <c r="K13" s="2353">
        <v>0</v>
      </c>
    </row>
    <row r="14" spans="2:14">
      <c r="B14" s="2361"/>
      <c r="C14" s="2331" t="s">
        <v>7</v>
      </c>
      <c r="H14" s="1891">
        <v>714746</v>
      </c>
      <c r="I14" s="1891">
        <f>7147.46*1000</f>
        <v>7147460</v>
      </c>
      <c r="J14" s="1891">
        <v>714746</v>
      </c>
      <c r="K14" s="2353">
        <f>I14</f>
        <v>7147460</v>
      </c>
      <c r="L14" s="1217"/>
    </row>
    <row r="15" spans="2:14">
      <c r="B15" s="2361"/>
      <c r="H15" s="1890"/>
      <c r="I15" s="1890"/>
      <c r="J15" s="1890"/>
      <c r="K15" s="2353"/>
      <c r="L15" s="1218"/>
    </row>
    <row r="16" spans="2:14" ht="16.8" thickBot="1">
      <c r="B16" s="2361"/>
      <c r="C16" s="3122" t="s">
        <v>0</v>
      </c>
      <c r="D16" s="3122"/>
      <c r="E16" s="3122"/>
      <c r="F16" s="3122"/>
      <c r="G16" s="2405"/>
      <c r="H16" s="1892">
        <f>+H14</f>
        <v>714746</v>
      </c>
      <c r="I16" s="1892">
        <f>+I14</f>
        <v>7147460</v>
      </c>
      <c r="J16" s="1892">
        <f>+J14</f>
        <v>714746</v>
      </c>
      <c r="K16" s="2354">
        <f>+K14</f>
        <v>7147460</v>
      </c>
    </row>
    <row r="17" spans="2:13">
      <c r="B17" s="2361"/>
      <c r="H17" s="1888"/>
      <c r="I17" s="1888"/>
      <c r="J17" s="1888"/>
      <c r="K17" s="2347"/>
    </row>
    <row r="18" spans="2:13" ht="14.25" customHeight="1">
      <c r="B18" s="2361"/>
      <c r="C18" s="222" t="s">
        <v>8</v>
      </c>
      <c r="H18" s="1888"/>
      <c r="I18" s="1888"/>
      <c r="J18" s="1888"/>
      <c r="K18" s="2347"/>
    </row>
    <row r="19" spans="2:13" ht="7.5" customHeight="1">
      <c r="B19" s="2361"/>
      <c r="H19" s="1888"/>
      <c r="I19" s="1888"/>
      <c r="J19" s="1888"/>
      <c r="K19" s="2347"/>
    </row>
    <row r="20" spans="2:13" ht="54.75" customHeight="1">
      <c r="B20" s="2361"/>
      <c r="C20" s="3098" t="s">
        <v>244</v>
      </c>
      <c r="D20" s="3098"/>
      <c r="E20" s="3098"/>
      <c r="F20" s="3098"/>
      <c r="G20" s="3098"/>
      <c r="H20" s="3098"/>
      <c r="I20" s="3098"/>
      <c r="J20" s="3098"/>
      <c r="K20" s="3099"/>
    </row>
    <row r="21" spans="2:13" ht="9.75" customHeight="1">
      <c r="B21" s="2361"/>
      <c r="H21" s="1888"/>
      <c r="I21" s="1888"/>
      <c r="J21" s="1888"/>
      <c r="K21" s="2347"/>
    </row>
    <row r="22" spans="2:13" ht="38.25" customHeight="1">
      <c r="B22" s="2361"/>
      <c r="C22" s="3098" t="s">
        <v>1208</v>
      </c>
      <c r="D22" s="3098"/>
      <c r="E22" s="3098"/>
      <c r="F22" s="3098"/>
      <c r="G22" s="3098"/>
      <c r="H22" s="3098"/>
      <c r="I22" s="3098"/>
      <c r="J22" s="3098"/>
      <c r="K22" s="3099"/>
    </row>
    <row r="23" spans="2:13" ht="19.350000000000001" customHeight="1">
      <c r="B23" s="2361"/>
      <c r="H23" s="1888"/>
      <c r="I23" s="1888"/>
      <c r="J23" s="1888"/>
      <c r="K23" s="2347"/>
    </row>
    <row r="24" spans="2:13" ht="36.75" customHeight="1" thickBot="1">
      <c r="B24" s="2361"/>
      <c r="C24" s="3117" t="s">
        <v>4324</v>
      </c>
      <c r="D24" s="3117"/>
      <c r="E24" s="3117"/>
      <c r="F24" s="3117"/>
      <c r="G24" s="3117"/>
      <c r="H24" s="3117"/>
      <c r="I24" s="3117"/>
      <c r="J24" s="3117"/>
      <c r="K24" s="2425"/>
    </row>
    <row r="25" spans="2:13">
      <c r="B25" s="2361"/>
      <c r="C25" s="3094" t="s">
        <v>1</v>
      </c>
      <c r="D25" s="3094"/>
      <c r="E25" s="3094"/>
      <c r="F25" s="3094"/>
      <c r="G25" s="2355"/>
      <c r="H25" s="3092" t="s">
        <v>4207</v>
      </c>
      <c r="I25" s="3092"/>
      <c r="J25" s="3092" t="s">
        <v>3210</v>
      </c>
      <c r="K25" s="3093"/>
      <c r="M25" s="1212">
        <f>1/1000</f>
        <v>1E-3</v>
      </c>
    </row>
    <row r="26" spans="2:13" ht="33" thickBot="1">
      <c r="B26" s="2361"/>
      <c r="C26" s="3095"/>
      <c r="D26" s="3095"/>
      <c r="E26" s="3095"/>
      <c r="F26" s="3095"/>
      <c r="G26" s="2406"/>
      <c r="H26" s="2403" t="s">
        <v>15</v>
      </c>
      <c r="I26" s="2407" t="s">
        <v>65</v>
      </c>
      <c r="J26" s="2403" t="s">
        <v>15</v>
      </c>
      <c r="K26" s="2351" t="s">
        <v>65</v>
      </c>
    </row>
    <row r="27" spans="2:13">
      <c r="B27" s="2361"/>
      <c r="H27" s="1888"/>
      <c r="I27" s="1888"/>
      <c r="J27" s="1888"/>
      <c r="K27" s="2347"/>
    </row>
    <row r="28" spans="2:13">
      <c r="B28" s="2361"/>
      <c r="C28" s="2331" t="s">
        <v>10</v>
      </c>
      <c r="H28" s="1888">
        <f>+J30</f>
        <v>714746</v>
      </c>
      <c r="I28" s="1888">
        <f>(H28*10)</f>
        <v>7147460</v>
      </c>
      <c r="J28" s="1888">
        <f>J14</f>
        <v>714746</v>
      </c>
      <c r="K28" s="2347">
        <f>K14</f>
        <v>7147460</v>
      </c>
    </row>
    <row r="29" spans="2:13">
      <c r="B29" s="2361"/>
      <c r="C29" s="2331" t="s">
        <v>11</v>
      </c>
      <c r="D29" s="2478"/>
      <c r="H29" s="1893">
        <v>0</v>
      </c>
      <c r="I29" s="1906">
        <v>0</v>
      </c>
      <c r="J29" s="1893">
        <v>0</v>
      </c>
      <c r="K29" s="2356">
        <v>0</v>
      </c>
    </row>
    <row r="30" spans="2:13" ht="16.8" thickBot="1">
      <c r="B30" s="2361"/>
      <c r="C30" s="2408" t="s">
        <v>12</v>
      </c>
      <c r="D30" s="2408"/>
      <c r="E30" s="2408"/>
      <c r="F30" s="2408"/>
      <c r="G30" s="2408"/>
      <c r="H30" s="1894">
        <f>+H28+H29</f>
        <v>714746</v>
      </c>
      <c r="I30" s="1894">
        <f>+I28+I29</f>
        <v>7147460</v>
      </c>
      <c r="J30" s="1894">
        <f>+J28+J29</f>
        <v>714746</v>
      </c>
      <c r="K30" s="2357">
        <f>+K28+K29</f>
        <v>7147460</v>
      </c>
    </row>
    <row r="31" spans="2:13">
      <c r="B31" s="2361"/>
      <c r="H31" s="1895"/>
      <c r="I31" s="1895"/>
      <c r="J31" s="1895"/>
      <c r="K31" s="2358"/>
    </row>
    <row r="32" spans="2:13" ht="16.8" thickBot="1">
      <c r="B32" s="2361"/>
      <c r="C32" s="222" t="s">
        <v>13</v>
      </c>
      <c r="H32" s="1888"/>
      <c r="I32" s="1888"/>
      <c r="J32" s="1888"/>
      <c r="K32" s="2347"/>
    </row>
    <row r="33" spans="2:15">
      <c r="B33" s="2361"/>
      <c r="C33" s="3094" t="s">
        <v>1</v>
      </c>
      <c r="D33" s="3094"/>
      <c r="E33" s="3094"/>
      <c r="F33" s="3094"/>
      <c r="G33" s="2355"/>
      <c r="H33" s="3092" t="s">
        <v>4207</v>
      </c>
      <c r="I33" s="3092"/>
      <c r="J33" s="3092" t="s">
        <v>3210</v>
      </c>
      <c r="K33" s="3093"/>
    </row>
    <row r="34" spans="2:15" ht="16.8" thickBot="1">
      <c r="B34" s="2361"/>
      <c r="C34" s="3095"/>
      <c r="D34" s="3095"/>
      <c r="E34" s="3095"/>
      <c r="F34" s="3095"/>
      <c r="G34" s="2406"/>
      <c r="H34" s="2407" t="s">
        <v>14</v>
      </c>
      <c r="I34" s="2407" t="s">
        <v>9</v>
      </c>
      <c r="J34" s="2407" t="s">
        <v>14</v>
      </c>
      <c r="K34" s="2351" t="s">
        <v>9</v>
      </c>
    </row>
    <row r="35" spans="2:15">
      <c r="B35" s="2361"/>
      <c r="C35" s="2468"/>
      <c r="D35" s="2468"/>
      <c r="E35" s="2468"/>
      <c r="F35" s="2468"/>
      <c r="G35" s="2469"/>
      <c r="H35" s="1896"/>
      <c r="I35" s="1896"/>
      <c r="J35" s="1896"/>
      <c r="K35" s="2359"/>
    </row>
    <row r="36" spans="2:15">
      <c r="B36" s="2361"/>
      <c r="C36" s="3108" t="s">
        <v>217</v>
      </c>
      <c r="D36" s="3108"/>
      <c r="G36" s="2360"/>
      <c r="H36" s="1897">
        <f>I36/$H$30</f>
        <v>0.81194018574430638</v>
      </c>
      <c r="I36" s="1888">
        <v>580331</v>
      </c>
      <c r="J36" s="1897">
        <f>K36/$J$30</f>
        <v>0.81194018574430638</v>
      </c>
      <c r="K36" s="2347">
        <v>580331</v>
      </c>
      <c r="M36" s="1212">
        <v>1000</v>
      </c>
    </row>
    <row r="37" spans="2:15" ht="16.8" thickBot="1">
      <c r="B37" s="2361"/>
      <c r="C37" s="2331" t="s">
        <v>531</v>
      </c>
      <c r="H37" s="1897">
        <f>I37/$H$30</f>
        <v>9.2977085566061227E-2</v>
      </c>
      <c r="I37" s="1891">
        <v>66455</v>
      </c>
      <c r="J37" s="1897">
        <f>K37/$J$30</f>
        <v>9.2977085566061227E-2</v>
      </c>
      <c r="K37" s="2353">
        <v>66455</v>
      </c>
    </row>
    <row r="38" spans="2:15" ht="16.8" hidden="1" thickBot="1">
      <c r="B38" s="2361"/>
      <c r="C38" s="2331" t="s">
        <v>1544</v>
      </c>
      <c r="H38" s="1897">
        <f>I38/$H$30</f>
        <v>9.5082728689632398E-2</v>
      </c>
      <c r="I38" s="1891">
        <v>67960</v>
      </c>
      <c r="J38" s="1897">
        <f>K38/$J$30</f>
        <v>9.5082728689632398E-2</v>
      </c>
      <c r="K38" s="2353">
        <v>67960</v>
      </c>
    </row>
    <row r="39" spans="2:15">
      <c r="B39" s="2361"/>
      <c r="C39" s="2362"/>
      <c r="D39" s="2362"/>
      <c r="E39" s="2362"/>
      <c r="F39" s="2362"/>
      <c r="G39" s="2362"/>
      <c r="H39" s="2362"/>
      <c r="I39" s="2362"/>
      <c r="J39" s="2362"/>
      <c r="K39" s="2363"/>
      <c r="L39" s="1220"/>
    </row>
    <row r="40" spans="2:15" ht="25.35" customHeight="1">
      <c r="B40" s="2361"/>
      <c r="H40" s="1888"/>
      <c r="I40" s="1888"/>
      <c r="J40" s="1888"/>
      <c r="K40" s="2347"/>
    </row>
    <row r="41" spans="2:15" ht="16.8" thickBot="1">
      <c r="B41" s="2361">
        <f>B7+1</f>
        <v>4</v>
      </c>
      <c r="C41" s="222" t="s">
        <v>151</v>
      </c>
      <c r="H41" s="1888"/>
      <c r="I41" s="1888"/>
      <c r="J41" s="1888"/>
      <c r="K41" s="2353"/>
      <c r="L41" s="1220"/>
    </row>
    <row r="42" spans="2:15" ht="16.8" thickBot="1">
      <c r="B42" s="2361"/>
      <c r="C42" s="3087" t="s">
        <v>1</v>
      </c>
      <c r="D42" s="3087"/>
      <c r="E42" s="3087"/>
      <c r="F42" s="3087"/>
      <c r="G42" s="3087"/>
      <c r="H42" s="2364"/>
      <c r="I42" s="2365"/>
      <c r="J42" s="1898" t="s">
        <v>4208</v>
      </c>
      <c r="K42" s="2366" t="s">
        <v>3211</v>
      </c>
      <c r="L42" s="1212">
        <f>1000</f>
        <v>1000</v>
      </c>
    </row>
    <row r="43" spans="2:15">
      <c r="B43" s="2361"/>
      <c r="C43" s="222" t="s">
        <v>218</v>
      </c>
      <c r="H43" s="2331"/>
      <c r="I43" s="1888"/>
      <c r="J43" s="1895"/>
      <c r="K43" s="2358"/>
    </row>
    <row r="44" spans="2:15">
      <c r="B44" s="2361"/>
      <c r="C44" s="2331" t="s">
        <v>17</v>
      </c>
      <c r="H44" s="2331"/>
      <c r="I44" s="1888"/>
      <c r="J44" s="1888">
        <f>K47</f>
        <v>57181438.695559107</v>
      </c>
      <c r="K44" s="2347">
        <f>55167.6599717278*1000</f>
        <v>55167659.971727803</v>
      </c>
      <c r="L44" s="1220"/>
      <c r="O44" s="1222"/>
    </row>
    <row r="45" spans="2:15">
      <c r="B45" s="2361"/>
      <c r="C45" s="2331" t="s">
        <v>219</v>
      </c>
      <c r="H45" s="2331"/>
      <c r="I45" s="1888"/>
      <c r="J45" s="1888">
        <f>-J56</f>
        <v>3453281.7382788556</v>
      </c>
      <c r="K45" s="2347">
        <f>2365.6311238313*1000</f>
        <v>2365631.1238313001</v>
      </c>
      <c r="L45" s="1220"/>
      <c r="M45" s="1212">
        <f>1/1000</f>
        <v>1E-3</v>
      </c>
      <c r="O45" s="1212">
        <f>1/1000</f>
        <v>1E-3</v>
      </c>
    </row>
    <row r="46" spans="2:15">
      <c r="B46" s="2361"/>
      <c r="C46" s="2331" t="s">
        <v>3593</v>
      </c>
      <c r="H46" s="2331"/>
      <c r="I46" s="1888"/>
      <c r="J46" s="1888">
        <v>0</v>
      </c>
      <c r="K46" s="2347">
        <f>-351.8524*1000</f>
        <v>-351852.39999999997</v>
      </c>
      <c r="L46" s="1215"/>
    </row>
    <row r="47" spans="2:15">
      <c r="B47" s="2361"/>
      <c r="C47" s="2331" t="s">
        <v>220</v>
      </c>
      <c r="H47" s="2331"/>
      <c r="I47" s="1888"/>
      <c r="J47" s="1899">
        <f>SUM(J44:J46)</f>
        <v>60634720.433837965</v>
      </c>
      <c r="K47" s="2367">
        <f>SUM(K44:K46)</f>
        <v>57181438.695559107</v>
      </c>
      <c r="L47" s="1223"/>
      <c r="M47" s="1224"/>
      <c r="N47" s="1225"/>
    </row>
    <row r="48" spans="2:15" ht="12.6" customHeight="1">
      <c r="B48" s="2361"/>
      <c r="H48" s="2331"/>
      <c r="I48" s="1888"/>
      <c r="J48" s="1888"/>
      <c r="K48" s="2347"/>
    </row>
    <row r="49" spans="1:14">
      <c r="B49" s="2361"/>
      <c r="C49" s="222" t="s">
        <v>221</v>
      </c>
      <c r="H49" s="2331"/>
      <c r="I49" s="1888"/>
      <c r="J49" s="1888"/>
      <c r="K49" s="2347"/>
      <c r="L49" s="1224"/>
      <c r="M49" s="1220"/>
      <c r="N49" s="1224"/>
    </row>
    <row r="50" spans="1:14">
      <c r="B50" s="2361"/>
      <c r="C50" s="2331" t="s">
        <v>17</v>
      </c>
      <c r="H50" s="2331"/>
      <c r="I50" s="1888"/>
      <c r="J50" s="1888">
        <f>K57</f>
        <v>229207722.86003169</v>
      </c>
      <c r="K50" s="2347">
        <f>215064.50274555*1000</f>
        <v>215064502.74555001</v>
      </c>
      <c r="L50" s="1224"/>
      <c r="M50" s="1220"/>
      <c r="N50" s="1224"/>
    </row>
    <row r="51" spans="1:14">
      <c r="B51" s="2361"/>
      <c r="C51" s="2331" t="s">
        <v>222</v>
      </c>
      <c r="H51" s="2331"/>
      <c r="I51" s="1888"/>
      <c r="J51" s="1888">
        <f>PL!C47</f>
        <v>34532817.382788554</v>
      </c>
      <c r="K51" s="2347">
        <f>23656.311238313*1000</f>
        <v>23656311.238313001</v>
      </c>
      <c r="L51" s="1224">
        <f>'Cash Flow'!E11</f>
        <v>43618707.033423185</v>
      </c>
      <c r="M51" s="1220">
        <f>L59</f>
        <v>29172221.382788539</v>
      </c>
    </row>
    <row r="52" spans="1:14" hidden="1">
      <c r="B52" s="2361"/>
      <c r="C52" s="2331" t="s">
        <v>4336</v>
      </c>
      <c r="H52" s="2331"/>
      <c r="I52" s="1888"/>
      <c r="J52" s="1888"/>
      <c r="K52" s="2347"/>
      <c r="L52" s="1224"/>
      <c r="M52" s="1220"/>
    </row>
    <row r="53" spans="1:14">
      <c r="B53" s="2361"/>
      <c r="C53" s="2331" t="s">
        <v>223</v>
      </c>
      <c r="H53" s="2331"/>
      <c r="I53" s="1888"/>
      <c r="J53" s="1888">
        <f>(-'Trial Balance FY 22-23'!C19)</f>
        <v>-5360596</v>
      </c>
      <c r="K53" s="2347">
        <f>-7147.46*1000</f>
        <v>-7147460</v>
      </c>
      <c r="L53" s="1218"/>
      <c r="M53" s="1225">
        <v>5360596</v>
      </c>
    </row>
    <row r="54" spans="1:14" hidden="1">
      <c r="B54" s="2361"/>
      <c r="C54" s="2479" t="s">
        <v>19</v>
      </c>
      <c r="D54" s="2457"/>
      <c r="E54" s="2457"/>
      <c r="F54" s="2457"/>
      <c r="H54" s="2331"/>
      <c r="I54" s="1888"/>
      <c r="J54" s="1888"/>
      <c r="K54" s="2347"/>
      <c r="M54" s="1225">
        <v>-1516347</v>
      </c>
    </row>
    <row r="55" spans="1:14" hidden="1">
      <c r="B55" s="2361"/>
      <c r="C55" s="2479" t="s">
        <v>2442</v>
      </c>
      <c r="D55" s="2457"/>
      <c r="E55" s="2457"/>
      <c r="F55" s="2457"/>
      <c r="H55" s="2331"/>
      <c r="I55" s="1888"/>
      <c r="J55" s="1888"/>
      <c r="K55" s="2347"/>
      <c r="L55" s="1224"/>
      <c r="M55" s="1225">
        <v>5912326</v>
      </c>
    </row>
    <row r="56" spans="1:14">
      <c r="B56" s="2361"/>
      <c r="C56" s="2479" t="s">
        <v>18</v>
      </c>
      <c r="H56" s="2331"/>
      <c r="I56" s="1888"/>
      <c r="J56" s="1888">
        <f>-J51*10%</f>
        <v>-3453281.7382788556</v>
      </c>
      <c r="K56" s="2347">
        <f>-K51*10%</f>
        <v>-2365631.1238313001</v>
      </c>
      <c r="L56" s="1224"/>
      <c r="M56" s="1226">
        <f>SUM(M51:M55)</f>
        <v>38928796.382788539</v>
      </c>
    </row>
    <row r="57" spans="1:14">
      <c r="B57" s="2361"/>
      <c r="C57" s="2477" t="s">
        <v>220</v>
      </c>
      <c r="H57" s="2331"/>
      <c r="I57" s="1888"/>
      <c r="J57" s="1899">
        <f>SUM(J50:J56)</f>
        <v>254926662.5045414</v>
      </c>
      <c r="K57" s="2367">
        <f>SUM(K50:K56)</f>
        <v>229207722.86003169</v>
      </c>
      <c r="M57" s="1224"/>
    </row>
    <row r="58" spans="1:14">
      <c r="B58" s="2361"/>
      <c r="H58" s="2331"/>
      <c r="I58" s="1888"/>
      <c r="J58" s="1888"/>
      <c r="K58" s="2347"/>
      <c r="L58" s="1225"/>
    </row>
    <row r="59" spans="1:14">
      <c r="B59" s="2361"/>
      <c r="C59" s="222" t="s">
        <v>20</v>
      </c>
      <c r="F59" s="2466" t="s">
        <v>0</v>
      </c>
      <c r="H59" s="2331"/>
      <c r="I59" s="2368"/>
      <c r="J59" s="2454">
        <f>J47+J57</f>
        <v>315561382.93837935</v>
      </c>
      <c r="K59" s="2455">
        <f>K47+K57</f>
        <v>286389161.55559081</v>
      </c>
      <c r="L59" s="1224">
        <f>J59-K59</f>
        <v>29172221.382788539</v>
      </c>
      <c r="M59" s="1218">
        <f>L51-L59</f>
        <v>14446485.650634646</v>
      </c>
    </row>
    <row r="60" spans="1:14" ht="18" customHeight="1" thickBot="1">
      <c r="B60" s="2431"/>
      <c r="C60" s="3089"/>
      <c r="D60" s="3090"/>
      <c r="E60" s="3090"/>
      <c r="F60" s="3090"/>
      <c r="G60" s="3090"/>
      <c r="H60" s="3090"/>
      <c r="I60" s="3090"/>
      <c r="J60" s="3090"/>
      <c r="K60" s="3091"/>
      <c r="M60" s="1218">
        <f>M59+J53</f>
        <v>9085889.6506346464</v>
      </c>
    </row>
    <row r="61" spans="1:14" ht="16.8" thickBot="1">
      <c r="B61" s="2432"/>
      <c r="C61" s="2525"/>
      <c r="D61" s="2526"/>
      <c r="E61" s="2526"/>
      <c r="F61" s="2526"/>
      <c r="G61" s="2526"/>
      <c r="H61" s="2365"/>
      <c r="I61" s="2365"/>
      <c r="J61" s="2348"/>
      <c r="K61" s="2375"/>
      <c r="L61" s="1224"/>
      <c r="M61" s="1220">
        <f>M60+PL!C34</f>
        <v>9085889.6506346464</v>
      </c>
    </row>
    <row r="62" spans="1:14" ht="16.8" thickBot="1">
      <c r="B62" s="2361">
        <f>+B41+1</f>
        <v>5</v>
      </c>
      <c r="C62" s="222" t="s">
        <v>925</v>
      </c>
      <c r="H62" s="1888"/>
      <c r="I62" s="1888"/>
      <c r="J62" s="1888"/>
      <c r="K62" s="2353"/>
      <c r="L62" s="1228"/>
      <c r="M62" s="1224"/>
    </row>
    <row r="63" spans="1:14" ht="21.6" thickBot="1">
      <c r="B63" s="2361"/>
      <c r="C63" s="3087" t="s">
        <v>1</v>
      </c>
      <c r="D63" s="3087"/>
      <c r="E63" s="3087"/>
      <c r="F63" s="3087"/>
      <c r="G63" s="3087"/>
      <c r="H63" s="2365"/>
      <c r="I63" s="1898"/>
      <c r="J63" s="1898" t="s">
        <v>4208</v>
      </c>
      <c r="K63" s="2366" t="s">
        <v>3211</v>
      </c>
      <c r="L63" s="1229"/>
      <c r="M63" s="1230"/>
    </row>
    <row r="64" spans="1:14" ht="18">
      <c r="A64" s="958" t="s">
        <v>1545</v>
      </c>
      <c r="B64" s="2361"/>
      <c r="C64" s="2331" t="s">
        <v>2446</v>
      </c>
      <c r="H64" s="1888"/>
      <c r="I64" s="1888"/>
      <c r="J64" s="1888">
        <f>('Trial Balance FY 22-23'!E21)</f>
        <v>32203.14</v>
      </c>
      <c r="K64" s="2347">
        <f>32.20314*1000</f>
        <v>32203.14</v>
      </c>
      <c r="L64" s="1230"/>
      <c r="M64" s="1230">
        <f>1/1000</f>
        <v>1E-3</v>
      </c>
    </row>
    <row r="65" spans="1:14" ht="18.600000000000001" thickBot="1">
      <c r="A65" s="958" t="s">
        <v>1546</v>
      </c>
      <c r="B65" s="2361"/>
      <c r="C65" s="2480"/>
      <c r="D65" s="2405"/>
      <c r="E65" s="2405"/>
      <c r="F65" s="2405"/>
      <c r="G65" s="2405"/>
      <c r="H65" s="2481" t="s">
        <v>0</v>
      </c>
      <c r="I65" s="2464"/>
      <c r="J65" s="1894">
        <f>SUM(J64:J64)</f>
        <v>32203.14</v>
      </c>
      <c r="K65" s="2357">
        <f>SUM(K64:K64)</f>
        <v>32203.14</v>
      </c>
      <c r="L65" s="1232"/>
      <c r="M65" s="1230"/>
    </row>
    <row r="66" spans="1:14" ht="18">
      <c r="B66" s="2361"/>
      <c r="C66" s="2489"/>
      <c r="H66" s="2368"/>
      <c r="I66" s="1888"/>
      <c r="J66" s="1900"/>
      <c r="K66" s="2369"/>
      <c r="L66" s="1233"/>
      <c r="M66" s="1230"/>
      <c r="N66" s="1220"/>
    </row>
    <row r="67" spans="1:14" ht="18.600000000000001" thickBot="1">
      <c r="B67" s="2361">
        <f>+B62+1</f>
        <v>6</v>
      </c>
      <c r="C67" s="222" t="s">
        <v>551</v>
      </c>
      <c r="H67" s="2368"/>
      <c r="I67" s="1888"/>
      <c r="J67" s="1900"/>
      <c r="K67" s="2353"/>
      <c r="L67" s="1230"/>
      <c r="M67" s="1230"/>
    </row>
    <row r="68" spans="1:14" ht="16.8" thickBot="1">
      <c r="B68" s="2361"/>
      <c r="C68" s="3087" t="s">
        <v>1</v>
      </c>
      <c r="D68" s="3087"/>
      <c r="E68" s="3087"/>
      <c r="F68" s="3087"/>
      <c r="G68" s="3087"/>
      <c r="H68" s="3087"/>
      <c r="I68" s="1898"/>
      <c r="J68" s="1898" t="str">
        <f>J63</f>
        <v>As at 31st March 2023</v>
      </c>
      <c r="K68" s="2366" t="str">
        <f>K63</f>
        <v>As at 31st March 2022</v>
      </c>
    </row>
    <row r="69" spans="1:14">
      <c r="B69" s="2361"/>
      <c r="C69" s="3138" t="s">
        <v>233</v>
      </c>
      <c r="D69" s="3138"/>
      <c r="E69" s="3138"/>
      <c r="F69" s="3138"/>
      <c r="G69" s="3138"/>
      <c r="H69" s="2368"/>
      <c r="I69" s="1888"/>
      <c r="J69" s="1900"/>
      <c r="K69" s="2369"/>
    </row>
    <row r="70" spans="1:14" ht="15" customHeight="1">
      <c r="B70" s="2361"/>
      <c r="C70" s="3139" t="s">
        <v>76</v>
      </c>
      <c r="D70" s="3139"/>
      <c r="E70" s="3139"/>
      <c r="F70" s="3139"/>
      <c r="H70" s="2368"/>
      <c r="I70" s="1888"/>
      <c r="J70" s="1888">
        <f>(SUMIF('Final TB for Finan'!$I$7:$I$901,Notes!$C70,'Final TB for Finan'!$G$7:$G$901)-SUMIF('Final TB for Finan'!$I$7:$I$901,Notes!$C70,'Final TB for Finan'!$F$7:$F$901))</f>
        <v>0</v>
      </c>
      <c r="K70" s="2369">
        <v>0</v>
      </c>
    </row>
    <row r="71" spans="1:14">
      <c r="B71" s="2361"/>
      <c r="C71" s="3139" t="s">
        <v>234</v>
      </c>
      <c r="D71" s="3139"/>
      <c r="E71" s="3139"/>
      <c r="F71" s="3139"/>
      <c r="H71" s="2368"/>
      <c r="I71" s="1888"/>
      <c r="J71" s="1888">
        <f>('Trial Balance FY 22-23'!E323+'Trial Balance FY 22-23'!E324)</f>
        <v>11392871</v>
      </c>
      <c r="K71" s="2347">
        <f>3041.369*1000</f>
        <v>3041369</v>
      </c>
    </row>
    <row r="72" spans="1:14" hidden="1">
      <c r="A72" s="958" t="s">
        <v>1547</v>
      </c>
      <c r="B72" s="2361"/>
      <c r="C72" s="3105" t="s">
        <v>3455</v>
      </c>
      <c r="D72" s="3105"/>
      <c r="E72" s="3105"/>
      <c r="F72" s="2370"/>
      <c r="H72" s="2368"/>
      <c r="I72" s="1888"/>
      <c r="J72" s="1888">
        <v>0</v>
      </c>
      <c r="K72" s="2369">
        <v>0</v>
      </c>
      <c r="N72" s="1212">
        <f>+'TB2021(SEIL)'!F660</f>
        <v>4127</v>
      </c>
    </row>
    <row r="73" spans="1:14" ht="15" customHeight="1">
      <c r="B73" s="2361"/>
      <c r="C73" s="2489"/>
      <c r="H73" s="2368"/>
      <c r="I73" s="1888"/>
      <c r="J73" s="1900"/>
      <c r="K73" s="2369"/>
      <c r="M73" s="1212">
        <f>1/1000</f>
        <v>1E-3</v>
      </c>
    </row>
    <row r="74" spans="1:14" ht="16.8" thickBot="1">
      <c r="B74" s="2361"/>
      <c r="C74" s="2480"/>
      <c r="D74" s="2405"/>
      <c r="E74" s="2405"/>
      <c r="F74" s="2405"/>
      <c r="G74" s="2405"/>
      <c r="H74" s="2481" t="s">
        <v>0</v>
      </c>
      <c r="I74" s="2464"/>
      <c r="J74" s="1894">
        <f>SUM(J70:J73)</f>
        <v>11392871</v>
      </c>
      <c r="K74" s="2357">
        <f>SUM(K70:K73)</f>
        <v>3041369</v>
      </c>
    </row>
    <row r="75" spans="1:14">
      <c r="B75" s="2361"/>
      <c r="H75" s="1888"/>
      <c r="I75" s="1888"/>
      <c r="J75" s="1888"/>
      <c r="K75" s="2347"/>
    </row>
    <row r="76" spans="1:14">
      <c r="B76" s="2361"/>
      <c r="H76" s="1888"/>
      <c r="I76" s="1888"/>
      <c r="J76" s="1888"/>
      <c r="K76" s="2347"/>
    </row>
    <row r="77" spans="1:14" ht="16.8" thickBot="1">
      <c r="B77" s="2361">
        <f>B67+1</f>
        <v>7</v>
      </c>
      <c r="C77" s="222" t="s">
        <v>22</v>
      </c>
      <c r="H77" s="1888"/>
      <c r="I77" s="1888"/>
      <c r="J77" s="1888"/>
      <c r="K77" s="2353"/>
    </row>
    <row r="78" spans="1:14" ht="16.8" thickBot="1">
      <c r="B78" s="2361"/>
      <c r="C78" s="3087" t="s">
        <v>1</v>
      </c>
      <c r="D78" s="3087"/>
      <c r="E78" s="3087"/>
      <c r="F78" s="3087"/>
      <c r="G78" s="3087"/>
      <c r="H78" s="3087"/>
      <c r="I78" s="2365"/>
      <c r="J78" s="1898" t="str">
        <f>J63</f>
        <v>As at 31st March 2023</v>
      </c>
      <c r="K78" s="2366" t="str">
        <f>K63</f>
        <v>As at 31st March 2022</v>
      </c>
    </row>
    <row r="79" spans="1:14" ht="16.8" thickBot="1">
      <c r="B79" s="2361"/>
      <c r="C79" s="2331" t="s">
        <v>1158</v>
      </c>
      <c r="H79" s="1888"/>
      <c r="I79" s="1888"/>
      <c r="J79" s="1888"/>
      <c r="K79" s="2347"/>
      <c r="L79" s="1434" t="s">
        <v>2397</v>
      </c>
      <c r="M79" s="1235"/>
    </row>
    <row r="80" spans="1:14" ht="23.25" customHeight="1">
      <c r="B80" s="2361"/>
      <c r="C80" s="3104" t="s">
        <v>4346</v>
      </c>
      <c r="D80" s="3105"/>
      <c r="E80" s="3105"/>
      <c r="F80" s="3105"/>
      <c r="G80" s="3105"/>
      <c r="H80" s="3105"/>
      <c r="I80" s="3105"/>
      <c r="J80" s="1888">
        <f>(SUMIF('Sundry Creditors FY 22-23'!G28:G335,'Sundry Creditors FY 22-23'!G28,'Sundry Creditors FY 22-23'!E28:E335)-'Audit entries FY 22-23'!C14-'Audit entries FY 22-23'!C16-'Audit entries FY 22-23'!C18-'Audit entries FY 22-23'!C20-'Audit entries FY 22-23'!C24-'Audit entries FY 22-23'!C27-'Audit entries FY 22-23'!C30-'Audit entries FY 22-23'!C31-'Audit entries FY 22-23'!C33)</f>
        <v>17772799.64864406</v>
      </c>
      <c r="K80" s="2347">
        <f>6562.70984*1000</f>
        <v>6562709.8400000008</v>
      </c>
      <c r="L80" s="1435" t="s">
        <v>2398</v>
      </c>
      <c r="M80" s="1236">
        <v>4952153.5999999996</v>
      </c>
      <c r="N80" s="2177" t="s">
        <v>4013</v>
      </c>
    </row>
    <row r="81" spans="1:18" ht="0.75" customHeight="1">
      <c r="B81" s="2361"/>
      <c r="C81" s="3139" t="s">
        <v>2965</v>
      </c>
      <c r="D81" s="3139"/>
      <c r="E81" s="3139"/>
      <c r="F81" s="3139"/>
      <c r="H81" s="1888"/>
      <c r="I81" s="1888"/>
      <c r="J81" s="1888">
        <f>(SUMIF('Final TB for Finan'!$I$7:$I$901,Notes!$C81,'Final TB for Finan'!$G$7:$G$901)-SUMIF('Final TB for Finan'!$I$7:$I$901,Notes!$C81,'Final TB for Finan'!$F$7:$F$901))</f>
        <v>0</v>
      </c>
      <c r="K81" s="2347"/>
      <c r="L81" s="1435" t="s">
        <v>2399</v>
      </c>
      <c r="M81" s="1237">
        <v>1861912.93</v>
      </c>
    </row>
    <row r="82" spans="1:18">
      <c r="A82" s="958"/>
      <c r="B82" s="2361"/>
      <c r="C82" s="222"/>
      <c r="D82" s="2490"/>
      <c r="H82" s="1888"/>
      <c r="I82" s="1888"/>
      <c r="J82" s="1888" t="s">
        <v>1158</v>
      </c>
      <c r="K82" s="2347" t="s">
        <v>1158</v>
      </c>
      <c r="L82" s="1228" t="s">
        <v>2400</v>
      </c>
      <c r="M82" s="1237">
        <v>2060076.4</v>
      </c>
    </row>
    <row r="83" spans="1:18" ht="16.8" thickBot="1">
      <c r="B83" s="2361"/>
      <c r="C83" s="2405"/>
      <c r="D83" s="2482"/>
      <c r="E83" s="2405"/>
      <c r="F83" s="2405"/>
      <c r="G83" s="2405"/>
      <c r="H83" s="2481" t="s">
        <v>0</v>
      </c>
      <c r="I83" s="2464"/>
      <c r="J83" s="1894">
        <f>SUM(J80:J82)</f>
        <v>17772799.64864406</v>
      </c>
      <c r="K83" s="2357">
        <f>SUM(K80:K82)</f>
        <v>6562709.8400000008</v>
      </c>
      <c r="L83" s="1436"/>
      <c r="M83" s="1238">
        <f>SUM(M80:M82)</f>
        <v>8874142.9299999997</v>
      </c>
    </row>
    <row r="84" spans="1:18">
      <c r="B84" s="2361"/>
      <c r="H84" s="1888"/>
      <c r="I84" s="1888"/>
      <c r="J84" s="1888"/>
      <c r="K84" s="2347"/>
      <c r="L84" s="1239"/>
      <c r="M84" s="1240"/>
    </row>
    <row r="85" spans="1:18" ht="18">
      <c r="B85" s="2361"/>
      <c r="H85" s="1888"/>
      <c r="I85" s="1888"/>
      <c r="J85" s="1888"/>
      <c r="K85" s="2353"/>
      <c r="L85" s="1241"/>
      <c r="M85" s="1241"/>
      <c r="N85" s="1241"/>
      <c r="O85" s="1241"/>
      <c r="P85" s="1241"/>
      <c r="Q85" s="1241"/>
      <c r="R85" s="1241"/>
    </row>
    <row r="86" spans="1:18" ht="18.600000000000001" thickBot="1">
      <c r="B86" s="2361">
        <f>B77+1</f>
        <v>8</v>
      </c>
      <c r="C86" s="222" t="s">
        <v>23</v>
      </c>
      <c r="H86" s="1888"/>
      <c r="I86" s="1888"/>
      <c r="J86" s="1888"/>
      <c r="K86" s="2347"/>
      <c r="L86" s="1437" t="str">
        <f>'TB2021(SEIL)'!I41</f>
        <v>cr for expenses</v>
      </c>
      <c r="M86" s="1242">
        <f>'TB2021(SEIL)'!J41</f>
        <v>372200</v>
      </c>
      <c r="N86" s="1242">
        <f>'TB2021(SEIL)'!K41</f>
        <v>0</v>
      </c>
      <c r="O86" s="1242">
        <f>'TB2021(SEIL)'!L41</f>
        <v>0</v>
      </c>
      <c r="P86" s="1242">
        <f>'TB2021(SEIL)'!M41</f>
        <v>0</v>
      </c>
      <c r="Q86" s="1242">
        <f>'TB2021(SEIL)'!N41</f>
        <v>0</v>
      </c>
      <c r="R86" s="1241"/>
    </row>
    <row r="87" spans="1:18" ht="18.600000000000001" thickBot="1">
      <c r="B87" s="2361"/>
      <c r="C87" s="3087" t="s">
        <v>1</v>
      </c>
      <c r="D87" s="3087"/>
      <c r="E87" s="3087"/>
      <c r="F87" s="3087"/>
      <c r="G87" s="3087"/>
      <c r="H87" s="3087"/>
      <c r="I87" s="2365"/>
      <c r="J87" s="1898" t="str">
        <f>J63</f>
        <v>As at 31st March 2023</v>
      </c>
      <c r="K87" s="2366" t="str">
        <f>K63</f>
        <v>As at 31st March 2022</v>
      </c>
      <c r="L87" s="1437" t="str">
        <f>'TB2021(SEIL)'!I44</f>
        <v>crs for purchase</v>
      </c>
      <c r="M87" s="1242">
        <f>'TB2021(SEIL)'!J44</f>
        <v>5625490</v>
      </c>
      <c r="N87" s="1242">
        <f>'TB2021(SEIL)'!K44</f>
        <v>4300342.5999999996</v>
      </c>
      <c r="O87" s="1242">
        <f>'TB2021(SEIL)'!L44</f>
        <v>4952153.5999999996</v>
      </c>
      <c r="P87" s="1242">
        <f>'TB2021(SEIL)'!M44</f>
        <v>651811</v>
      </c>
      <c r="Q87" s="1242">
        <f>'TB2021(SEIL)'!N44</f>
        <v>0</v>
      </c>
      <c r="R87" s="1241"/>
    </row>
    <row r="88" spans="1:18" ht="35.85" customHeight="1">
      <c r="B88" s="2361"/>
      <c r="C88" s="3108" t="s">
        <v>1118</v>
      </c>
      <c r="D88" s="3108"/>
      <c r="E88" s="3108"/>
      <c r="F88" s="3108"/>
      <c r="G88" s="3108"/>
      <c r="H88" s="2331"/>
      <c r="I88" s="1888"/>
      <c r="J88" s="1902"/>
      <c r="K88" s="2372"/>
      <c r="L88" s="1437">
        <f>'TB2021(SEIL)'!I45</f>
        <v>0</v>
      </c>
      <c r="M88" s="1242">
        <f>'TB2021(SEIL)'!J45</f>
        <v>0</v>
      </c>
      <c r="N88" s="1242">
        <f>'TB2021(SEIL)'!K45</f>
        <v>0</v>
      </c>
      <c r="O88" s="1242">
        <f>'TB2021(SEIL)'!L45</f>
        <v>0</v>
      </c>
      <c r="P88" s="1242">
        <f>'TB2021(SEIL)'!M45</f>
        <v>0</v>
      </c>
      <c r="Q88" s="1242">
        <f>'TB2021(SEIL)'!N45</f>
        <v>0</v>
      </c>
      <c r="R88" s="1241"/>
    </row>
    <row r="89" spans="1:18" ht="25.35" customHeight="1">
      <c r="B89" s="2361"/>
      <c r="C89" s="3111" t="s">
        <v>1117</v>
      </c>
      <c r="D89" s="3111"/>
      <c r="E89" s="3111"/>
      <c r="F89" s="3111"/>
      <c r="G89" s="3111"/>
      <c r="H89" s="3111"/>
      <c r="I89" s="1888"/>
      <c r="J89" s="1903"/>
      <c r="K89" s="2182"/>
      <c r="L89" s="1437" t="str">
        <f>'TB2021(SEIL)'!I46</f>
        <v>crs for sub contract</v>
      </c>
      <c r="M89" s="1242">
        <f>'TB2021(SEIL)'!J46</f>
        <v>1887246.99</v>
      </c>
      <c r="N89" s="1242">
        <f>'TB2021(SEIL)'!K46</f>
        <v>1861913</v>
      </c>
      <c r="O89" s="1242">
        <f>'TB2021(SEIL)'!L46</f>
        <v>1861912.93</v>
      </c>
      <c r="P89" s="1242">
        <f>'TB2021(SEIL)'!M46</f>
        <v>0</v>
      </c>
      <c r="Q89" s="1242">
        <f>'TB2021(SEIL)'!N46</f>
        <v>0</v>
      </c>
      <c r="R89" s="1241"/>
    </row>
    <row r="90" spans="1:18" ht="15.6" customHeight="1">
      <c r="B90" s="2361"/>
      <c r="C90" s="3111" t="s">
        <v>3458</v>
      </c>
      <c r="D90" s="3111"/>
      <c r="E90" s="3111"/>
      <c r="F90" s="3111"/>
      <c r="G90" s="3111"/>
      <c r="H90" s="3111"/>
      <c r="I90" s="1888"/>
      <c r="J90" s="1888">
        <f>(-'Trial Balance FY 22-23'!E327+'Audit entries FY 22-23'!D74+'Audit entries FY 22-23'!D75+'Audit entries FY 22-23'!D76)</f>
        <v>-2730398.78</v>
      </c>
      <c r="K90" s="2182">
        <f>6514.27159999999*1000</f>
        <v>6514271.5999999903</v>
      </c>
      <c r="L90" s="1437" t="str">
        <f>'TB2021(SEIL)'!I47</f>
        <v>crs for supplier</v>
      </c>
      <c r="M90" s="1242">
        <f>'TB2021(SEIL)'!J47</f>
        <v>7048830.1699999999</v>
      </c>
      <c r="N90" s="1242">
        <f>'TB2021(SEIL)'!K47</f>
        <v>2060076.4</v>
      </c>
      <c r="O90" s="1242">
        <f>'TB2021(SEIL)'!L47</f>
        <v>2060076.4</v>
      </c>
      <c r="P90" s="1242">
        <f>'TB2021(SEIL)'!M47</f>
        <v>0</v>
      </c>
      <c r="Q90" s="1242">
        <f>'TB2021(SEIL)'!N47</f>
        <v>0</v>
      </c>
      <c r="R90" s="1241"/>
    </row>
    <row r="91" spans="1:18" ht="15" customHeight="1">
      <c r="A91" s="958" t="s">
        <v>1549</v>
      </c>
      <c r="B91" s="2361"/>
      <c r="C91" s="3111" t="s">
        <v>950</v>
      </c>
      <c r="D91" s="3111"/>
      <c r="E91" s="3111"/>
      <c r="F91" s="3111"/>
      <c r="G91" s="3111"/>
      <c r="H91" s="3111"/>
      <c r="I91" s="1888"/>
      <c r="J91" s="1888">
        <f>('Sundry Creditors FY 22-23'!E39+'Sundry Creditors FY 22-23'!E40)</f>
        <v>941907</v>
      </c>
      <c r="K91" s="2182">
        <f>421.387*1000</f>
        <v>421387</v>
      </c>
      <c r="L91" s="1437"/>
      <c r="M91" s="1242">
        <f>M92</f>
        <v>14933767.16</v>
      </c>
      <c r="N91" s="1242"/>
      <c r="O91" s="1242"/>
      <c r="P91" s="1242"/>
      <c r="Q91" s="1242"/>
      <c r="R91" s="1241"/>
    </row>
    <row r="92" spans="1:18" ht="15" customHeight="1">
      <c r="A92" s="958" t="s">
        <v>1550</v>
      </c>
      <c r="B92" s="2361"/>
      <c r="C92" s="3111" t="s">
        <v>949</v>
      </c>
      <c r="D92" s="3111"/>
      <c r="E92" s="3111"/>
      <c r="F92" s="3111"/>
      <c r="G92" s="3111"/>
      <c r="H92" s="3111"/>
      <c r="I92" s="1888"/>
      <c r="J92" s="1888">
        <f>('Sundry Creditors FY 22-23'!E55+'Sundry Creditors FY 22-23'!E56+'Audit entries FY 22-23'!D35+'Audit entries FY 22-23'!C3)</f>
        <v>908499.75491525419</v>
      </c>
      <c r="K92" s="2182">
        <f>143.155*1000</f>
        <v>143155</v>
      </c>
      <c r="L92" s="1437"/>
      <c r="M92" s="1242">
        <f>M87+M89+M90+M86</f>
        <v>14933767.16</v>
      </c>
      <c r="N92" s="1242"/>
      <c r="O92" s="1242"/>
      <c r="P92" s="1242"/>
      <c r="Q92" s="1242"/>
      <c r="R92" s="1241"/>
    </row>
    <row r="93" spans="1:18" ht="15" customHeight="1">
      <c r="A93" s="958"/>
      <c r="B93" s="2361"/>
      <c r="C93" s="3105" t="s">
        <v>3869</v>
      </c>
      <c r="D93" s="3105"/>
      <c r="E93" s="3105"/>
      <c r="F93" s="3105"/>
      <c r="G93" s="3105"/>
      <c r="H93" s="3105"/>
      <c r="I93" s="1888"/>
      <c r="J93" s="1888">
        <f>('Sundry Creditors FY 22-23'!E22-'Audit entries FY 22-23'!C48)</f>
        <v>51362.25</v>
      </c>
      <c r="K93" s="1212" t="s">
        <v>2098</v>
      </c>
      <c r="L93" s="1241"/>
      <c r="M93" s="1241"/>
      <c r="N93" s="1241"/>
      <c r="O93" s="1241"/>
      <c r="P93" s="1241"/>
      <c r="Q93" s="1241"/>
      <c r="R93" s="1241"/>
    </row>
    <row r="94" spans="1:18" ht="15" customHeight="1">
      <c r="A94" s="958"/>
      <c r="B94" s="2361"/>
      <c r="C94" s="2585"/>
      <c r="D94" s="2585"/>
      <c r="E94" s="2585"/>
      <c r="F94" s="2585"/>
      <c r="G94" s="2585"/>
      <c r="H94" s="2585"/>
      <c r="I94" s="1888"/>
      <c r="J94" s="1888"/>
      <c r="K94" s="2182"/>
      <c r="L94" s="1241"/>
      <c r="M94" s="1241">
        <f>1/1000</f>
        <v>1E-3</v>
      </c>
      <c r="N94" s="1241"/>
      <c r="O94" s="1241"/>
      <c r="P94" s="1241"/>
      <c r="Q94" s="1241"/>
      <c r="R94" s="1241"/>
    </row>
    <row r="95" spans="1:18" ht="15" customHeight="1">
      <c r="A95" s="958" t="s">
        <v>1551</v>
      </c>
      <c r="B95" s="2361"/>
      <c r="C95" s="3111" t="s">
        <v>4347</v>
      </c>
      <c r="D95" s="3111"/>
      <c r="E95" s="3111"/>
      <c r="F95" s="2585"/>
      <c r="G95" s="2585"/>
      <c r="H95" s="2585"/>
      <c r="I95" s="1888"/>
      <c r="J95" s="1888">
        <f>('Sundry Creditors FY 22-23'!E44+'Sundry Creditors FY 22-23'!E48)</f>
        <v>269694</v>
      </c>
      <c r="K95" s="2182">
        <f>188.694*1000</f>
        <v>188694</v>
      </c>
      <c r="L95" s="1241"/>
      <c r="M95" s="1241"/>
      <c r="N95" s="1241"/>
      <c r="O95" s="1241"/>
      <c r="P95" s="1241"/>
      <c r="Q95" s="1241"/>
      <c r="R95" s="1241"/>
    </row>
    <row r="96" spans="1:18" ht="15" customHeight="1">
      <c r="A96" s="958"/>
      <c r="B96" s="2361"/>
      <c r="C96" s="3111" t="s">
        <v>4348</v>
      </c>
      <c r="D96" s="3111"/>
      <c r="E96" s="3111"/>
      <c r="F96" s="2585"/>
      <c r="G96" s="2585"/>
      <c r="H96" s="2585"/>
      <c r="I96" s="1888"/>
      <c r="J96" s="1888">
        <f>('Sundry Creditors FY 22-23'!E37+'Sundry Creditors FY 22-23'!E46)</f>
        <v>3600750</v>
      </c>
      <c r="K96" s="2182">
        <f>6275.19*1000</f>
        <v>6275190</v>
      </c>
      <c r="M96" s="1212">
        <v>1000</v>
      </c>
    </row>
    <row r="97" spans="1:13" ht="15" customHeight="1">
      <c r="A97" s="958"/>
      <c r="B97" s="2361"/>
      <c r="C97" s="3111" t="s">
        <v>4349</v>
      </c>
      <c r="D97" s="3111"/>
      <c r="E97" s="3111"/>
      <c r="F97" s="2585"/>
      <c r="G97" s="2585"/>
      <c r="H97" s="2585"/>
      <c r="I97" s="1888"/>
      <c r="J97" s="1888">
        <f>('Audit entries FY 22-23'!D49)</f>
        <v>17120.75</v>
      </c>
      <c r="K97" s="2182">
        <v>0</v>
      </c>
    </row>
    <row r="98" spans="1:13" ht="15" customHeight="1">
      <c r="A98" s="958"/>
      <c r="B98" s="2361"/>
      <c r="C98" s="3111" t="s">
        <v>4350</v>
      </c>
      <c r="D98" s="3111"/>
      <c r="E98" s="3111"/>
      <c r="F98" s="3111"/>
      <c r="G98" s="3111"/>
      <c r="H98" s="3111"/>
      <c r="I98" s="1888"/>
      <c r="J98" s="1888">
        <f>('Sundry Creditors FY 22-23'!E15+'Audit entries FY 22-23'!D4)</f>
        <v>2914648.93</v>
      </c>
      <c r="K98" s="2182">
        <f>2543.84893*1000</f>
        <v>2543848.9300000002</v>
      </c>
    </row>
    <row r="99" spans="1:13" ht="15" customHeight="1">
      <c r="A99" s="958" t="s">
        <v>1643</v>
      </c>
      <c r="B99" s="2361"/>
      <c r="C99" s="3111" t="s">
        <v>4351</v>
      </c>
      <c r="D99" s="3111"/>
      <c r="E99" s="3111"/>
      <c r="F99" s="3111"/>
      <c r="G99" s="3111"/>
      <c r="H99" s="3111"/>
      <c r="I99" s="1888"/>
      <c r="J99" s="2524">
        <f>('Trial Balance FY 22-23'!E151)</f>
        <v>29611.5</v>
      </c>
      <c r="K99" s="2182">
        <f>39.08*1000</f>
        <v>39080</v>
      </c>
    </row>
    <row r="100" spans="1:13" ht="15" customHeight="1">
      <c r="A100" s="958"/>
      <c r="B100" s="2361"/>
      <c r="C100" s="3105"/>
      <c r="D100" s="3105"/>
      <c r="E100" s="3105"/>
      <c r="F100" s="3105"/>
      <c r="G100" s="2373"/>
      <c r="H100" s="2373"/>
      <c r="I100" s="1888"/>
      <c r="J100" s="1888"/>
      <c r="K100" s="2182"/>
    </row>
    <row r="101" spans="1:13" ht="15" customHeight="1">
      <c r="A101" s="958" t="s">
        <v>1552</v>
      </c>
      <c r="B101" s="2361"/>
      <c r="C101" s="2373"/>
      <c r="D101" s="2373"/>
      <c r="E101" s="2373"/>
      <c r="F101" s="2472"/>
      <c r="G101" s="2472"/>
      <c r="H101" s="2374"/>
      <c r="I101" s="1888"/>
      <c r="J101" s="1903"/>
      <c r="K101" s="2182"/>
    </row>
    <row r="102" spans="1:13" ht="16.8" thickBot="1">
      <c r="B102" s="2361"/>
      <c r="C102" s="2491" t="s">
        <v>128</v>
      </c>
      <c r="H102" s="1888"/>
      <c r="I102" s="1888"/>
      <c r="J102" s="1888">
        <f>(SUM('Trial Balance FY 22-23'!E314:E317)-'Audit entries FY 22-23'!C86+'Audit entries FY 22-23'!D43)</f>
        <v>16827138.239999998</v>
      </c>
      <c r="K102" s="2182">
        <f>25262.92724*1000</f>
        <v>25262927.240000002</v>
      </c>
      <c r="L102" s="1212" t="s">
        <v>4012</v>
      </c>
    </row>
    <row r="103" spans="1:13" ht="16.8" hidden="1" thickBot="1">
      <c r="A103" s="958" t="s">
        <v>1553</v>
      </c>
      <c r="B103" s="2361"/>
      <c r="C103" s="2491" t="s">
        <v>1168</v>
      </c>
      <c r="H103" s="1888"/>
      <c r="I103" s="1888"/>
      <c r="J103" s="1888">
        <v>0</v>
      </c>
      <c r="K103" s="2182"/>
    </row>
    <row r="104" spans="1:13" ht="16.8" thickBot="1">
      <c r="A104" s="958" t="s">
        <v>1554</v>
      </c>
      <c r="B104" s="2361"/>
      <c r="C104" s="2405"/>
      <c r="D104" s="2405"/>
      <c r="E104" s="2405"/>
      <c r="F104" s="2405"/>
      <c r="G104" s="2408"/>
      <c r="H104" s="2481" t="s">
        <v>0</v>
      </c>
      <c r="I104" s="2464"/>
      <c r="J104" s="2348">
        <f>SUM(J90:J103)</f>
        <v>22830333.644915253</v>
      </c>
      <c r="K104" s="2375">
        <f>SUM(K90:K103)</f>
        <v>41388553.769999996</v>
      </c>
    </row>
    <row r="105" spans="1:13">
      <c r="B105" s="2361"/>
      <c r="G105" s="222"/>
      <c r="H105" s="1888"/>
      <c r="I105" s="1888"/>
      <c r="J105" s="1900"/>
      <c r="K105" s="2369"/>
    </row>
    <row r="106" spans="1:13">
      <c r="B106" s="2361"/>
      <c r="G106" s="222"/>
      <c r="H106" s="1888"/>
      <c r="I106" s="1888"/>
      <c r="J106" s="1900"/>
      <c r="K106" s="2369"/>
      <c r="L106" s="1220"/>
    </row>
    <row r="107" spans="1:13" ht="16.8" thickBot="1">
      <c r="B107" s="2361">
        <f>B86+1</f>
        <v>9</v>
      </c>
      <c r="C107" s="222" t="s">
        <v>24</v>
      </c>
      <c r="G107" s="222"/>
      <c r="H107" s="1888"/>
      <c r="I107" s="1888"/>
      <c r="J107" s="1900"/>
      <c r="K107" s="2353"/>
    </row>
    <row r="108" spans="1:13" ht="40.5" customHeight="1" thickBot="1">
      <c r="B108" s="2361"/>
      <c r="C108" s="3087" t="s">
        <v>1</v>
      </c>
      <c r="D108" s="3087"/>
      <c r="E108" s="3087"/>
      <c r="F108" s="3087"/>
      <c r="G108" s="3087"/>
      <c r="H108" s="3087"/>
      <c r="I108" s="2365"/>
      <c r="J108" s="1898" t="str">
        <f>J63</f>
        <v>As at 31st March 2023</v>
      </c>
      <c r="K108" s="2366" t="str">
        <f>K63</f>
        <v>As at 31st March 2022</v>
      </c>
      <c r="M108" s="1218">
        <v>873749.90254727413</v>
      </c>
    </row>
    <row r="109" spans="1:13">
      <c r="B109" s="2433"/>
      <c r="C109" s="2491"/>
      <c r="H109" s="2331"/>
      <c r="I109" s="2331"/>
      <c r="J109" s="1903"/>
      <c r="K109" s="2372"/>
    </row>
    <row r="110" spans="1:13" ht="36" customHeight="1">
      <c r="B110" s="2361"/>
      <c r="C110" s="2331" t="s">
        <v>953</v>
      </c>
      <c r="H110" s="1888"/>
      <c r="I110" s="1888"/>
      <c r="J110" s="2487">
        <f>(IT!E46)</f>
        <v>10965295.032507783</v>
      </c>
      <c r="K110" s="2376">
        <f>8443.3364*1000</f>
        <v>8443336.4000000004</v>
      </c>
      <c r="L110" s="1243"/>
      <c r="M110" s="1212">
        <f>1/1000</f>
        <v>1E-3</v>
      </c>
    </row>
    <row r="111" spans="1:13" ht="24.75" customHeight="1" thickBot="1">
      <c r="B111" s="2361"/>
      <c r="G111" s="2466"/>
      <c r="H111" s="2466" t="s">
        <v>0</v>
      </c>
      <c r="I111" s="1888"/>
      <c r="J111" s="2488">
        <f>J110+J109</f>
        <v>10965295.032507783</v>
      </c>
      <c r="K111" s="2455">
        <f>K110+K109</f>
        <v>8443336.4000000004</v>
      </c>
    </row>
    <row r="112" spans="1:13" ht="24.75" customHeight="1">
      <c r="B112" s="2361"/>
      <c r="C112" s="2586"/>
      <c r="D112" s="2362"/>
      <c r="E112" s="2362"/>
      <c r="F112" s="2362"/>
      <c r="G112" s="2587"/>
      <c r="H112" s="2587"/>
      <c r="I112" s="1901"/>
      <c r="J112" s="2588"/>
      <c r="K112" s="2589"/>
    </row>
    <row r="113" spans="2:12" ht="9" customHeight="1">
      <c r="B113" s="2361"/>
      <c r="G113" s="2466"/>
      <c r="H113" s="2466"/>
      <c r="I113" s="1888"/>
      <c r="J113" s="2492"/>
      <c r="K113" s="2369"/>
    </row>
    <row r="114" spans="2:12" ht="6" customHeight="1">
      <c r="B114" s="2361"/>
      <c r="H114" s="1888"/>
      <c r="I114" s="1888"/>
      <c r="J114" s="1888"/>
      <c r="K114" s="2347"/>
    </row>
    <row r="115" spans="2:12">
      <c r="B115" s="2361">
        <f>B107+1</f>
        <v>10</v>
      </c>
      <c r="C115" s="2630" t="s">
        <v>3463</v>
      </c>
      <c r="D115" s="2177"/>
      <c r="E115" s="2177"/>
      <c r="F115" s="2177"/>
      <c r="G115" s="2177"/>
      <c r="H115" s="2631"/>
      <c r="I115" s="2631"/>
      <c r="J115" s="2631"/>
      <c r="K115" s="2632"/>
      <c r="L115" s="1212" t="s">
        <v>4367</v>
      </c>
    </row>
    <row r="116" spans="2:12">
      <c r="B116" s="2361"/>
      <c r="C116" s="2177"/>
      <c r="D116" s="2177" t="s">
        <v>1159</v>
      </c>
      <c r="E116" s="2177"/>
      <c r="F116" s="2177"/>
      <c r="G116" s="2177"/>
      <c r="H116" s="2631"/>
      <c r="I116" s="2631"/>
      <c r="J116" s="2631"/>
      <c r="K116" s="2632"/>
      <c r="L116" s="1212" t="s">
        <v>4368</v>
      </c>
    </row>
    <row r="117" spans="2:12" ht="16.8" thickBot="1">
      <c r="B117" s="2431"/>
      <c r="C117" s="2405"/>
      <c r="D117" s="2405"/>
      <c r="E117" s="2405"/>
      <c r="F117" s="2405"/>
      <c r="G117" s="2405"/>
      <c r="H117" s="2464"/>
      <c r="I117" s="2464"/>
      <c r="J117" s="2464"/>
      <c r="K117" s="2386"/>
      <c r="L117" s="1224"/>
    </row>
    <row r="118" spans="2:12" hidden="1">
      <c r="B118" s="2361"/>
      <c r="G118" s="222"/>
      <c r="H118" s="1888"/>
      <c r="I118" s="1888"/>
      <c r="J118" s="1900"/>
      <c r="K118" s="2369"/>
      <c r="L118" s="1218"/>
    </row>
    <row r="119" spans="2:12" hidden="1">
      <c r="B119" s="2361">
        <f>B115+1</f>
        <v>11</v>
      </c>
      <c r="C119" s="222" t="s">
        <v>25</v>
      </c>
      <c r="G119" s="222"/>
      <c r="H119" s="1888"/>
      <c r="I119" s="1888"/>
      <c r="J119" s="1900"/>
      <c r="K119" s="2369"/>
      <c r="L119" s="1218"/>
    </row>
    <row r="120" spans="2:12" ht="16.8" hidden="1" thickBot="1">
      <c r="B120" s="2361"/>
      <c r="C120" s="3087" t="s">
        <v>1</v>
      </c>
      <c r="D120" s="3087"/>
      <c r="E120" s="3087"/>
      <c r="F120" s="3087"/>
      <c r="G120" s="3087"/>
      <c r="H120" s="2378" t="s">
        <v>27</v>
      </c>
      <c r="I120" s="2378" t="s">
        <v>26</v>
      </c>
      <c r="J120" s="1898" t="str">
        <f>J63</f>
        <v>As at 31st March 2023</v>
      </c>
      <c r="K120" s="2366" t="str">
        <f>K63</f>
        <v>As at 31st March 2022</v>
      </c>
    </row>
    <row r="121" spans="2:12" hidden="1">
      <c r="B121" s="2361"/>
      <c r="C121" s="222" t="s">
        <v>1169</v>
      </c>
      <c r="H121" s="1896"/>
      <c r="I121" s="1896"/>
      <c r="J121" s="1902"/>
      <c r="K121" s="2372"/>
      <c r="L121" s="1218"/>
    </row>
    <row r="122" spans="2:12" hidden="1">
      <c r="B122" s="2361"/>
      <c r="C122" s="3137" t="s">
        <v>533</v>
      </c>
      <c r="D122" s="3137"/>
      <c r="E122" s="3137"/>
      <c r="F122" s="3137"/>
      <c r="H122" s="1896"/>
      <c r="I122" s="1896"/>
      <c r="J122" s="1902"/>
      <c r="K122" s="2372"/>
    </row>
    <row r="123" spans="2:12" hidden="1">
      <c r="B123" s="2361"/>
      <c r="C123" s="2472" t="s">
        <v>287</v>
      </c>
      <c r="H123" s="2379">
        <v>250</v>
      </c>
      <c r="I123" s="2379">
        <v>10</v>
      </c>
      <c r="J123" s="1903">
        <v>0</v>
      </c>
      <c r="K123" s="2380">
        <v>0</v>
      </c>
    </row>
    <row r="124" spans="2:12" hidden="1">
      <c r="B124" s="2361"/>
      <c r="C124" s="2472" t="s">
        <v>286</v>
      </c>
      <c r="D124" s="222"/>
      <c r="E124" s="222"/>
      <c r="F124" s="222"/>
      <c r="H124" s="2379">
        <v>2500</v>
      </c>
      <c r="I124" s="2379">
        <v>10</v>
      </c>
      <c r="J124" s="1903">
        <v>0</v>
      </c>
      <c r="K124" s="2380">
        <v>0</v>
      </c>
    </row>
    <row r="125" spans="2:12" hidden="1">
      <c r="B125" s="2361"/>
      <c r="C125" s="2472" t="s">
        <v>1374</v>
      </c>
      <c r="H125" s="2379">
        <v>100</v>
      </c>
      <c r="I125" s="2379">
        <v>24</v>
      </c>
      <c r="J125" s="1903">
        <v>0</v>
      </c>
      <c r="K125" s="2380">
        <v>0</v>
      </c>
    </row>
    <row r="126" spans="2:12" hidden="1">
      <c r="B126" s="2361"/>
      <c r="C126" s="222"/>
      <c r="H126" s="1896"/>
      <c r="I126" s="1896"/>
      <c r="J126" s="1902"/>
      <c r="K126" s="2380"/>
    </row>
    <row r="127" spans="2:12" hidden="1">
      <c r="B127" s="2361"/>
      <c r="C127" s="3136" t="s">
        <v>535</v>
      </c>
      <c r="D127" s="3136"/>
      <c r="E127" s="3136"/>
      <c r="F127" s="3136"/>
      <c r="G127" s="3136"/>
      <c r="H127" s="1896"/>
      <c r="I127" s="1896"/>
      <c r="J127" s="1902"/>
      <c r="K127" s="2380"/>
    </row>
    <row r="128" spans="2:12" hidden="1">
      <c r="B128" s="2361"/>
      <c r="C128" s="2473" t="s">
        <v>288</v>
      </c>
      <c r="H128" s="2379">
        <v>50</v>
      </c>
      <c r="I128" s="2379">
        <v>100</v>
      </c>
      <c r="J128" s="1903">
        <v>0</v>
      </c>
      <c r="K128" s="2380">
        <v>0</v>
      </c>
    </row>
    <row r="129" spans="2:14" hidden="1">
      <c r="B129" s="2361"/>
      <c r="C129" s="222" t="s">
        <v>1170</v>
      </c>
      <c r="H129" s="1896"/>
      <c r="I129" s="1896"/>
      <c r="J129" s="1902"/>
      <c r="K129" s="2380"/>
    </row>
    <row r="130" spans="2:14" hidden="1">
      <c r="B130" s="2361"/>
      <c r="C130" s="2428" t="s">
        <v>289</v>
      </c>
      <c r="H130" s="1896"/>
      <c r="I130" s="1896"/>
      <c r="J130" s="1902"/>
      <c r="K130" s="2380"/>
    </row>
    <row r="131" spans="2:14" hidden="1">
      <c r="B131" s="2361"/>
      <c r="C131" s="3116" t="s">
        <v>290</v>
      </c>
      <c r="D131" s="3116"/>
      <c r="E131" s="3116"/>
      <c r="F131" s="3116"/>
      <c r="G131" s="3116"/>
      <c r="H131" s="1896"/>
      <c r="I131" s="1896"/>
      <c r="J131" s="1903">
        <v>0</v>
      </c>
      <c r="K131" s="2380">
        <v>0</v>
      </c>
    </row>
    <row r="132" spans="2:14" hidden="1">
      <c r="B132" s="2361"/>
      <c r="C132" s="3116" t="s">
        <v>291</v>
      </c>
      <c r="D132" s="3116"/>
      <c r="E132" s="3116"/>
      <c r="F132" s="3116"/>
      <c r="G132" s="3116"/>
      <c r="H132" s="1896"/>
      <c r="I132" s="1896"/>
      <c r="J132" s="1903">
        <v>0</v>
      </c>
      <c r="K132" s="2380">
        <v>0</v>
      </c>
    </row>
    <row r="133" spans="2:14" hidden="1">
      <c r="B133" s="2361"/>
      <c r="C133" s="2472" t="s">
        <v>534</v>
      </c>
      <c r="D133" s="2474"/>
      <c r="E133" s="2474"/>
      <c r="F133" s="2474"/>
      <c r="G133" s="2474"/>
      <c r="H133" s="2379">
        <v>5000</v>
      </c>
      <c r="I133" s="2379">
        <v>5</v>
      </c>
      <c r="J133" s="1903">
        <v>0</v>
      </c>
      <c r="K133" s="2380">
        <v>0</v>
      </c>
    </row>
    <row r="134" spans="2:14" hidden="1">
      <c r="B134" s="2361"/>
      <c r="C134" s="222"/>
      <c r="H134" s="1896"/>
      <c r="I134" s="1896"/>
      <c r="J134" s="1902"/>
      <c r="K134" s="2381"/>
    </row>
    <row r="135" spans="2:14" ht="16.8" hidden="1" thickBot="1">
      <c r="B135" s="2361"/>
      <c r="C135" s="2405"/>
      <c r="D135" s="2405"/>
      <c r="E135" s="2405"/>
      <c r="F135" s="2405"/>
      <c r="G135" s="2408" t="s">
        <v>0</v>
      </c>
      <c r="H135" s="2464"/>
      <c r="I135" s="2464"/>
      <c r="J135" s="1894">
        <v>0</v>
      </c>
      <c r="K135" s="2354">
        <v>0</v>
      </c>
    </row>
    <row r="136" spans="2:14" hidden="1">
      <c r="B136" s="2361"/>
      <c r="C136" s="3096" t="s">
        <v>3026</v>
      </c>
      <c r="D136" s="3096"/>
      <c r="E136" s="3096"/>
      <c r="F136" s="3096"/>
      <c r="G136" s="3096"/>
      <c r="H136" s="3096"/>
      <c r="I136" s="3096"/>
      <c r="J136" s="3096"/>
      <c r="K136" s="3097"/>
    </row>
    <row r="137" spans="2:14" ht="19.350000000000001" hidden="1" customHeight="1">
      <c r="B137" s="2361"/>
      <c r="C137" s="3098"/>
      <c r="D137" s="3098"/>
      <c r="E137" s="3098"/>
      <c r="F137" s="3098"/>
      <c r="G137" s="3098"/>
      <c r="H137" s="3098"/>
      <c r="I137" s="3098"/>
      <c r="J137" s="3098"/>
      <c r="K137" s="3099"/>
    </row>
    <row r="138" spans="2:14" ht="19.350000000000001" customHeight="1">
      <c r="B138" s="2432"/>
      <c r="C138" s="2493"/>
      <c r="D138" s="2493"/>
      <c r="E138" s="2493"/>
      <c r="F138" s="2493"/>
      <c r="G138" s="2493"/>
      <c r="H138" s="2493"/>
      <c r="I138" s="2493"/>
      <c r="J138" s="2493"/>
      <c r="K138" s="2494"/>
    </row>
    <row r="139" spans="2:14">
      <c r="B139" s="2361">
        <f>B115+1</f>
        <v>11</v>
      </c>
      <c r="C139" s="3114" t="s">
        <v>2957</v>
      </c>
      <c r="D139" s="3114"/>
      <c r="E139" s="3114"/>
      <c r="F139" s="3114"/>
      <c r="G139" s="3114"/>
      <c r="H139" s="3114"/>
      <c r="I139" s="3114"/>
      <c r="J139" s="3114"/>
      <c r="K139" s="3115"/>
    </row>
    <row r="140" spans="2:14">
      <c r="B140" s="2361"/>
      <c r="C140" s="3112" t="s">
        <v>21</v>
      </c>
      <c r="D140" s="3112"/>
      <c r="E140" s="3112"/>
      <c r="F140" s="3112"/>
      <c r="G140" s="3112"/>
      <c r="H140" s="3112"/>
      <c r="I140" s="3112"/>
      <c r="J140" s="3112"/>
      <c r="K140" s="3113"/>
    </row>
    <row r="141" spans="2:14">
      <c r="B141" s="2361"/>
      <c r="C141" s="2744"/>
      <c r="D141" s="2744"/>
      <c r="E141" s="2744"/>
      <c r="F141" s="2744"/>
      <c r="G141" s="2744"/>
      <c r="H141" s="2744"/>
      <c r="I141" s="2744"/>
      <c r="J141" s="2744"/>
      <c r="K141" s="2745"/>
    </row>
    <row r="142" spans="2:14" ht="55.5" customHeight="1">
      <c r="B142" s="2361"/>
      <c r="C142" s="3112" t="s">
        <v>4325</v>
      </c>
      <c r="D142" s="3112"/>
      <c r="E142" s="3112"/>
      <c r="F142" s="3112"/>
      <c r="G142" s="3112"/>
      <c r="H142" s="3112"/>
      <c r="I142" s="3112"/>
      <c r="J142" s="3112"/>
      <c r="K142" s="3113"/>
      <c r="M142" s="1220">
        <f>-J145</f>
        <v>873452.38214052026</v>
      </c>
      <c r="N142" s="1220">
        <f>J156</f>
        <v>-1615571.3057073609</v>
      </c>
    </row>
    <row r="143" spans="2:14" ht="32.25" customHeight="1" thickBot="1">
      <c r="B143" s="2361"/>
      <c r="C143" s="2402"/>
      <c r="D143" s="2402"/>
      <c r="E143" s="2402"/>
      <c r="F143" s="2402"/>
      <c r="G143" s="2402"/>
      <c r="H143" s="2402"/>
      <c r="I143" s="2402"/>
      <c r="J143" s="2402"/>
      <c r="K143" s="2426"/>
      <c r="M143" s="1220"/>
      <c r="N143" s="1220"/>
    </row>
    <row r="144" spans="2:14" ht="16.8" thickBot="1">
      <c r="B144" s="2361"/>
      <c r="C144" s="3087" t="s">
        <v>1</v>
      </c>
      <c r="D144" s="3087"/>
      <c r="E144" s="3087"/>
      <c r="F144" s="3087"/>
      <c r="G144" s="3087"/>
      <c r="H144" s="3087"/>
      <c r="I144" s="2365"/>
      <c r="J144" s="1898" t="str">
        <f>J63</f>
        <v>As at 31st March 2023</v>
      </c>
      <c r="K144" s="2366" t="str">
        <f>K63</f>
        <v>As at 31st March 2022</v>
      </c>
    </row>
    <row r="145" spans="2:18">
      <c r="B145" s="2361"/>
      <c r="C145" s="222" t="s">
        <v>1164</v>
      </c>
      <c r="H145" s="1888"/>
      <c r="I145" s="1888"/>
      <c r="J145" s="1904">
        <f>K156</f>
        <v>-873452.38214052026</v>
      </c>
      <c r="K145" s="2382">
        <f>-2889.49222*1000</f>
        <v>-2889492.22</v>
      </c>
      <c r="M145" s="1220">
        <f>J145*1000</f>
        <v>-873452382.14052022</v>
      </c>
      <c r="N145" s="2572">
        <v>691020</v>
      </c>
    </row>
    <row r="146" spans="2:18" hidden="1">
      <c r="B146" s="2361"/>
      <c r="C146" s="2495" t="s">
        <v>1162</v>
      </c>
      <c r="H146" s="1888"/>
      <c r="I146" s="1888"/>
      <c r="J146" s="1888"/>
      <c r="K146" s="2347">
        <v>0</v>
      </c>
      <c r="M146" s="1220">
        <f t="shared" ref="M146:M155" si="0">J146*1000</f>
        <v>0</v>
      </c>
    </row>
    <row r="147" spans="2:18" hidden="1">
      <c r="B147" s="2361"/>
      <c r="C147" s="2496" t="s">
        <v>1166</v>
      </c>
      <c r="H147" s="1888"/>
      <c r="I147" s="1888"/>
      <c r="J147" s="1888"/>
      <c r="K147" s="2347">
        <v>9718.9825895464382</v>
      </c>
      <c r="M147" s="1220">
        <f t="shared" si="0"/>
        <v>0</v>
      </c>
    </row>
    <row r="148" spans="2:18" hidden="1">
      <c r="B148" s="2361"/>
      <c r="C148" s="2496" t="s">
        <v>1167</v>
      </c>
      <c r="H148" s="1888"/>
      <c r="I148" s="1888"/>
      <c r="J148" s="1888"/>
      <c r="K148" s="2356">
        <v>8214.4950000000008</v>
      </c>
      <c r="M148" s="1220">
        <f t="shared" si="0"/>
        <v>0</v>
      </c>
    </row>
    <row r="149" spans="2:18" hidden="1">
      <c r="B149" s="2361"/>
      <c r="C149" s="3109" t="s">
        <v>1160</v>
      </c>
      <c r="D149" s="3109"/>
      <c r="E149" s="3109"/>
      <c r="F149" s="3109"/>
      <c r="G149" s="3109"/>
      <c r="H149" s="3109"/>
      <c r="I149" s="3109"/>
      <c r="J149" s="1905"/>
      <c r="K149" s="2383">
        <v>1504.4875895464384</v>
      </c>
      <c r="M149" s="1220">
        <f t="shared" si="0"/>
        <v>0</v>
      </c>
    </row>
    <row r="150" spans="2:18" hidden="1">
      <c r="B150" s="2361"/>
      <c r="C150" s="222"/>
      <c r="H150" s="1888"/>
      <c r="I150" s="1888"/>
      <c r="J150" s="1888"/>
      <c r="K150" s="2347">
        <v>0</v>
      </c>
      <c r="L150" s="1212" t="s">
        <v>1158</v>
      </c>
      <c r="M150" s="1220">
        <f t="shared" si="0"/>
        <v>0</v>
      </c>
    </row>
    <row r="151" spans="2:18" hidden="1">
      <c r="B151" s="2361"/>
      <c r="C151" s="2495" t="s">
        <v>1163</v>
      </c>
      <c r="H151" s="1888"/>
      <c r="I151" s="1888"/>
      <c r="J151" s="1888"/>
      <c r="K151" s="2347">
        <v>0</v>
      </c>
      <c r="L151" s="1224"/>
      <c r="M151" s="1220">
        <f t="shared" si="0"/>
        <v>0</v>
      </c>
    </row>
    <row r="152" spans="2:18" ht="15" hidden="1" customHeight="1">
      <c r="B152" s="2361"/>
      <c r="C152" s="222"/>
      <c r="H152" s="1888"/>
      <c r="I152" s="1888"/>
      <c r="J152" s="1888"/>
      <c r="K152" s="2347">
        <v>0</v>
      </c>
      <c r="M152" s="1220">
        <f t="shared" si="0"/>
        <v>0</v>
      </c>
    </row>
    <row r="153" spans="2:18" hidden="1">
      <c r="B153" s="2361"/>
      <c r="C153" s="3109" t="s">
        <v>1161</v>
      </c>
      <c r="D153" s="3110"/>
      <c r="E153" s="3110"/>
      <c r="F153" s="3110"/>
      <c r="G153" s="3110"/>
      <c r="H153" s="3110"/>
      <c r="I153" s="3110"/>
      <c r="J153" s="1905"/>
      <c r="K153" s="2383">
        <v>1504.4875895464384</v>
      </c>
      <c r="M153" s="1220">
        <f t="shared" si="0"/>
        <v>0</v>
      </c>
    </row>
    <row r="154" spans="2:18" hidden="1">
      <c r="B154" s="2361"/>
      <c r="C154" s="222"/>
      <c r="H154" s="1888"/>
      <c r="I154" s="1888"/>
      <c r="J154" s="1888"/>
      <c r="K154" s="2384">
        <v>0</v>
      </c>
      <c r="M154" s="1220">
        <f t="shared" si="0"/>
        <v>0</v>
      </c>
      <c r="R154" s="1224">
        <v>50792436.719999999</v>
      </c>
    </row>
    <row r="155" spans="2:18">
      <c r="B155" s="2361"/>
      <c r="C155" s="222" t="s">
        <v>1165</v>
      </c>
      <c r="H155" s="1888"/>
      <c r="I155" s="1888"/>
      <c r="J155" s="1906">
        <f>-(Sheet10!B9)</f>
        <v>-742110.61812685104</v>
      </c>
      <c r="K155" s="2356">
        <f>2016.03983785948*1000</f>
        <v>2016039.8378594799</v>
      </c>
      <c r="L155" s="1220"/>
      <c r="M155" s="1220">
        <f t="shared" si="0"/>
        <v>-742110618.12685108</v>
      </c>
      <c r="R155" s="1224">
        <v>40000</v>
      </c>
    </row>
    <row r="156" spans="2:18" ht="18.75" customHeight="1" thickBot="1">
      <c r="B156" s="2361"/>
      <c r="C156" s="2406" t="s">
        <v>4326</v>
      </c>
      <c r="D156" s="2475"/>
      <c r="E156" s="2475"/>
      <c r="F156" s="2475"/>
      <c r="G156" s="2475"/>
      <c r="H156" s="2476"/>
      <c r="I156" s="2476"/>
      <c r="J156" s="1907">
        <f>-(DTA!I9)</f>
        <v>-1615571.3057073609</v>
      </c>
      <c r="K156" s="2395">
        <f>K155+K145</f>
        <v>-873452.38214052026</v>
      </c>
      <c r="M156" s="1220">
        <v>442261</v>
      </c>
      <c r="N156" s="1212">
        <v>48000</v>
      </c>
    </row>
    <row r="157" spans="2:18">
      <c r="B157" s="2361"/>
      <c r="G157" s="222"/>
      <c r="H157" s="1888"/>
      <c r="I157" s="1888"/>
      <c r="J157" s="1900"/>
      <c r="K157" s="2369"/>
      <c r="M157" s="1220">
        <f>N145-M156</f>
        <v>248759</v>
      </c>
      <c r="N157" s="1212">
        <v>940700</v>
      </c>
    </row>
    <row r="158" spans="2:18" s="1244" customFormat="1" ht="24" customHeight="1">
      <c r="B158" s="2361"/>
      <c r="C158" s="2331"/>
      <c r="D158" s="2331"/>
      <c r="E158" s="2331"/>
      <c r="F158" s="2331"/>
      <c r="G158" s="2331"/>
      <c r="H158" s="1888"/>
      <c r="I158" s="1888"/>
      <c r="J158" s="1888"/>
      <c r="K158" s="2347"/>
      <c r="L158" s="1244">
        <v>9530</v>
      </c>
      <c r="M158" s="2573">
        <f>M157/2</f>
        <v>124379.5</v>
      </c>
    </row>
    <row r="159" spans="2:18" ht="16.8" thickBot="1">
      <c r="B159" s="2361">
        <f>B139+1</f>
        <v>12</v>
      </c>
      <c r="C159" s="222" t="s">
        <v>28</v>
      </c>
      <c r="H159" s="1888"/>
      <c r="I159" s="1888"/>
      <c r="J159" s="1888"/>
      <c r="K159" s="2353"/>
      <c r="L159" s="1212">
        <v>743926</v>
      </c>
    </row>
    <row r="160" spans="2:18" ht="16.8" thickBot="1">
      <c r="B160" s="2361"/>
      <c r="C160" s="3087" t="s">
        <v>1</v>
      </c>
      <c r="D160" s="3087"/>
      <c r="E160" s="3087"/>
      <c r="F160" s="3087"/>
      <c r="G160" s="3087"/>
      <c r="H160" s="3087"/>
      <c r="I160" s="2365"/>
      <c r="J160" s="1898" t="str">
        <f>J63</f>
        <v>As at 31st March 2023</v>
      </c>
      <c r="K160" s="2366" t="str">
        <f>K63</f>
        <v>As at 31st March 2022</v>
      </c>
      <c r="L160" s="1212">
        <v>5500</v>
      </c>
      <c r="N160" s="1212">
        <f>1/1000</f>
        <v>1E-3</v>
      </c>
    </row>
    <row r="161" spans="1:15">
      <c r="B161" s="2361"/>
      <c r="C161" s="3096" t="s">
        <v>243</v>
      </c>
      <c r="D161" s="3096"/>
      <c r="E161" s="3096"/>
      <c r="H161" s="1888"/>
      <c r="I161" s="1888"/>
      <c r="J161" s="1902"/>
      <c r="K161" s="2372"/>
      <c r="L161" s="1212">
        <v>286113</v>
      </c>
    </row>
    <row r="162" spans="1:15">
      <c r="B162" s="2361"/>
      <c r="C162" s="3183" t="s">
        <v>536</v>
      </c>
      <c r="D162" s="3183"/>
      <c r="E162" s="3183"/>
      <c r="H162" s="1888"/>
      <c r="I162" s="1888"/>
      <c r="J162" s="1888">
        <f>(SUMIF('Trial Balance FY 22-23'!G361:G378,Notes!C161,'Trial Balance FY 22-23'!E361:E378)-'Audit entries FY 22-23'!D98)</f>
        <v>74626865.699999988</v>
      </c>
      <c r="K162" s="2182">
        <f>72794.41*1000</f>
        <v>72794410</v>
      </c>
      <c r="L162" s="1212">
        <v>13150</v>
      </c>
    </row>
    <row r="163" spans="1:15" ht="27" customHeight="1">
      <c r="B163" s="2361"/>
      <c r="C163" s="3098" t="s">
        <v>1356</v>
      </c>
      <c r="D163" s="3098"/>
      <c r="E163" s="3098"/>
      <c r="F163" s="3098"/>
      <c r="G163" s="3098"/>
      <c r="H163" s="3098"/>
      <c r="I163" s="1888"/>
      <c r="J163" s="1888">
        <v>0</v>
      </c>
      <c r="K163" s="2182">
        <f>3492.8185*1000</f>
        <v>3492818.5</v>
      </c>
      <c r="L163" s="1212">
        <v>610587</v>
      </c>
    </row>
    <row r="164" spans="1:15" ht="69.75" customHeight="1">
      <c r="A164" s="958" t="s">
        <v>1558</v>
      </c>
      <c r="B164" s="2361"/>
      <c r="C164" s="3098" t="s">
        <v>549</v>
      </c>
      <c r="D164" s="3098"/>
      <c r="E164" s="3098"/>
      <c r="F164" s="3098"/>
      <c r="G164" s="3098"/>
      <c r="H164" s="3098"/>
      <c r="I164" s="1888"/>
      <c r="J164" s="1902"/>
      <c r="K164" s="2372"/>
      <c r="L164" s="1212">
        <v>328640</v>
      </c>
    </row>
    <row r="165" spans="1:15" ht="16.8" thickBot="1">
      <c r="A165" s="958" t="s">
        <v>1560</v>
      </c>
      <c r="B165" s="2361"/>
      <c r="C165" s="2405"/>
      <c r="D165" s="2405"/>
      <c r="E165" s="2405"/>
      <c r="F165" s="2405"/>
      <c r="G165" s="2408"/>
      <c r="H165" s="2408" t="s">
        <v>0</v>
      </c>
      <c r="I165" s="2464"/>
      <c r="J165" s="1894">
        <f>SUM(J162:J163)</f>
        <v>74626865.699999988</v>
      </c>
      <c r="K165" s="2357">
        <f>SUM(K162:K163)</f>
        <v>76287228.5</v>
      </c>
      <c r="L165" s="1220">
        <v>28582</v>
      </c>
    </row>
    <row r="166" spans="1:15">
      <c r="A166" s="958"/>
      <c r="B166" s="2361"/>
      <c r="H166" s="1888"/>
      <c r="I166" s="1888"/>
      <c r="J166" s="1888"/>
      <c r="K166" s="2347"/>
      <c r="L166" s="1220">
        <v>26509</v>
      </c>
      <c r="M166" s="1220">
        <f>L166+J163</f>
        <v>26509</v>
      </c>
    </row>
    <row r="167" spans="1:15">
      <c r="A167" s="958"/>
      <c r="B167" s="2361"/>
      <c r="H167" s="1888"/>
      <c r="I167" s="1888"/>
      <c r="J167" s="1888"/>
      <c r="K167" s="2347"/>
      <c r="L167" s="1220">
        <f>L166-J163</f>
        <v>26509</v>
      </c>
    </row>
    <row r="168" spans="1:15" ht="16.8" thickBot="1">
      <c r="A168" s="958"/>
      <c r="B168" s="2361">
        <f>B159+1</f>
        <v>13</v>
      </c>
      <c r="C168" s="222" t="s">
        <v>538</v>
      </c>
      <c r="H168" s="1888"/>
      <c r="I168" s="1888"/>
      <c r="J168" s="1888"/>
      <c r="K168" s="2353"/>
      <c r="L168" s="1220"/>
    </row>
    <row r="169" spans="1:15" ht="16.8" thickBot="1">
      <c r="A169" s="958"/>
      <c r="B169" s="2361"/>
      <c r="C169" s="3087" t="s">
        <v>1</v>
      </c>
      <c r="D169" s="3087"/>
      <c r="E169" s="3087"/>
      <c r="F169" s="3087"/>
      <c r="G169" s="3087"/>
      <c r="H169" s="3087"/>
      <c r="I169" s="2385"/>
      <c r="J169" s="1898" t="str">
        <f>J63</f>
        <v>As at 31st March 2023</v>
      </c>
      <c r="K169" s="2366" t="str">
        <f>K63</f>
        <v>As at 31st March 2022</v>
      </c>
      <c r="L169" s="1220"/>
    </row>
    <row r="170" spans="1:15">
      <c r="A170" s="958"/>
      <c r="B170" s="2361"/>
      <c r="H170" s="1888"/>
      <c r="I170" s="1888"/>
      <c r="J170" s="1888"/>
      <c r="K170" s="2347"/>
      <c r="L170" s="1220"/>
    </row>
    <row r="171" spans="1:15">
      <c r="A171" s="958"/>
      <c r="B171" s="2361"/>
      <c r="C171" s="2331" t="s">
        <v>537</v>
      </c>
      <c r="H171" s="1888"/>
      <c r="I171" s="1888"/>
      <c r="J171" s="1888">
        <f>(L171+30000000)</f>
        <v>77330000</v>
      </c>
      <c r="K171" s="2347">
        <f>25840*1000</f>
        <v>25840000</v>
      </c>
      <c r="L171" s="1220">
        <v>47330000</v>
      </c>
      <c r="N171" s="1212">
        <f>1/1000</f>
        <v>1E-3</v>
      </c>
    </row>
    <row r="172" spans="1:15" ht="16.8" thickBot="1">
      <c r="A172" s="958"/>
      <c r="B172" s="2361"/>
      <c r="C172" s="2405"/>
      <c r="D172" s="2405"/>
      <c r="E172" s="2405"/>
      <c r="F172" s="2405"/>
      <c r="G172" s="2405"/>
      <c r="H172" s="2408" t="s">
        <v>0</v>
      </c>
      <c r="I172" s="2464"/>
      <c r="J172" s="1894">
        <f>J171</f>
        <v>77330000</v>
      </c>
      <c r="K172" s="2357">
        <f>K171</f>
        <v>25840000</v>
      </c>
      <c r="L172" s="1220"/>
    </row>
    <row r="173" spans="1:15">
      <c r="A173" s="958"/>
      <c r="B173" s="2361"/>
      <c r="C173" s="222"/>
      <c r="H173" s="1888"/>
      <c r="I173" s="1888"/>
      <c r="J173" s="1888"/>
      <c r="K173" s="2347"/>
      <c r="L173" s="1220"/>
    </row>
    <row r="174" spans="1:15" ht="16.350000000000001" customHeight="1">
      <c r="B174" s="2361"/>
      <c r="C174" s="222"/>
      <c r="H174" s="1888"/>
      <c r="I174" s="1888"/>
      <c r="J174" s="1888"/>
      <c r="K174" s="2347"/>
      <c r="N174" s="1224">
        <f>SUM(R154:R165)</f>
        <v>50832436.719999999</v>
      </c>
      <c r="O174" s="1224">
        <f>J162-N174</f>
        <v>23794428.979999989</v>
      </c>
    </row>
    <row r="175" spans="1:15" ht="16.8" thickBot="1">
      <c r="B175" s="2361">
        <f>B168+1</f>
        <v>14</v>
      </c>
      <c r="C175" s="2408" t="s">
        <v>31</v>
      </c>
      <c r="D175" s="2405"/>
      <c r="E175" s="2405"/>
      <c r="F175" s="2405"/>
      <c r="G175" s="2405"/>
      <c r="H175" s="2464"/>
      <c r="I175" s="2464"/>
      <c r="J175" s="2464"/>
      <c r="K175" s="2353"/>
    </row>
    <row r="176" spans="1:15" ht="16.8" thickBot="1">
      <c r="B176" s="2361"/>
      <c r="C176" s="3087" t="s">
        <v>1</v>
      </c>
      <c r="D176" s="3087"/>
      <c r="E176" s="3087"/>
      <c r="F176" s="3087"/>
      <c r="G176" s="3087"/>
      <c r="H176" s="3087"/>
      <c r="I176" s="2365"/>
      <c r="J176" s="1898" t="str">
        <f>J63</f>
        <v>As at 31st March 2023</v>
      </c>
      <c r="K176" s="2366" t="str">
        <f>K63</f>
        <v>As at 31st March 2022</v>
      </c>
    </row>
    <row r="177" spans="1:14">
      <c r="B177" s="2361"/>
      <c r="C177" s="2469" t="s">
        <v>315</v>
      </c>
      <c r="H177" s="1888"/>
      <c r="I177" s="1888"/>
      <c r="J177" s="1902"/>
      <c r="K177" s="2372"/>
    </row>
    <row r="178" spans="1:14">
      <c r="B178" s="2361"/>
      <c r="C178" s="2469"/>
      <c r="D178" s="2331" t="s">
        <v>963</v>
      </c>
      <c r="H178" s="1888"/>
      <c r="I178" s="1888"/>
      <c r="J178" s="1888">
        <f>('Trial Balance FY 22-23'!E36-'Audit entries FY 22-23'!D87+'Audit entries FY 22-23'!C97-'Audit entries FY 22-23'!D94+'Audit entries FY 22-23'!C117)</f>
        <v>12929680.039999999</v>
      </c>
      <c r="K178" s="2182">
        <f>26336.82769*1000</f>
        <v>26336827.689999998</v>
      </c>
      <c r="L178" s="1220" t="s">
        <v>4015</v>
      </c>
      <c r="N178" s="1212">
        <f>1/1000</f>
        <v>1E-3</v>
      </c>
    </row>
    <row r="179" spans="1:14">
      <c r="B179" s="2361"/>
      <c r="C179" s="2469"/>
      <c r="D179" s="2331" t="s">
        <v>962</v>
      </c>
      <c r="H179" s="1888"/>
      <c r="I179" s="1888"/>
      <c r="J179" s="1888">
        <v>0</v>
      </c>
      <c r="K179" s="2182">
        <f>34236.11715*1000</f>
        <v>34236117.149999999</v>
      </c>
    </row>
    <row r="180" spans="1:14">
      <c r="B180" s="2361"/>
      <c r="H180" s="1888"/>
      <c r="I180" s="1888"/>
      <c r="J180" s="1888"/>
      <c r="K180" s="2347"/>
      <c r="L180" s="1220"/>
    </row>
    <row r="181" spans="1:14" ht="16.8" thickBot="1">
      <c r="B181" s="2361"/>
      <c r="C181" s="2405"/>
      <c r="D181" s="2405"/>
      <c r="E181" s="2405"/>
      <c r="F181" s="2405"/>
      <c r="G181" s="2405"/>
      <c r="H181" s="2408" t="s">
        <v>0</v>
      </c>
      <c r="I181" s="2464"/>
      <c r="J181" s="1894">
        <f>SUM(J178:J179)</f>
        <v>12929680.039999999</v>
      </c>
      <c r="K181" s="2357">
        <f>SUM(K178:K179)</f>
        <v>60572944.839999996</v>
      </c>
    </row>
    <row r="182" spans="1:14">
      <c r="B182" s="2361"/>
      <c r="H182" s="1888"/>
      <c r="I182" s="1888"/>
      <c r="J182" s="1888"/>
      <c r="K182" s="2347"/>
      <c r="L182" s="1239"/>
    </row>
    <row r="183" spans="1:14">
      <c r="B183" s="2361"/>
      <c r="G183" s="2331" t="s">
        <v>1158</v>
      </c>
      <c r="H183" s="1888"/>
      <c r="I183" s="1888"/>
      <c r="J183" s="1888"/>
      <c r="K183" s="2347"/>
    </row>
    <row r="184" spans="1:14" ht="16.8" thickBot="1">
      <c r="B184" s="2361">
        <f>B175+1</f>
        <v>15</v>
      </c>
      <c r="C184" s="222" t="s">
        <v>4327</v>
      </c>
      <c r="H184" s="1888"/>
      <c r="I184" s="1888"/>
      <c r="J184" s="1888"/>
      <c r="K184" s="2353"/>
    </row>
    <row r="185" spans="1:14" ht="16.8" thickBot="1">
      <c r="B185" s="2361"/>
      <c r="C185" s="3087" t="s">
        <v>1</v>
      </c>
      <c r="D185" s="3087"/>
      <c r="E185" s="3087"/>
      <c r="F185" s="3087"/>
      <c r="G185" s="3087"/>
      <c r="H185" s="3087"/>
      <c r="I185" s="2365"/>
      <c r="J185" s="1898" t="str">
        <f>J63</f>
        <v>As at 31st March 2023</v>
      </c>
      <c r="K185" s="2366" t="str">
        <f>K63</f>
        <v>As at 31st March 2022</v>
      </c>
    </row>
    <row r="186" spans="1:14">
      <c r="B186" s="2361"/>
      <c r="C186" s="3106" t="s">
        <v>3024</v>
      </c>
      <c r="D186" s="3107"/>
      <c r="E186" s="3107"/>
      <c r="H186" s="1888"/>
      <c r="I186" s="1888"/>
      <c r="J186" s="1888">
        <f>('Trial Balance FY 22-23'!E38+'Trial Balance FY 22-23'!E39)</f>
        <v>445211.75</v>
      </c>
      <c r="K186" s="2347">
        <f>271.13775*1000</f>
        <v>271137.75</v>
      </c>
      <c r="L186" s="1212" t="s">
        <v>3542</v>
      </c>
    </row>
    <row r="187" spans="1:14" ht="22.2">
      <c r="B187" s="2361"/>
      <c r="C187" s="3173" t="s">
        <v>3025</v>
      </c>
      <c r="D187" s="3173"/>
      <c r="E187" s="3173"/>
      <c r="H187" s="1888"/>
      <c r="I187" s="1888"/>
      <c r="J187" s="1888">
        <f>('Trial Balance FY 22-23'!E62-'Trial Balance FY 22-23'!E390-20000)+12</f>
        <v>6691863.8799999952</v>
      </c>
      <c r="K187" s="2347">
        <f>7279.64579999995*1000</f>
        <v>7279645.7999999505</v>
      </c>
      <c r="L187" s="1245">
        <v>6691852</v>
      </c>
      <c r="M187" s="1245"/>
    </row>
    <row r="188" spans="1:14" ht="22.2">
      <c r="A188" s="1212" t="s">
        <v>1561</v>
      </c>
      <c r="B188" s="2361"/>
      <c r="H188" s="1888"/>
      <c r="I188" s="1888"/>
      <c r="J188" s="1888"/>
      <c r="K188" s="2347"/>
      <c r="L188" s="1248">
        <f>J187-L187</f>
        <v>11.879999995231628</v>
      </c>
      <c r="M188" s="1245"/>
    </row>
    <row r="189" spans="1:14" ht="22.2">
      <c r="A189" s="958"/>
      <c r="B189" s="2361"/>
      <c r="C189" s="2331" t="s">
        <v>4354</v>
      </c>
      <c r="H189" s="1888"/>
      <c r="I189" s="1888"/>
      <c r="J189" s="1888"/>
      <c r="K189" s="2347"/>
      <c r="L189" s="1246"/>
      <c r="M189" s="1245"/>
    </row>
    <row r="190" spans="1:14" ht="22.2">
      <c r="B190" s="2361"/>
      <c r="C190" s="2497" t="s">
        <v>1119</v>
      </c>
      <c r="H190" s="1888"/>
      <c r="I190" s="1888"/>
      <c r="J190" s="1888">
        <f>(SUMIF('Trial Balance FY 22-23'!G42:G60,Notes!C190,'Trial Balance FY 22-23'!E42:E60))</f>
        <v>14093767.359999999</v>
      </c>
      <c r="K190" s="2347">
        <f>25922.02715*1000</f>
        <v>25922027.150000002</v>
      </c>
      <c r="L190" s="1245"/>
      <c r="M190" s="1245"/>
    </row>
    <row r="191" spans="1:14">
      <c r="B191" s="2361"/>
      <c r="C191" s="2497" t="s">
        <v>539</v>
      </c>
      <c r="H191" s="1888"/>
      <c r="I191" s="1888"/>
      <c r="J191" s="1888">
        <f>('Trial Balance FY 22-23'!E35+'Trial Balance FY 22-23'!E326+'Audit entries FY 22-23'!C52)</f>
        <v>57211389</v>
      </c>
      <c r="K191" s="2347">
        <f>68786.551*1000</f>
        <v>68786551</v>
      </c>
      <c r="L191" s="1247">
        <f>68786551+6840470</f>
        <v>75627021</v>
      </c>
    </row>
    <row r="192" spans="1:14">
      <c r="B192" s="2361"/>
      <c r="C192" s="2477"/>
      <c r="H192" s="1888"/>
      <c r="I192" s="1888"/>
      <c r="J192" s="1888"/>
      <c r="K192" s="2347"/>
      <c r="L192" s="1224"/>
    </row>
    <row r="193" spans="1:15">
      <c r="B193" s="2361"/>
      <c r="C193" s="222"/>
      <c r="D193" s="222"/>
      <c r="E193" s="222"/>
      <c r="F193" s="222"/>
      <c r="G193" s="222"/>
      <c r="H193" s="1900"/>
      <c r="I193" s="1900"/>
      <c r="J193" s="1899">
        <f>SUM(J186:J192)</f>
        <v>78442231.989999995</v>
      </c>
      <c r="K193" s="2367">
        <f>SUM(K186:K192)</f>
        <v>102259361.69999996</v>
      </c>
      <c r="L193" s="1224"/>
    </row>
    <row r="194" spans="1:15">
      <c r="B194" s="2361"/>
      <c r="C194" s="222"/>
      <c r="D194" s="222"/>
      <c r="E194" s="222"/>
      <c r="F194" s="222"/>
      <c r="G194" s="222"/>
      <c r="H194" s="1900"/>
      <c r="I194" s="1900"/>
      <c r="J194" s="1900"/>
      <c r="K194" s="2369"/>
      <c r="L194" s="1224"/>
    </row>
    <row r="195" spans="1:15" ht="22.2">
      <c r="B195" s="2361"/>
      <c r="C195" s="222" t="s">
        <v>1189</v>
      </c>
      <c r="D195" s="222"/>
      <c r="E195" s="222"/>
      <c r="F195" s="222"/>
      <c r="G195" s="222"/>
      <c r="H195" s="1900"/>
      <c r="I195" s="1900"/>
      <c r="J195" s="1900"/>
      <c r="K195" s="2369"/>
      <c r="L195" s="1245"/>
      <c r="M195" s="1245"/>
    </row>
    <row r="196" spans="1:15" ht="52.35" customHeight="1">
      <c r="A196" s="958" t="s">
        <v>1562</v>
      </c>
      <c r="B196" s="2361"/>
      <c r="C196" s="3098" t="s">
        <v>540</v>
      </c>
      <c r="D196" s="3098"/>
      <c r="E196" s="3098"/>
      <c r="F196" s="3098"/>
      <c r="G196" s="3098"/>
      <c r="H196" s="3098"/>
      <c r="I196" s="1900"/>
      <c r="J196" s="1900"/>
      <c r="K196" s="2369"/>
      <c r="L196" s="1245"/>
      <c r="M196" s="1245"/>
    </row>
    <row r="197" spans="1:15" ht="27.6" customHeight="1">
      <c r="A197" s="958" t="s">
        <v>1563</v>
      </c>
      <c r="B197" s="2361"/>
      <c r="C197" s="2485"/>
      <c r="D197" s="2485"/>
      <c r="E197" s="2485"/>
      <c r="F197" s="2485"/>
      <c r="G197" s="2485"/>
      <c r="H197" s="2485"/>
      <c r="I197" s="1900"/>
      <c r="J197" s="1900"/>
      <c r="K197" s="2369"/>
      <c r="L197" s="1229"/>
      <c r="M197" s="1245"/>
    </row>
    <row r="198" spans="1:15" ht="30.6" customHeight="1" thickBot="1">
      <c r="B198" s="2361"/>
      <c r="C198" s="3100" t="s">
        <v>1185</v>
      </c>
      <c r="D198" s="3100"/>
      <c r="E198" s="3100"/>
      <c r="F198" s="3100"/>
      <c r="G198" s="3100"/>
      <c r="H198" s="3100"/>
      <c r="I198" s="3100"/>
      <c r="J198" s="2464">
        <f>J190+J187+J186</f>
        <v>21230842.989999995</v>
      </c>
      <c r="K198" s="2464">
        <f>K190+K187+K186</f>
        <v>33472810.699999951</v>
      </c>
      <c r="L198" s="1245"/>
      <c r="M198" s="1245"/>
    </row>
    <row r="199" spans="1:15" ht="22.8" thickBot="1">
      <c r="B199" s="2431"/>
      <c r="C199" s="2405"/>
      <c r="D199" s="2405"/>
      <c r="E199" s="2405"/>
      <c r="F199" s="2405"/>
      <c r="G199" s="2405"/>
      <c r="H199" s="2464"/>
      <c r="I199" s="2464"/>
      <c r="J199" s="2464"/>
      <c r="K199" s="2386"/>
      <c r="L199" s="1245"/>
      <c r="M199" s="1246"/>
    </row>
    <row r="200" spans="1:15" ht="22.2">
      <c r="A200" s="958" t="s">
        <v>1566</v>
      </c>
      <c r="B200" s="2432"/>
      <c r="C200" s="2362"/>
      <c r="D200" s="2362"/>
      <c r="E200" s="2362"/>
      <c r="F200" s="2362"/>
      <c r="G200" s="2362"/>
      <c r="H200" s="1901"/>
      <c r="I200" s="1901"/>
      <c r="J200" s="1901"/>
      <c r="K200" s="2371"/>
      <c r="L200" s="1248"/>
      <c r="M200" s="1245"/>
    </row>
    <row r="201" spans="1:15" ht="22.8" thickBot="1">
      <c r="A201" s="958" t="s">
        <v>1568</v>
      </c>
      <c r="B201" s="2361">
        <f>B184+1</f>
        <v>16</v>
      </c>
      <c r="C201" s="222" t="s">
        <v>34</v>
      </c>
      <c r="H201" s="1888"/>
      <c r="I201" s="1888"/>
      <c r="J201" s="1888"/>
      <c r="K201" s="2353"/>
      <c r="L201" s="1229"/>
      <c r="M201" s="1245"/>
      <c r="O201" s="1220"/>
    </row>
    <row r="202" spans="1:15" ht="22.8" thickBot="1">
      <c r="B202" s="2361"/>
      <c r="C202" s="3087" t="s">
        <v>2206</v>
      </c>
      <c r="D202" s="3087"/>
      <c r="E202" s="3087"/>
      <c r="F202" s="3087"/>
      <c r="G202" s="3087"/>
      <c r="H202" s="3087"/>
      <c r="I202" s="2385"/>
      <c r="J202" s="1898" t="str">
        <f>J63</f>
        <v>As at 31st March 2023</v>
      </c>
      <c r="K202" s="2366" t="str">
        <f>K63</f>
        <v>As at 31st March 2022</v>
      </c>
      <c r="L202" s="1246"/>
      <c r="M202" s="1245"/>
    </row>
    <row r="203" spans="1:15" s="1219" customFormat="1" ht="22.2">
      <c r="B203" s="2361"/>
      <c r="C203" s="2331" t="s">
        <v>541</v>
      </c>
      <c r="D203" s="2331"/>
      <c r="E203" s="2331"/>
      <c r="F203" s="2331"/>
      <c r="G203" s="2331"/>
      <c r="H203" s="1888"/>
      <c r="I203" s="1888"/>
      <c r="J203" s="1888">
        <f>('Trial Balance FY 22-23'!E377)</f>
        <v>219789</v>
      </c>
      <c r="K203" s="2347">
        <f>3.307*1000</f>
        <v>3307</v>
      </c>
      <c r="L203" s="1249"/>
      <c r="M203" s="1248">
        <f>1/1000</f>
        <v>1E-3</v>
      </c>
      <c r="N203" s="1212"/>
      <c r="O203" s="1212"/>
    </row>
    <row r="204" spans="1:15" s="1219" customFormat="1" ht="22.2">
      <c r="B204" s="2361"/>
      <c r="C204" s="2498" t="s">
        <v>1120</v>
      </c>
      <c r="D204" s="2331"/>
      <c r="E204" s="2331"/>
      <c r="F204" s="2331"/>
      <c r="G204" s="2331"/>
      <c r="H204" s="1888"/>
      <c r="I204" s="1888"/>
      <c r="J204" s="1888">
        <f>(SUMIF('Sundry Creditors FY 22-23'!G16:G331,Notes!C204,'Sundry Creditors FY 22-23'!E16:E331)+'Audit entries FY 22-23'!C17+'Audit entries FY 22-23'!C19+'Audit entries FY 22-23'!C25+'Audit entries FY 22-23'!C34+'Audit entries FY 22-23'!C113+'Audit entries FY 22-23'!C89+SUM('Audit entries FY 22-23'!C12:C13)+'Audit entries FY 22-23'!C15+SUM('Audit entries FY 22-23'!C21:C23)+'Audit entries FY 22-23'!C26+SUM('Audit entries FY 22-23'!C28:C29)+'Audit entries FY 22-23'!C32)</f>
        <v>41443124.223559327</v>
      </c>
      <c r="K204" s="2182">
        <f>4319.9408*1000</f>
        <v>4319940.8000000007</v>
      </c>
      <c r="L204" s="1245"/>
      <c r="M204" s="1245">
        <v>7752161</v>
      </c>
      <c r="N204" s="1212"/>
      <c r="O204" s="1212"/>
    </row>
    <row r="205" spans="1:15" s="1219" customFormat="1" ht="22.2">
      <c r="B205" s="2361"/>
      <c r="C205" s="2498" t="s">
        <v>1121</v>
      </c>
      <c r="D205" s="2331"/>
      <c r="E205" s="2331"/>
      <c r="F205" s="2331"/>
      <c r="G205" s="2331"/>
      <c r="H205" s="1888"/>
      <c r="I205" s="1888"/>
      <c r="J205" s="1888">
        <f>('Trial Balance FY 22-23'!E34+'Sundry Creditors FY 22-23'!E36+'Audit entries FY 22-23'!D127)</f>
        <v>2263775</v>
      </c>
      <c r="K205" s="2347">
        <f>2383.775*1000</f>
        <v>2383775</v>
      </c>
      <c r="L205" s="1245"/>
      <c r="M205" s="1251">
        <f>M204+J210</f>
        <v>11552161</v>
      </c>
      <c r="N205" s="1218">
        <f>M211-M205</f>
        <v>-426011</v>
      </c>
      <c r="O205" s="1212"/>
    </row>
    <row r="206" spans="1:15" s="1219" customFormat="1" ht="34.5" hidden="1" customHeight="1">
      <c r="B206" s="2361"/>
      <c r="C206" s="2331"/>
      <c r="D206" s="2331"/>
      <c r="E206" s="2331"/>
      <c r="F206" s="2331"/>
      <c r="G206" s="2331"/>
      <c r="H206" s="1888"/>
      <c r="I206" s="1888"/>
      <c r="J206" s="1888">
        <v>0</v>
      </c>
      <c r="K206" s="2347">
        <v>0</v>
      </c>
      <c r="L206" s="1248"/>
      <c r="M206" s="1251"/>
      <c r="N206" s="1212"/>
      <c r="O206" s="1212"/>
    </row>
    <row r="207" spans="1:15" s="1219" customFormat="1">
      <c r="B207" s="2361"/>
      <c r="C207" s="2499" t="s">
        <v>1171</v>
      </c>
      <c r="D207" s="2500"/>
      <c r="E207" s="2500"/>
      <c r="F207" s="2331"/>
      <c r="G207" s="2331"/>
      <c r="H207" s="1888"/>
      <c r="I207" s="1888"/>
      <c r="J207" s="1888"/>
      <c r="K207" s="2347"/>
      <c r="M207" s="1221"/>
      <c r="N207" s="1212"/>
      <c r="O207" s="1212"/>
    </row>
    <row r="208" spans="1:15" ht="21.6" customHeight="1">
      <c r="B208" s="2361"/>
      <c r="C208" s="2498" t="s">
        <v>1878</v>
      </c>
      <c r="H208" s="1888"/>
      <c r="I208" s="1888"/>
      <c r="J208" s="1888">
        <f>('Trial Balance FY 22-23'!E364+'Audit entries FY 22-23'!C42+'Audit entries FY 22-23'!C93)</f>
        <v>12510127.4</v>
      </c>
      <c r="K208" s="2347">
        <f>10121.4724*1000</f>
        <v>10121472.4</v>
      </c>
      <c r="L208" s="1212" t="s">
        <v>2144</v>
      </c>
      <c r="M208" s="1219">
        <v>4506229.68</v>
      </c>
      <c r="O208" s="1226">
        <f>O214-M208</f>
        <v>2371108.5200000005</v>
      </c>
    </row>
    <row r="209" spans="1:22" ht="21.6" customHeight="1">
      <c r="B209" s="2361"/>
      <c r="C209" s="2498" t="s">
        <v>4174</v>
      </c>
      <c r="H209" s="1888"/>
      <c r="I209" s="1888"/>
      <c r="J209" s="1888">
        <f>('Audit entries FY 22-23'!C37)</f>
        <v>172218</v>
      </c>
      <c r="K209" s="2347">
        <v>0</v>
      </c>
      <c r="M209" s="1219"/>
      <c r="O209" s="1226"/>
    </row>
    <row r="210" spans="1:22">
      <c r="B210" s="2361"/>
      <c r="C210" s="3101" t="s">
        <v>230</v>
      </c>
      <c r="D210" s="3101"/>
      <c r="E210" s="3101"/>
      <c r="H210" s="1888"/>
      <c r="I210" s="1888"/>
      <c r="J210" s="1888">
        <f>('Trial Balance FY 22-23'!E365)</f>
        <v>3800000</v>
      </c>
      <c r="K210" s="2347">
        <f>3616*1000</f>
        <v>3616000</v>
      </c>
    </row>
    <row r="211" spans="1:22">
      <c r="B211" s="2361"/>
      <c r="C211" s="2500" t="s">
        <v>3464</v>
      </c>
      <c r="D211" s="2500"/>
      <c r="E211" s="2500"/>
      <c r="H211" s="1888"/>
      <c r="I211" s="1888"/>
      <c r="J211" s="1941">
        <v>0</v>
      </c>
      <c r="K211" s="2347">
        <f>4861.273*1000</f>
        <v>4861273</v>
      </c>
      <c r="L211" s="1220"/>
      <c r="M211" s="1224">
        <v>11126150</v>
      </c>
      <c r="N211" s="1218">
        <f>M211-J208-J210</f>
        <v>-5183977.4000000004</v>
      </c>
    </row>
    <row r="212" spans="1:22" ht="16.8" thickBot="1">
      <c r="B212" s="2361"/>
      <c r="C212" s="2405"/>
      <c r="D212" s="2405"/>
      <c r="E212" s="2405"/>
      <c r="F212" s="2405"/>
      <c r="G212" s="2405"/>
      <c r="H212" s="2464"/>
      <c r="I212" s="2464"/>
      <c r="J212" s="1894">
        <f>SUM(J203:J211)</f>
        <v>60409033.623559326</v>
      </c>
      <c r="K212" s="2357">
        <f>SUM(K203:K211)</f>
        <v>25305768.200000003</v>
      </c>
    </row>
    <row r="213" spans="1:22" ht="16.8" thickBot="1">
      <c r="B213" s="2361"/>
      <c r="C213" s="3096"/>
      <c r="D213" s="3096"/>
      <c r="E213" s="3096"/>
      <c r="F213" s="3096"/>
      <c r="G213" s="3096"/>
      <c r="H213" s="3096"/>
      <c r="I213" s="3096"/>
      <c r="J213" s="3096"/>
      <c r="K213" s="3097"/>
    </row>
    <row r="214" spans="1:22" ht="22.2">
      <c r="B214" s="2361"/>
      <c r="C214" s="3098"/>
      <c r="D214" s="3098"/>
      <c r="E214" s="3098"/>
      <c r="F214" s="3098"/>
      <c r="G214" s="3098"/>
      <c r="H214" s="3098"/>
      <c r="I214" s="3098"/>
      <c r="J214" s="3098"/>
      <c r="K214" s="3099"/>
      <c r="L214" s="1438" t="s">
        <v>2401</v>
      </c>
      <c r="M214" s="1252"/>
      <c r="N214" s="1219"/>
      <c r="O214" s="1179">
        <f>6877338.2</f>
        <v>6877338.2000000002</v>
      </c>
    </row>
    <row r="215" spans="1:22" ht="22.2">
      <c r="A215" s="958" t="s">
        <v>1571</v>
      </c>
      <c r="B215" s="2361"/>
      <c r="H215" s="1888"/>
      <c r="I215" s="1888"/>
      <c r="J215" s="1900"/>
      <c r="K215" s="2369"/>
      <c r="L215" s="1245" t="s">
        <v>2402</v>
      </c>
      <c r="M215" s="1253">
        <v>176734</v>
      </c>
      <c r="O215" s="958"/>
      <c r="P215" s="1219"/>
      <c r="Q215" s="1219"/>
    </row>
    <row r="216" spans="1:22" ht="22.8" thickBot="1">
      <c r="A216" s="958" t="s">
        <v>1573</v>
      </c>
      <c r="B216" s="2361">
        <f>B201+1</f>
        <v>17</v>
      </c>
      <c r="C216" s="222" t="s">
        <v>552</v>
      </c>
      <c r="H216" s="1888"/>
      <c r="I216" s="1888"/>
      <c r="J216" s="1900"/>
      <c r="K216" s="2353"/>
      <c r="L216" s="1245" t="s">
        <v>2403</v>
      </c>
      <c r="M216" s="1253"/>
      <c r="O216" s="1228"/>
      <c r="P216" s="1224"/>
    </row>
    <row r="217" spans="1:22" ht="22.8" thickBot="1">
      <c r="A217" s="958" t="s">
        <v>1575</v>
      </c>
      <c r="B217" s="2361"/>
      <c r="C217" s="3087" t="s">
        <v>1</v>
      </c>
      <c r="D217" s="3087"/>
      <c r="E217" s="3087"/>
      <c r="F217" s="3087"/>
      <c r="G217" s="3087"/>
      <c r="H217" s="3087"/>
      <c r="I217" s="2385"/>
      <c r="J217" s="1898" t="str">
        <f>J63</f>
        <v>As at 31st March 2023</v>
      </c>
      <c r="K217" s="2366" t="str">
        <f>K63</f>
        <v>As at 31st March 2022</v>
      </c>
      <c r="L217" s="1245" t="s">
        <v>2416</v>
      </c>
      <c r="M217" s="1253"/>
      <c r="T217" s="1228"/>
      <c r="U217" s="1250" t="s">
        <v>1121</v>
      </c>
    </row>
    <row r="218" spans="1:22" ht="21" hidden="1" customHeight="1">
      <c r="B218" s="2361"/>
      <c r="C218" s="3096" t="s">
        <v>237</v>
      </c>
      <c r="D218" s="3096"/>
      <c r="E218" s="3096"/>
      <c r="H218" s="1888"/>
      <c r="I218" s="1888"/>
      <c r="J218" s="1900"/>
      <c r="K218" s="2369"/>
      <c r="L218" s="1245" t="s">
        <v>2417</v>
      </c>
      <c r="M218" s="1253"/>
      <c r="U218" s="1212">
        <v>2275</v>
      </c>
    </row>
    <row r="219" spans="1:22" ht="21" customHeight="1">
      <c r="B219" s="2434"/>
      <c r="C219" s="3098" t="s">
        <v>4328</v>
      </c>
      <c r="D219" s="3098"/>
      <c r="E219" s="3098"/>
      <c r="F219" s="3098"/>
      <c r="G219" s="2477"/>
      <c r="H219" s="2387"/>
      <c r="I219" s="2387"/>
      <c r="J219" s="1888">
        <f>('Trial Balance FY 22-23'!E61-'Audit entries FY 22-23'!D53-'Audit entries FY 22-23'!D56+'Audit entries FY 22-23'!C100)</f>
        <v>2621516</v>
      </c>
      <c r="K219" s="1988">
        <f>6840.47*1000</f>
        <v>6840470</v>
      </c>
      <c r="L219" s="1245" t="s">
        <v>2418</v>
      </c>
      <c r="M219" s="1253">
        <f>3155764.6+7969523.5+3123374</f>
        <v>14248662.1</v>
      </c>
      <c r="T219" s="1220"/>
      <c r="U219" s="1212">
        <v>175000</v>
      </c>
    </row>
    <row r="220" spans="1:22" ht="22.2">
      <c r="B220" s="2434"/>
      <c r="C220" s="3185" t="s">
        <v>4183</v>
      </c>
      <c r="D220" s="3185"/>
      <c r="E220" s="2485"/>
      <c r="F220" s="2485"/>
      <c r="G220" s="2477"/>
      <c r="H220" s="2387"/>
      <c r="I220" s="2387"/>
      <c r="J220" s="1888">
        <f>('Audit entries FY 22-23'!C58)</f>
        <v>283200</v>
      </c>
      <c r="K220" s="1988">
        <v>0</v>
      </c>
      <c r="L220" s="1245"/>
      <c r="M220" s="1253"/>
      <c r="O220" s="1212">
        <f>1/1000</f>
        <v>1E-3</v>
      </c>
      <c r="T220" s="1220"/>
    </row>
    <row r="221" spans="1:22" ht="21" customHeight="1">
      <c r="A221" s="958" t="s">
        <v>1577</v>
      </c>
      <c r="B221" s="2434"/>
      <c r="C221" s="3098" t="s">
        <v>4329</v>
      </c>
      <c r="D221" s="3098"/>
      <c r="E221" s="3098"/>
      <c r="F221" s="3098"/>
      <c r="G221" s="2477"/>
      <c r="H221" s="2387"/>
      <c r="I221" s="2387"/>
      <c r="J221" s="2055">
        <f>('Trial Balance FY 22-23'!E33)</f>
        <v>1210432</v>
      </c>
      <c r="K221" s="2388">
        <f>1210.432*1000</f>
        <v>1210432</v>
      </c>
      <c r="L221" s="1212" t="s">
        <v>3542</v>
      </c>
      <c r="M221" s="1253"/>
      <c r="T221" s="1231">
        <v>8943429</v>
      </c>
      <c r="U221" s="1224">
        <v>7066</v>
      </c>
    </row>
    <row r="222" spans="1:22" ht="22.8" thickBot="1">
      <c r="A222" s="958" t="s">
        <v>1579</v>
      </c>
      <c r="B222" s="2361"/>
      <c r="C222" s="2405"/>
      <c r="D222" s="2405"/>
      <c r="E222" s="2405"/>
      <c r="F222" s="2405"/>
      <c r="G222" s="2405"/>
      <c r="H222" s="2464"/>
      <c r="I222" s="2464"/>
      <c r="J222" s="1894">
        <f>SUM(J219:J221)</f>
        <v>4115148</v>
      </c>
      <c r="K222" s="2357">
        <f>SUM(K219:K221)</f>
        <v>8050902</v>
      </c>
      <c r="L222" s="1439" t="s">
        <v>2404</v>
      </c>
      <c r="M222" s="1253"/>
      <c r="T222" s="1224"/>
      <c r="U222" s="1212">
        <v>76500</v>
      </c>
      <c r="V222" s="1218"/>
    </row>
    <row r="223" spans="1:22" ht="22.2">
      <c r="A223" s="958"/>
      <c r="B223" s="2361"/>
      <c r="H223" s="1888"/>
      <c r="I223" s="1888"/>
      <c r="J223" s="1888"/>
      <c r="K223" s="2347"/>
      <c r="L223" s="1439"/>
      <c r="M223" s="1253"/>
      <c r="T223" s="1224"/>
      <c r="V223" s="1218"/>
    </row>
    <row r="224" spans="1:22" ht="22.2">
      <c r="B224" s="2361"/>
      <c r="H224" s="1888"/>
      <c r="I224" s="1888"/>
      <c r="J224" s="1888"/>
      <c r="K224" s="2347"/>
      <c r="L224" s="1439" t="s">
        <v>2405</v>
      </c>
      <c r="M224" s="1253"/>
      <c r="T224" s="1255"/>
      <c r="U224" s="1212">
        <v>525000</v>
      </c>
    </row>
    <row r="225" spans="2:22" ht="22.8" thickBot="1">
      <c r="B225" s="2361">
        <f>B216+1</f>
        <v>18</v>
      </c>
      <c r="C225" s="222" t="s">
        <v>52</v>
      </c>
      <c r="H225" s="1888"/>
      <c r="I225" s="1888"/>
      <c r="J225" s="1888"/>
      <c r="K225" s="2353"/>
      <c r="L225" s="1439" t="s">
        <v>2406</v>
      </c>
      <c r="M225" s="1253"/>
      <c r="T225" s="1255"/>
    </row>
    <row r="226" spans="2:22" ht="22.8" thickBot="1">
      <c r="B226" s="2361"/>
      <c r="C226" s="3087" t="s">
        <v>1</v>
      </c>
      <c r="D226" s="3087"/>
      <c r="E226" s="3087"/>
      <c r="F226" s="3087"/>
      <c r="G226" s="3087"/>
      <c r="H226" s="3087"/>
      <c r="I226" s="2385"/>
      <c r="J226" s="1898" t="str">
        <f>J234</f>
        <v>For the year 2022-23</v>
      </c>
      <c r="K226" s="2366" t="str">
        <f>K234</f>
        <v>For the year 2021-22</v>
      </c>
      <c r="L226" s="1439" t="s">
        <v>2407</v>
      </c>
      <c r="M226" s="1253"/>
      <c r="T226" s="1255"/>
    </row>
    <row r="227" spans="2:22" ht="22.2">
      <c r="B227" s="2361"/>
      <c r="C227" s="3103" t="s">
        <v>292</v>
      </c>
      <c r="D227" s="3103"/>
      <c r="E227" s="3103"/>
      <c r="F227" s="3103"/>
      <c r="H227" s="1888"/>
      <c r="I227" s="1888"/>
      <c r="J227" s="1888"/>
      <c r="K227" s="2347"/>
      <c r="L227" s="1439" t="s">
        <v>2408</v>
      </c>
      <c r="M227" s="1253"/>
      <c r="T227" s="1255"/>
    </row>
    <row r="228" spans="2:22" ht="22.2">
      <c r="B228" s="2361"/>
      <c r="C228" s="3184" t="s">
        <v>293</v>
      </c>
      <c r="D228" s="3184"/>
      <c r="E228" s="3184"/>
      <c r="F228" s="3184"/>
      <c r="G228" s="3184"/>
      <c r="H228" s="1888"/>
      <c r="I228" s="1888"/>
      <c r="J228" s="1888">
        <f>('Trial Balance FY 22-23'!E173)</f>
        <v>415774226.06</v>
      </c>
      <c r="K228" s="2182">
        <f>351687.70804*1000</f>
        <v>351687708.04000002</v>
      </c>
      <c r="L228" s="1439" t="s">
        <v>2409</v>
      </c>
      <c r="M228" s="1253"/>
      <c r="T228" s="1255"/>
    </row>
    <row r="229" spans="2:22" ht="22.2">
      <c r="B229" s="2361"/>
      <c r="C229" s="2501"/>
      <c r="H229" s="1888"/>
      <c r="I229" s="1888"/>
      <c r="J229" s="1888"/>
      <c r="K229" s="2347"/>
      <c r="L229" s="1439" t="s">
        <v>2410</v>
      </c>
      <c r="M229" s="1253"/>
      <c r="T229" s="1255"/>
    </row>
    <row r="230" spans="2:22" ht="22.8" thickBot="1">
      <c r="B230" s="2361"/>
      <c r="C230" s="2405"/>
      <c r="D230" s="2405"/>
      <c r="E230" s="2405"/>
      <c r="F230" s="2405"/>
      <c r="G230" s="2404" t="s">
        <v>0</v>
      </c>
      <c r="H230" s="2464"/>
      <c r="I230" s="2464"/>
      <c r="J230" s="1894">
        <f>SUM(J228:J229)</f>
        <v>415774226.06</v>
      </c>
      <c r="K230" s="2357">
        <f>K228</f>
        <v>351687708.04000002</v>
      </c>
      <c r="L230" s="1440" t="s">
        <v>2411</v>
      </c>
      <c r="M230" s="1253">
        <f>2275+175000+7066+76500+525000+10000+1718775</f>
        <v>2514616</v>
      </c>
      <c r="T230" s="1224"/>
      <c r="U230" s="1224">
        <v>10000</v>
      </c>
    </row>
    <row r="231" spans="2:22" ht="22.2">
      <c r="B231" s="2361"/>
      <c r="H231" s="1888"/>
      <c r="I231" s="1888"/>
      <c r="J231" s="1888"/>
      <c r="K231" s="2347"/>
      <c r="L231" s="1245" t="s">
        <v>921</v>
      </c>
      <c r="M231" s="1253"/>
      <c r="T231" s="1224"/>
      <c r="U231" s="1224"/>
    </row>
    <row r="232" spans="2:22" ht="22.2">
      <c r="B232" s="2361"/>
      <c r="H232" s="1888"/>
      <c r="I232" s="1888"/>
      <c r="J232" s="1888"/>
      <c r="K232" s="2347"/>
      <c r="L232" s="1245" t="s">
        <v>2419</v>
      </c>
      <c r="M232" s="1253">
        <v>8943429.5299999993</v>
      </c>
      <c r="P232" s="1212" t="s">
        <v>3028</v>
      </c>
      <c r="T232" s="1224"/>
      <c r="U232" s="1224"/>
    </row>
    <row r="233" spans="2:22" ht="22.8" thickBot="1">
      <c r="B233" s="2361">
        <f>B225+1</f>
        <v>19</v>
      </c>
      <c r="C233" s="222" t="s">
        <v>53</v>
      </c>
      <c r="H233" s="1888"/>
      <c r="I233" s="1888"/>
      <c r="J233" s="1888"/>
      <c r="K233" s="2353"/>
      <c r="L233" s="1245" t="s">
        <v>2138</v>
      </c>
      <c r="M233" s="1253"/>
      <c r="P233" s="1212">
        <v>35000</v>
      </c>
      <c r="T233" s="1224"/>
      <c r="U233" s="1224"/>
    </row>
    <row r="234" spans="2:22" ht="22.8" thickBot="1">
      <c r="B234" s="2361"/>
      <c r="C234" s="3087" t="s">
        <v>1</v>
      </c>
      <c r="D234" s="3087"/>
      <c r="E234" s="3087"/>
      <c r="F234" s="3087"/>
      <c r="G234" s="3087"/>
      <c r="H234" s="3087"/>
      <c r="I234" s="2385"/>
      <c r="J234" s="1898" t="s">
        <v>4320</v>
      </c>
      <c r="K234" s="2366" t="s">
        <v>4321</v>
      </c>
      <c r="L234" s="1245" t="s">
        <v>2420</v>
      </c>
      <c r="M234" s="1253">
        <v>6136000</v>
      </c>
      <c r="P234" s="1212">
        <f>35000*5%</f>
        <v>1750</v>
      </c>
      <c r="T234" s="1224"/>
      <c r="U234" s="1224"/>
    </row>
    <row r="235" spans="2:22" ht="22.8" thickBot="1">
      <c r="B235" s="2361"/>
      <c r="C235" s="2331" t="s">
        <v>276</v>
      </c>
      <c r="H235" s="1888"/>
      <c r="I235" s="1888"/>
      <c r="J235" s="1888">
        <f>('Trial Balance FY 22-23'!E263-'Audit entries FY 22-23'!C55)</f>
        <v>3323836</v>
      </c>
      <c r="K235" s="2182">
        <f>4642.716*1000</f>
        <v>4642716</v>
      </c>
      <c r="L235" s="1245"/>
      <c r="M235" s="1256">
        <f>SUM(M214:M234)</f>
        <v>32019441.630000003</v>
      </c>
      <c r="P235" s="1212">
        <f>P233+P234</f>
        <v>36750</v>
      </c>
      <c r="T235" s="1224"/>
      <c r="U235" s="1224"/>
    </row>
    <row r="236" spans="2:22" ht="22.8" thickTop="1">
      <c r="B236" s="2361"/>
      <c r="C236" s="2331" t="s">
        <v>3595</v>
      </c>
      <c r="H236" s="1888"/>
      <c r="I236" s="1888"/>
      <c r="J236" s="1888">
        <f>('Trial Balance FY 22-23'!E380)</f>
        <v>548190</v>
      </c>
      <c r="K236" s="2182">
        <f>3523.64652*1000</f>
        <v>3523646.5199999996</v>
      </c>
      <c r="L236" s="1245"/>
      <c r="M236" s="1245"/>
      <c r="T236" s="1224"/>
      <c r="U236" s="1224"/>
    </row>
    <row r="237" spans="2:22" ht="22.2">
      <c r="B237" s="2361"/>
      <c r="C237" s="2331" t="s">
        <v>4199</v>
      </c>
      <c r="H237" s="1888"/>
      <c r="I237" s="1888"/>
      <c r="J237" s="1888">
        <f>('Audit entries FY 22-23'!D71)</f>
        <v>216704</v>
      </c>
      <c r="K237" s="2182">
        <v>0</v>
      </c>
      <c r="L237" s="1245"/>
      <c r="M237" s="1245"/>
      <c r="T237" s="1224"/>
      <c r="U237" s="1224"/>
    </row>
    <row r="238" spans="2:22" ht="22.2">
      <c r="B238" s="2361"/>
      <c r="C238" s="2331" t="s">
        <v>46</v>
      </c>
      <c r="H238" s="1888"/>
      <c r="I238" s="1888"/>
      <c r="J238" s="1888">
        <f>('Trial Balance FY 22-23'!E264)</f>
        <v>612503.19999999995</v>
      </c>
      <c r="K238" s="2459">
        <f>4.672*1000</f>
        <v>4672</v>
      </c>
      <c r="L238" s="1245"/>
      <c r="M238" s="1257"/>
      <c r="T238" s="1224"/>
      <c r="U238" s="1218">
        <f>SUM(U218:U230)</f>
        <v>795841</v>
      </c>
    </row>
    <row r="239" spans="2:22" ht="16.8" thickBot="1">
      <c r="B239" s="2361"/>
      <c r="C239" s="2405"/>
      <c r="D239" s="2405"/>
      <c r="E239" s="2405"/>
      <c r="F239" s="2405"/>
      <c r="G239" s="2404" t="s">
        <v>0</v>
      </c>
      <c r="H239" s="2464"/>
      <c r="I239" s="2464"/>
      <c r="J239" s="1894">
        <f>SUM(J235:J238)</f>
        <v>4701233.2</v>
      </c>
      <c r="K239" s="2357">
        <f>SUM(K235:K238)</f>
        <v>8171034.5199999996</v>
      </c>
      <c r="M239" s="1258"/>
      <c r="T239" s="1224"/>
    </row>
    <row r="240" spans="2:22">
      <c r="B240" s="2361"/>
      <c r="H240" s="1888"/>
      <c r="I240" s="1888"/>
      <c r="J240" s="1888"/>
      <c r="K240" s="2347"/>
      <c r="M240" s="1258"/>
      <c r="T240" s="1224"/>
      <c r="U240" s="1212">
        <v>1718775</v>
      </c>
      <c r="V240" s="1212" t="s">
        <v>2396</v>
      </c>
    </row>
    <row r="241" spans="1:21">
      <c r="B241" s="2361"/>
      <c r="H241" s="1888"/>
      <c r="I241" s="1888"/>
      <c r="J241" s="1888"/>
      <c r="K241" s="2347"/>
      <c r="M241" s="1258"/>
      <c r="U241" s="1218">
        <f>U238+U239+U240</f>
        <v>2514616</v>
      </c>
    </row>
    <row r="242" spans="1:21" s="1254" customFormat="1" ht="22.8" thickBot="1">
      <c r="A242" s="958" t="s">
        <v>1581</v>
      </c>
      <c r="B242" s="2361">
        <f>B233+1</f>
        <v>20</v>
      </c>
      <c r="C242" s="222" t="s">
        <v>553</v>
      </c>
      <c r="D242" s="2331"/>
      <c r="E242" s="2331"/>
      <c r="F242" s="2331"/>
      <c r="G242" s="2331"/>
      <c r="H242" s="1888"/>
      <c r="I242" s="1888"/>
      <c r="J242" s="1888"/>
      <c r="K242" s="2353"/>
      <c r="L242" s="1441" t="s">
        <v>40</v>
      </c>
      <c r="M242" s="1259"/>
      <c r="T242" s="1260" t="s">
        <v>2367</v>
      </c>
      <c r="U242" s="1260"/>
    </row>
    <row r="243" spans="1:21" s="1254" customFormat="1" ht="22.8" thickBot="1">
      <c r="B243" s="2361"/>
      <c r="C243" s="3087" t="s">
        <v>1</v>
      </c>
      <c r="D243" s="3087"/>
      <c r="E243" s="3087"/>
      <c r="F243" s="3087"/>
      <c r="G243" s="3087"/>
      <c r="H243" s="3087"/>
      <c r="I243" s="2365"/>
      <c r="J243" s="1898" t="str">
        <f>J234</f>
        <v>For the year 2022-23</v>
      </c>
      <c r="K243" s="2366" t="str">
        <f>K234</f>
        <v>For the year 2021-22</v>
      </c>
      <c r="L243" s="1245" t="s">
        <v>2412</v>
      </c>
      <c r="M243" s="1261">
        <v>5610702</v>
      </c>
    </row>
    <row r="244" spans="1:21" ht="22.8" thickBot="1">
      <c r="B244" s="2361"/>
      <c r="C244" s="2331" t="s">
        <v>295</v>
      </c>
      <c r="H244" s="1888"/>
      <c r="I244" s="1888"/>
      <c r="J244" s="1888">
        <f>(SUM('Trial Balance FY 22-23'!E175:E217)-'Trial Balance FY 22-23'!E207-'Trial Balance FY 22-23'!E207+'Audit entries FY 22-23'!C82-'Audit entries FY 22-23'!D38-'Audit entries FY 22-23'!D39-'Audit entries FY 22-23'!D40-'Audit entries FY 22-23'!D114-'Audit entries FY 22-23'!D115+'Audit entries FY 22-23'!C73+'Audit entries FY 22-23'!C124-'Audit entries FY 22-23'!D125)</f>
        <v>132712360.55118644</v>
      </c>
      <c r="K244" s="2347">
        <f>87984.72*1000</f>
        <v>87984720</v>
      </c>
      <c r="L244" s="1442"/>
      <c r="M244" s="1262"/>
      <c r="N244" s="1212">
        <f>1/1000</f>
        <v>1E-3</v>
      </c>
    </row>
    <row r="245" spans="1:21">
      <c r="B245" s="2361"/>
      <c r="C245" s="2331" t="s">
        <v>214</v>
      </c>
      <c r="H245" s="1888"/>
      <c r="I245" s="1888"/>
      <c r="J245" s="1888">
        <f>(SUM('Trial Balance FY 22-23'!E220:E241))</f>
        <v>156824498.62</v>
      </c>
      <c r="K245" s="2347">
        <f>119342.7258*1000</f>
        <v>119342725.8</v>
      </c>
    </row>
    <row r="246" spans="1:21">
      <c r="B246" s="2361"/>
      <c r="C246" s="2331" t="s">
        <v>542</v>
      </c>
      <c r="H246" s="1888"/>
      <c r="I246" s="1888"/>
      <c r="J246" s="1888">
        <f>(SUMIF('Trial Balance FY 22-23'!G245:G261,Notes!C246,'Trial Balance FY 22-23'!E245:E261)+'Trial Balance FY 22-23'!E244)</f>
        <v>47673806.859999999</v>
      </c>
      <c r="K246" s="2347">
        <f>34108.41617*1000</f>
        <v>34108416.169999994</v>
      </c>
    </row>
    <row r="247" spans="1:21" ht="16.8" thickBot="1">
      <c r="B247" s="2361"/>
      <c r="C247" s="2405"/>
      <c r="D247" s="2405"/>
      <c r="E247" s="2405"/>
      <c r="F247" s="2405"/>
      <c r="G247" s="2408" t="s">
        <v>0</v>
      </c>
      <c r="H247" s="2464"/>
      <c r="I247" s="2464"/>
      <c r="J247" s="1894">
        <f>SUM(J244:J246)</f>
        <v>337210666.03118646</v>
      </c>
      <c r="K247" s="2357">
        <f>SUM(K244:K246)</f>
        <v>241435861.97</v>
      </c>
    </row>
    <row r="248" spans="1:21" ht="22.2">
      <c r="B248" s="2361"/>
      <c r="H248" s="1888"/>
      <c r="I248" s="1888"/>
      <c r="J248" s="1888"/>
      <c r="K248" s="2347"/>
      <c r="L248" s="1438"/>
      <c r="M248" s="1252"/>
    </row>
    <row r="249" spans="1:21" ht="8.25" customHeight="1" thickBot="1">
      <c r="B249" s="2431"/>
      <c r="C249" s="2405"/>
      <c r="D249" s="2405"/>
      <c r="E249" s="2405"/>
      <c r="F249" s="2405"/>
      <c r="G249" s="2405"/>
      <c r="H249" s="2464"/>
      <c r="I249" s="2464"/>
      <c r="J249" s="2464"/>
      <c r="K249" s="2386"/>
      <c r="L249" s="1245"/>
      <c r="M249" s="1253"/>
    </row>
    <row r="250" spans="1:21" ht="22.8" thickBot="1">
      <c r="A250" s="958" t="s">
        <v>1583</v>
      </c>
      <c r="B250" s="2432">
        <f>B242+1</f>
        <v>21</v>
      </c>
      <c r="C250" s="3182" t="s">
        <v>1182</v>
      </c>
      <c r="D250" s="3182"/>
      <c r="E250" s="3182"/>
      <c r="F250" s="3182"/>
      <c r="G250" s="3182"/>
      <c r="H250" s="3182"/>
      <c r="I250" s="3182"/>
      <c r="J250" s="3182"/>
      <c r="K250" s="2505"/>
      <c r="L250" s="1229" t="s">
        <v>2413</v>
      </c>
      <c r="M250" s="1253">
        <v>328957748.06</v>
      </c>
    </row>
    <row r="251" spans="1:21" ht="22.8" thickBot="1">
      <c r="B251" s="2361"/>
      <c r="C251" s="3102" t="s">
        <v>1</v>
      </c>
      <c r="D251" s="3102"/>
      <c r="E251" s="3102"/>
      <c r="F251" s="3102"/>
      <c r="G251" s="3102"/>
      <c r="H251" s="3102"/>
      <c r="I251" s="2464"/>
      <c r="J251" s="2403" t="str">
        <f>J243</f>
        <v>For the year 2022-23</v>
      </c>
      <c r="K251" s="2504" t="str">
        <f>K243</f>
        <v>For the year 2021-22</v>
      </c>
      <c r="L251" s="1248">
        <f>K228+J257-J253-J247-J284-J304</f>
        <v>65828641.068813562</v>
      </c>
      <c r="M251" s="1253"/>
    </row>
    <row r="252" spans="1:21" ht="22.8" thickBot="1">
      <c r="B252" s="2361"/>
      <c r="C252" s="222" t="s">
        <v>240</v>
      </c>
      <c r="H252" s="1888"/>
      <c r="I252" s="1888"/>
      <c r="J252" s="1888"/>
      <c r="K252" s="2347"/>
      <c r="L252" s="1443">
        <f>L251+J235</f>
        <v>69152477.068813562</v>
      </c>
      <c r="M252" s="1263"/>
      <c r="O252" s="1212">
        <f>1/1000</f>
        <v>1E-3</v>
      </c>
    </row>
    <row r="253" spans="1:21">
      <c r="B253" s="2361"/>
      <c r="C253" s="222"/>
      <c r="D253" s="2331" t="s">
        <v>1183</v>
      </c>
      <c r="H253" s="1888"/>
      <c r="I253" s="1888"/>
      <c r="J253" s="1888">
        <f>K259</f>
        <v>25840000</v>
      </c>
      <c r="K253" s="2347">
        <f>30000*1000</f>
        <v>30000000</v>
      </c>
    </row>
    <row r="254" spans="1:21">
      <c r="B254" s="2361"/>
      <c r="H254" s="1888"/>
      <c r="I254" s="1888"/>
      <c r="J254" s="1888"/>
      <c r="K254" s="2347"/>
      <c r="L254" s="958"/>
    </row>
    <row r="255" spans="1:21" ht="16.8" thickBot="1">
      <c r="B255" s="2361"/>
      <c r="G255" s="2466" t="s">
        <v>0</v>
      </c>
      <c r="H255" s="1888"/>
      <c r="I255" s="1888"/>
      <c r="J255" s="1905">
        <f>J253</f>
        <v>25840000</v>
      </c>
      <c r="K255" s="2383">
        <f>K253</f>
        <v>30000000</v>
      </c>
      <c r="L255" s="958"/>
    </row>
    <row r="256" spans="1:21" ht="22.2">
      <c r="B256" s="2361"/>
      <c r="C256" s="222" t="s">
        <v>215</v>
      </c>
      <c r="H256" s="1888"/>
      <c r="I256" s="1888"/>
      <c r="J256" s="1888"/>
      <c r="K256" s="2347"/>
      <c r="L256" s="1444"/>
      <c r="M256" s="1252"/>
    </row>
    <row r="257" spans="1:14" ht="22.2">
      <c r="A257" s="958" t="s">
        <v>1585</v>
      </c>
      <c r="B257" s="2361"/>
      <c r="C257" s="222"/>
      <c r="D257" s="2331" t="s">
        <v>1183</v>
      </c>
      <c r="H257" s="1888"/>
      <c r="I257" s="1888"/>
      <c r="J257" s="1888">
        <f>(L171+30000000)</f>
        <v>77330000</v>
      </c>
      <c r="K257" s="2347">
        <f>25840*1000</f>
        <v>25840000</v>
      </c>
      <c r="L257" s="1229" t="s">
        <v>2414</v>
      </c>
      <c r="M257" s="1253">
        <v>10727466</v>
      </c>
      <c r="N257" s="1220">
        <f>+J247+J271-J270</f>
        <v>391320320.78118646</v>
      </c>
    </row>
    <row r="258" spans="1:14" ht="22.2">
      <c r="A258" s="958" t="s">
        <v>1586</v>
      </c>
      <c r="B258" s="2361"/>
      <c r="H258" s="1888"/>
      <c r="I258" s="1888"/>
      <c r="J258" s="1888"/>
      <c r="K258" s="2347"/>
      <c r="L258" s="1229"/>
      <c r="M258" s="1253"/>
      <c r="N258" s="1212">
        <f>+N257/365*75</f>
        <v>80408285.092024609</v>
      </c>
    </row>
    <row r="259" spans="1:14" ht="22.8" thickBot="1">
      <c r="B259" s="2361"/>
      <c r="G259" s="2466" t="s">
        <v>0</v>
      </c>
      <c r="H259" s="1888"/>
      <c r="I259" s="1888"/>
      <c r="J259" s="1905">
        <f>J257</f>
        <v>77330000</v>
      </c>
      <c r="K259" s="2383">
        <f>K257</f>
        <v>25840000</v>
      </c>
      <c r="L259" s="1442"/>
      <c r="M259" s="1264"/>
    </row>
    <row r="260" spans="1:14" ht="16.8" thickBot="1">
      <c r="B260" s="2361"/>
      <c r="C260" s="2408" t="s">
        <v>216</v>
      </c>
      <c r="D260" s="2405"/>
      <c r="E260" s="2405"/>
      <c r="F260" s="2405"/>
      <c r="G260" s="2405"/>
      <c r="H260" s="2464"/>
      <c r="I260" s="2464"/>
      <c r="J260" s="2467">
        <f>J255-J259</f>
        <v>-51490000</v>
      </c>
      <c r="K260" s="2377">
        <f>K255-K259</f>
        <v>4160000</v>
      </c>
      <c r="L260" s="958"/>
    </row>
    <row r="261" spans="1:14">
      <c r="B261" s="2361"/>
      <c r="H261" s="1888"/>
      <c r="I261" s="1888"/>
      <c r="J261" s="1888"/>
      <c r="K261" s="2347"/>
      <c r="L261" s="958"/>
    </row>
    <row r="262" spans="1:14">
      <c r="B262" s="2361"/>
      <c r="H262" s="1888"/>
      <c r="I262" s="1888"/>
      <c r="J262" s="1888"/>
      <c r="K262" s="2347"/>
      <c r="L262" s="958"/>
    </row>
    <row r="263" spans="1:14" ht="16.8" thickBot="1">
      <c r="B263" s="2361">
        <f>B250+1</f>
        <v>22</v>
      </c>
      <c r="C263" s="222" t="s">
        <v>54</v>
      </c>
      <c r="H263" s="1888"/>
      <c r="I263" s="1888"/>
      <c r="J263" s="1888"/>
      <c r="K263" s="2353"/>
    </row>
    <row r="264" spans="1:14" ht="16.8" thickBot="1">
      <c r="A264" s="958" t="s">
        <v>1589</v>
      </c>
      <c r="B264" s="2361"/>
      <c r="C264" s="3087" t="s">
        <v>1</v>
      </c>
      <c r="D264" s="3087"/>
      <c r="E264" s="3087"/>
      <c r="F264" s="3087"/>
      <c r="G264" s="3087"/>
      <c r="H264" s="3087"/>
      <c r="I264" s="2365"/>
      <c r="J264" s="1898" t="str">
        <f>J251</f>
        <v>For the year 2022-23</v>
      </c>
      <c r="K264" s="2366" t="str">
        <f>K251</f>
        <v>For the year 2021-22</v>
      </c>
    </row>
    <row r="265" spans="1:14">
      <c r="A265" s="958" t="s">
        <v>161</v>
      </c>
      <c r="B265" s="2361"/>
      <c r="C265" s="222"/>
      <c r="H265" s="1888"/>
      <c r="I265" s="1888"/>
      <c r="J265" s="1888"/>
      <c r="K265" s="2347"/>
      <c r="M265" s="1212">
        <f>1/1000</f>
        <v>1E-3</v>
      </c>
    </row>
    <row r="266" spans="1:14">
      <c r="A266" s="958" t="s">
        <v>1592</v>
      </c>
      <c r="B266" s="2361"/>
      <c r="C266" s="2331" t="s">
        <v>56</v>
      </c>
      <c r="H266" s="1888"/>
      <c r="I266" s="1888"/>
      <c r="J266" s="1888">
        <f>('Trial Balance FY 22-23'!E273+'Trial Balance FY 22-23'!E304)</f>
        <v>42852604</v>
      </c>
      <c r="K266" s="2347">
        <f>37008.21698*1000</f>
        <v>37008216.979999997</v>
      </c>
      <c r="L266" s="1224"/>
    </row>
    <row r="267" spans="1:14">
      <c r="B267" s="2361"/>
      <c r="C267" s="2331" t="s">
        <v>294</v>
      </c>
      <c r="H267" s="1888"/>
      <c r="I267" s="1888"/>
      <c r="J267" s="1888">
        <f>('Trial Balance FY 22-23'!E243+'Trial Balance FY 22-23'!E256-'Audit entries FY 22-23'!D8-'Audit entries FY 22-23'!D46)</f>
        <v>6311209.75</v>
      </c>
      <c r="K267" s="2347">
        <f>9135.708*1000</f>
        <v>9135708</v>
      </c>
    </row>
    <row r="268" spans="1:14">
      <c r="B268" s="2361"/>
      <c r="C268" s="2331" t="s">
        <v>58</v>
      </c>
      <c r="H268" s="1888"/>
      <c r="I268" s="1888"/>
      <c r="J268" s="1888">
        <f>('Trial Balance FY 22-23'!E281)</f>
        <v>3780000</v>
      </c>
      <c r="K268" s="2347">
        <f>3780*1000</f>
        <v>3780000</v>
      </c>
    </row>
    <row r="269" spans="1:14">
      <c r="B269" s="2361"/>
      <c r="C269" s="2331" t="s">
        <v>4159</v>
      </c>
      <c r="H269" s="1888"/>
      <c r="I269" s="1888"/>
      <c r="J269" s="1888">
        <f>('Trial Balance FY 22-23'!E286-'Audit entries FY 22-23'!D60)</f>
        <v>1165841</v>
      </c>
      <c r="K269" s="2347">
        <v>0</v>
      </c>
    </row>
    <row r="270" spans="1:14">
      <c r="B270" s="2361"/>
      <c r="C270" s="2331" t="s">
        <v>55</v>
      </c>
      <c r="H270" s="1888"/>
      <c r="I270" s="1888"/>
      <c r="J270" s="1888">
        <f>(+'Trial Balance FY 22-23'!E257+'Trial Balance FY 22-23'!E310+'Trial Balance FY 22-23'!E309+'Audit entries FY 22-23'!C45)</f>
        <v>3525829.25</v>
      </c>
      <c r="K270" s="2356">
        <f>1904.964*1000</f>
        <v>1904964</v>
      </c>
      <c r="L270" s="1224"/>
    </row>
    <row r="271" spans="1:14" ht="18.75" customHeight="1" thickBot="1">
      <c r="B271" s="2361"/>
      <c r="C271" s="2405"/>
      <c r="D271" s="2405"/>
      <c r="E271" s="2405"/>
      <c r="F271" s="2405"/>
      <c r="G271" s="2405"/>
      <c r="H271" s="2464"/>
      <c r="I271" s="2464"/>
      <c r="J271" s="1894">
        <f>SUM(J266:J270)</f>
        <v>57635484</v>
      </c>
      <c r="K271" s="2357">
        <f>SUM(K266:K270)</f>
        <v>51828888.979999997</v>
      </c>
    </row>
    <row r="272" spans="1:14" ht="32.1" customHeight="1">
      <c r="B272" s="2361"/>
      <c r="H272" s="1888"/>
      <c r="I272" s="1888"/>
      <c r="J272" s="1888"/>
      <c r="K272" s="2347"/>
    </row>
    <row r="273" spans="2:13" ht="21" customHeight="1">
      <c r="B273" s="2361"/>
      <c r="H273" s="1888"/>
      <c r="I273" s="1888"/>
      <c r="J273" s="1888"/>
      <c r="K273" s="2347"/>
      <c r="M273" s="1220">
        <f>J271+J307</f>
        <v>82048008.689999998</v>
      </c>
    </row>
    <row r="274" spans="2:13" ht="25.5" customHeight="1" thickBot="1">
      <c r="B274" s="2361">
        <f>B263+1</f>
        <v>23</v>
      </c>
      <c r="C274" s="222" t="s">
        <v>554</v>
      </c>
      <c r="H274" s="1888"/>
      <c r="I274" s="1888"/>
      <c r="J274" s="1888"/>
      <c r="K274" s="2353"/>
      <c r="M274" s="1212">
        <v>49740278</v>
      </c>
    </row>
    <row r="275" spans="2:13" ht="16.8" thickBot="1">
      <c r="B275" s="2361"/>
      <c r="C275" s="3087" t="s">
        <v>1</v>
      </c>
      <c r="D275" s="3087"/>
      <c r="E275" s="3087"/>
      <c r="F275" s="3087"/>
      <c r="G275" s="3087"/>
      <c r="H275" s="3087"/>
      <c r="I275" s="2365"/>
      <c r="J275" s="1898" t="str">
        <f>J264</f>
        <v>For the year 2022-23</v>
      </c>
      <c r="K275" s="2366" t="str">
        <f>K264</f>
        <v>For the year 2021-22</v>
      </c>
      <c r="M275" s="1220">
        <f>M273-M274</f>
        <v>32307730.689999998</v>
      </c>
    </row>
    <row r="276" spans="2:13">
      <c r="B276" s="2361"/>
      <c r="C276" s="2331" t="s">
        <v>532</v>
      </c>
      <c r="H276" s="1888"/>
      <c r="I276" s="1888"/>
      <c r="J276" s="1888">
        <f>('Trial Balance FY 22-23'!E270)</f>
        <v>85533</v>
      </c>
      <c r="K276" s="1212">
        <f>23.373*(1000)</f>
        <v>23373</v>
      </c>
      <c r="L276" s="1212">
        <f>1000</f>
        <v>1000</v>
      </c>
    </row>
    <row r="277" spans="2:13">
      <c r="B277" s="2361"/>
      <c r="C277" s="2486" t="s">
        <v>72</v>
      </c>
      <c r="D277" s="2468"/>
      <c r="E277" s="2468"/>
      <c r="F277" s="2468"/>
      <c r="G277" s="2468"/>
      <c r="H277" s="2468"/>
      <c r="I277" s="1888"/>
      <c r="J277" s="1888">
        <f>('Trial Balance FY 22-23'!E272)</f>
        <v>157748.57</v>
      </c>
      <c r="K277" s="1212">
        <f>125.91271*(1000)</f>
        <v>125912.71</v>
      </c>
      <c r="M277" s="1212">
        <f>1/1000</f>
        <v>1E-3</v>
      </c>
    </row>
    <row r="278" spans="2:13">
      <c r="B278" s="2361"/>
      <c r="C278" s="2331" t="s">
        <v>241</v>
      </c>
      <c r="H278" s="1888"/>
      <c r="I278" s="1888"/>
      <c r="J278" s="1888">
        <f>('Trial Balance FY 22-23'!E274)</f>
        <v>6410</v>
      </c>
      <c r="K278" s="1212">
        <f>5.65*(1000)</f>
        <v>5650</v>
      </c>
      <c r="L278" s="1220"/>
    </row>
    <row r="279" spans="2:13" hidden="1">
      <c r="B279" s="2361"/>
      <c r="C279" s="2331" t="s">
        <v>3023</v>
      </c>
      <c r="H279" s="1888"/>
      <c r="I279" s="1888"/>
      <c r="J279" s="1888">
        <v>0</v>
      </c>
      <c r="K279" s="1212">
        <f>0*(1000)</f>
        <v>0</v>
      </c>
      <c r="L279" s="1220"/>
    </row>
    <row r="280" spans="2:13">
      <c r="B280" s="2361"/>
      <c r="C280" s="2331" t="s">
        <v>1639</v>
      </c>
      <c r="H280" s="1888"/>
      <c r="I280" s="1888"/>
      <c r="J280" s="1888">
        <v>0</v>
      </c>
      <c r="K280" s="1212">
        <f>443.401*(1000)</f>
        <v>443401</v>
      </c>
      <c r="L280" s="1212" t="s">
        <v>2655</v>
      </c>
    </row>
    <row r="281" spans="2:13">
      <c r="B281" s="2361"/>
      <c r="C281" s="2331" t="s">
        <v>3624</v>
      </c>
      <c r="H281" s="1888"/>
      <c r="I281" s="1888"/>
      <c r="J281" s="1888">
        <f>('Trial Balance FY 22-23'!E282)</f>
        <v>261950</v>
      </c>
      <c r="K281" s="1212">
        <f>339.611*(1000)</f>
        <v>339611</v>
      </c>
      <c r="L281" s="1212" t="s">
        <v>2656</v>
      </c>
    </row>
    <row r="282" spans="2:13" ht="2.1" customHeight="1">
      <c r="B282" s="2361"/>
      <c r="C282" s="2331" t="s">
        <v>2101</v>
      </c>
      <c r="H282" s="1888"/>
      <c r="I282" s="1888"/>
      <c r="J282" s="1888">
        <f>((SUMIF('Final TB for Finan'!$I$7:$I$901,Notes!$C282,'Final TB for Finan'!$F$7:$F$901)-(SUMIF('Final TB for Finan'!$I$7:$I$901,Notes!$C282,'Final TB for Finan'!$G$7:$G$901))))</f>
        <v>0</v>
      </c>
      <c r="K282" s="1212">
        <f>0*(1000)</f>
        <v>0</v>
      </c>
      <c r="L282" s="1247">
        <v>149654456</v>
      </c>
      <c r="M282" s="1224">
        <f>L282-J260</f>
        <v>201144456</v>
      </c>
    </row>
    <row r="283" spans="2:13">
      <c r="B283" s="2361"/>
      <c r="C283" s="2331" t="s">
        <v>57</v>
      </c>
      <c r="H283" s="1888"/>
      <c r="I283" s="1888"/>
      <c r="J283" s="1888">
        <f>('Trial Balance FY 22-23'!E290-'Audit entries FY 22-23'!D59)</f>
        <v>1249779</v>
      </c>
      <c r="K283" s="1212">
        <f>1218.44832*(1000)</f>
        <v>1218448.32</v>
      </c>
      <c r="L283" s="1224"/>
    </row>
    <row r="284" spans="2:13">
      <c r="B284" s="2361"/>
      <c r="C284" s="2331" t="s">
        <v>4162</v>
      </c>
      <c r="H284" s="1888"/>
      <c r="I284" s="1888"/>
      <c r="J284" s="1888">
        <f>(SUMIF('Trial Balance FY 22-23'!G269:G308,Notes!C284,'Trial Balance FY 22-23'!E269:E308)+'Audit entries FY 22-23'!C7)</f>
        <v>71382.94</v>
      </c>
      <c r="K284" s="1212">
        <f>200.298*(1000)</f>
        <v>200298</v>
      </c>
    </row>
    <row r="285" spans="2:13">
      <c r="B285" s="2361"/>
      <c r="C285" s="2331" t="s">
        <v>4160</v>
      </c>
      <c r="H285" s="1888"/>
      <c r="I285" s="1888"/>
      <c r="J285" s="1888">
        <f>('Trial Balance FY 22-23'!E287)</f>
        <v>54000</v>
      </c>
      <c r="K285" s="1212">
        <f>0*(1000)</f>
        <v>0</v>
      </c>
    </row>
    <row r="286" spans="2:13" hidden="1">
      <c r="B286" s="2361"/>
      <c r="C286" s="2331" t="s">
        <v>254</v>
      </c>
      <c r="H286" s="1888"/>
      <c r="I286" s="1888"/>
      <c r="J286" s="1941">
        <v>0</v>
      </c>
      <c r="K286" s="1212">
        <f>0*(1000)</f>
        <v>0</v>
      </c>
    </row>
    <row r="287" spans="2:13">
      <c r="B287" s="2361"/>
      <c r="C287" s="2331" t="s">
        <v>202</v>
      </c>
      <c r="H287" s="1888"/>
      <c r="I287" s="1888"/>
      <c r="J287" s="1888">
        <f>('Trial Balance FY 22-23'!E294)</f>
        <v>93661</v>
      </c>
      <c r="K287" s="1212">
        <f>42.686*(1000)</f>
        <v>42686</v>
      </c>
    </row>
    <row r="288" spans="2:13">
      <c r="B288" s="2361"/>
      <c r="C288" s="2331" t="s">
        <v>255</v>
      </c>
      <c r="H288" s="1888"/>
      <c r="I288" s="1888"/>
      <c r="J288" s="1888">
        <f>('Trial Balance FY 22-23'!E253+'Trial Balance FY 22-23'!E295-'Audit entries FY 22-23'!D90-'Audit entries FY 22-23'!C117)</f>
        <v>-0.38999999966472387</v>
      </c>
      <c r="K288" s="1212">
        <f>284.66709*(1000)</f>
        <v>284667.08999999997</v>
      </c>
    </row>
    <row r="289" spans="1:17">
      <c r="B289" s="2361"/>
      <c r="C289" s="2331" t="s">
        <v>1303</v>
      </c>
      <c r="H289" s="1888"/>
      <c r="I289" s="1888"/>
      <c r="J289" s="1888">
        <f>('Audit entries FY 22-23'!C2)</f>
        <v>412000</v>
      </c>
      <c r="K289" s="1212">
        <f>612*(1000)</f>
        <v>612000</v>
      </c>
    </row>
    <row r="290" spans="1:17">
      <c r="A290" s="958" t="s">
        <v>1596</v>
      </c>
      <c r="B290" s="2361"/>
      <c r="C290" s="2331" t="s">
        <v>73</v>
      </c>
      <c r="H290" s="1888"/>
      <c r="I290" s="1888"/>
      <c r="J290" s="1888">
        <f>('Trial Balance FY 22-23'!E297)</f>
        <v>614893</v>
      </c>
      <c r="K290" s="1212">
        <f>512.59*(1000)</f>
        <v>512590.00000000006</v>
      </c>
    </row>
    <row r="291" spans="1:17">
      <c r="A291" s="958" t="s">
        <v>1598</v>
      </c>
      <c r="B291" s="2361"/>
      <c r="C291" s="2331" t="s">
        <v>71</v>
      </c>
      <c r="H291" s="1888"/>
      <c r="I291" s="1888"/>
      <c r="J291" s="1888">
        <f>('Trial Balance FY 22-23'!E300)</f>
        <v>2716429</v>
      </c>
      <c r="K291" s="1212">
        <f>1698.047*(1000)</f>
        <v>1698047</v>
      </c>
      <c r="L291" s="1213"/>
    </row>
    <row r="292" spans="1:17">
      <c r="A292" s="958" t="s">
        <v>1600</v>
      </c>
      <c r="B292" s="2361"/>
      <c r="C292" s="2331" t="s">
        <v>1877</v>
      </c>
      <c r="H292" s="1888"/>
      <c r="I292" s="1888"/>
      <c r="J292" s="1888">
        <f>('Trial Balance FY 22-23'!E284)</f>
        <v>1407648.57</v>
      </c>
      <c r="K292" s="1212">
        <f>495.006*(1000)</f>
        <v>495006</v>
      </c>
    </row>
    <row r="293" spans="1:17">
      <c r="B293" s="2361"/>
      <c r="C293" s="2331" t="s">
        <v>253</v>
      </c>
      <c r="H293" s="1888"/>
      <c r="I293" s="1888"/>
      <c r="J293" s="1888">
        <f>('Trial Balance FY 22-23'!E299)</f>
        <v>547269</v>
      </c>
      <c r="K293" s="1212">
        <f>472.765*(1000)</f>
        <v>472765</v>
      </c>
      <c r="L293" s="1265"/>
      <c r="Q293" s="1220"/>
    </row>
    <row r="294" spans="1:17">
      <c r="B294" s="2361"/>
      <c r="C294" s="2331" t="s">
        <v>250</v>
      </c>
      <c r="H294" s="1888"/>
      <c r="I294" s="1888"/>
      <c r="J294" s="1888">
        <f>('Trial Balance FY 22-23'!E267)</f>
        <v>30474</v>
      </c>
      <c r="K294" s="1212">
        <f>51.268*(1000)</f>
        <v>51268</v>
      </c>
    </row>
    <row r="295" spans="1:17">
      <c r="B295" s="2361"/>
      <c r="C295" s="2331" t="s">
        <v>2659</v>
      </c>
      <c r="H295" s="1888"/>
      <c r="I295" s="1888"/>
      <c r="J295" s="1888">
        <f>('Trial Balance FY 22-23'!E271)</f>
        <v>69800</v>
      </c>
      <c r="K295" s="1212">
        <f>19.44*(1000)</f>
        <v>19440</v>
      </c>
    </row>
    <row r="296" spans="1:17">
      <c r="B296" s="2361"/>
      <c r="C296" s="2331" t="s">
        <v>3445</v>
      </c>
      <c r="H296" s="1888"/>
      <c r="I296" s="1888"/>
      <c r="J296" s="1888">
        <f>('Trial Balance FY 22-23'!E285+'Trial Balance FY 22-23'!E302+'Trial Balance FY 22-23'!E305)</f>
        <v>2780748</v>
      </c>
      <c r="K296" s="1212">
        <f>2935.049*(1000)</f>
        <v>2935049</v>
      </c>
    </row>
    <row r="297" spans="1:17">
      <c r="B297" s="2361"/>
      <c r="C297" s="2331" t="s">
        <v>3446</v>
      </c>
      <c r="H297" s="1888"/>
      <c r="I297" s="1888"/>
      <c r="J297" s="1888">
        <f>('Trial Balance FY 22-23'!E280)</f>
        <v>152484</v>
      </c>
      <c r="K297" s="1212">
        <f>709.828*(1000)</f>
        <v>709828</v>
      </c>
    </row>
    <row r="298" spans="1:17">
      <c r="B298" s="2361"/>
      <c r="C298" s="2331" t="s">
        <v>2099</v>
      </c>
      <c r="H298" s="1888"/>
      <c r="I298" s="1888"/>
      <c r="J298" s="1888">
        <f>('Trial Balance FY 22-23'!E275)</f>
        <v>26594</v>
      </c>
      <c r="K298" s="1212">
        <f>0*(1000)</f>
        <v>0</v>
      </c>
    </row>
    <row r="299" spans="1:17">
      <c r="B299" s="2361"/>
      <c r="C299" s="2331" t="s">
        <v>247</v>
      </c>
      <c r="H299" s="1888"/>
      <c r="I299" s="1888"/>
      <c r="J299" s="1888">
        <f>('Trial Balance FY 22-23'!E303+'Trial Balance FY 22-23'!E279-'Audit entries FY 22-23'!D126)</f>
        <v>6048381</v>
      </c>
      <c r="K299" s="1212">
        <f>5366.217*(1000)</f>
        <v>5366217</v>
      </c>
      <c r="L299" s="1212" t="s">
        <v>1212</v>
      </c>
    </row>
    <row r="300" spans="1:17">
      <c r="A300" s="958" t="s">
        <v>1602</v>
      </c>
      <c r="B300" s="2361"/>
      <c r="C300" s="2331" t="s">
        <v>248</v>
      </c>
      <c r="H300" s="1888"/>
      <c r="I300" s="1888"/>
      <c r="J300" s="1888">
        <f>('Trial Balance FY 22-23'!E283+'Trial Balance FY 22-23'!E296)</f>
        <v>49522</v>
      </c>
      <c r="K300" s="1212">
        <f>28.025*(1000)</f>
        <v>28025</v>
      </c>
      <c r="L300" s="955" t="s">
        <v>198</v>
      </c>
    </row>
    <row r="301" spans="1:17">
      <c r="A301" s="958" t="s">
        <v>1604</v>
      </c>
      <c r="B301" s="2361"/>
      <c r="C301" s="2331" t="s">
        <v>249</v>
      </c>
      <c r="H301" s="1888"/>
      <c r="I301" s="1888"/>
      <c r="J301" s="1888">
        <f>('Trial Balance FY 22-23'!E312)</f>
        <v>3095669</v>
      </c>
      <c r="K301" s="1212">
        <f>2463.757*(1000)</f>
        <v>2463757</v>
      </c>
      <c r="L301" s="955" t="s">
        <v>1212</v>
      </c>
    </row>
    <row r="302" spans="1:17">
      <c r="A302" s="958" t="s">
        <v>1611</v>
      </c>
      <c r="B302" s="2361"/>
      <c r="C302" s="2331" t="s">
        <v>252</v>
      </c>
      <c r="H302" s="1888"/>
      <c r="I302" s="1888"/>
      <c r="J302" s="1888">
        <f>('Trial Balance FY 22-23'!E298+'Trial Balance FY 22-23'!E276)</f>
        <v>609698</v>
      </c>
      <c r="K302" s="1212">
        <f>605.38521*(1000)</f>
        <v>605385.21000000008</v>
      </c>
      <c r="L302" s="955" t="s">
        <v>208</v>
      </c>
    </row>
    <row r="303" spans="1:17">
      <c r="A303" s="958" t="s">
        <v>1640</v>
      </c>
      <c r="B303" s="2361"/>
      <c r="C303" s="2331" t="s">
        <v>251</v>
      </c>
      <c r="H303" s="1888"/>
      <c r="I303" s="1888"/>
      <c r="J303" s="1888">
        <f>('Trial Balance FY 22-23'!E293+'Trial Balance FY 22-23'!E311)</f>
        <v>3803433</v>
      </c>
      <c r="K303" s="1212">
        <f>3882.41212*(1000)</f>
        <v>3882412.12</v>
      </c>
    </row>
    <row r="304" spans="1:17">
      <c r="A304" s="958" t="s">
        <v>1612</v>
      </c>
      <c r="B304" s="2361"/>
      <c r="C304" s="2331" t="s">
        <v>3448</v>
      </c>
      <c r="H304" s="1888"/>
      <c r="I304" s="1888"/>
      <c r="J304" s="1888">
        <f>('Trial Balance FY 22-23'!E292+'Trial Balance FY 22-23'!E301)</f>
        <v>67018</v>
      </c>
      <c r="K304" s="1212">
        <f>95.565*(1000)</f>
        <v>95565</v>
      </c>
      <c r="L304" s="1212" t="s">
        <v>2207</v>
      </c>
    </row>
    <row r="305" spans="1:14" hidden="1">
      <c r="A305" s="958" t="s">
        <v>2100</v>
      </c>
      <c r="B305" s="2361"/>
      <c r="C305" s="2331" t="s">
        <v>3449</v>
      </c>
      <c r="H305" s="1888"/>
      <c r="I305" s="1888"/>
      <c r="J305" s="1888">
        <f>((SUMIF('Final TB for Finan'!$I$7:$I$901,Notes!$C305,'Final TB for Finan'!$F$7:$F$901)-(SUMIF('Final TB for Finan'!$I$7:$I$901,Notes!$C305,'Final TB for Finan'!$G$7:$G$901))))*0.001</f>
        <v>0</v>
      </c>
      <c r="K305" s="2347">
        <v>0</v>
      </c>
      <c r="L305" s="1212" t="s">
        <v>2169</v>
      </c>
    </row>
    <row r="306" spans="1:14" hidden="1">
      <c r="A306" s="958" t="s">
        <v>1615</v>
      </c>
      <c r="B306" s="2361"/>
      <c r="C306" s="2331" t="s">
        <v>4178</v>
      </c>
      <c r="H306" s="1888"/>
      <c r="I306" s="1888"/>
      <c r="J306" s="1903"/>
      <c r="K306" s="2347">
        <v>0</v>
      </c>
      <c r="L306" s="1220">
        <f>J284/2</f>
        <v>35691.47</v>
      </c>
    </row>
    <row r="307" spans="1:14" ht="16.8" thickBot="1">
      <c r="A307" s="958" t="s">
        <v>1617</v>
      </c>
      <c r="B307" s="2361"/>
      <c r="C307" s="2405"/>
      <c r="D307" s="2405"/>
      <c r="E307" s="2405"/>
      <c r="F307" s="2405"/>
      <c r="G307" s="2405"/>
      <c r="H307" s="2464"/>
      <c r="I307" s="2464"/>
      <c r="J307" s="1894">
        <f>SUM(J276:J306)</f>
        <v>24412524.690000001</v>
      </c>
      <c r="K307" s="2357">
        <f>SUM(K276:K306)</f>
        <v>22631401.450000003</v>
      </c>
    </row>
    <row r="308" spans="1:14">
      <c r="A308" s="958" t="s">
        <v>1619</v>
      </c>
      <c r="B308" s="2433"/>
      <c r="C308" s="2491"/>
      <c r="D308" s="2349"/>
      <c r="E308" s="2349"/>
      <c r="F308" s="2349"/>
      <c r="G308" s="2349"/>
      <c r="H308" s="2349"/>
      <c r="I308" s="2349"/>
      <c r="J308" s="2349"/>
      <c r="K308" s="2389"/>
    </row>
    <row r="309" spans="1:14">
      <c r="A309" s="958"/>
      <c r="B309" s="2361">
        <f>B274+1</f>
        <v>24</v>
      </c>
      <c r="C309" s="2469" t="s">
        <v>4330</v>
      </c>
      <c r="D309" s="2349"/>
      <c r="E309" s="2349"/>
      <c r="F309" s="2349"/>
      <c r="G309" s="2349"/>
      <c r="H309" s="2349"/>
      <c r="I309" s="2349"/>
      <c r="J309" s="2349"/>
      <c r="K309" s="2389"/>
    </row>
    <row r="310" spans="1:14">
      <c r="A310" s="958"/>
      <c r="B310" s="2433"/>
      <c r="C310" s="2491"/>
      <c r="D310" s="2349" t="s">
        <v>4331</v>
      </c>
      <c r="E310" s="2349"/>
      <c r="F310" s="2349"/>
      <c r="G310" s="2349"/>
      <c r="H310" s="2349"/>
      <c r="I310" s="2349"/>
      <c r="J310" s="2349"/>
      <c r="K310" s="2389"/>
    </row>
    <row r="311" spans="1:14" ht="16.8" thickBot="1">
      <c r="A311" s="958"/>
      <c r="B311" s="2436"/>
      <c r="C311" s="2470"/>
      <c r="D311" s="2470"/>
      <c r="E311" s="2470"/>
      <c r="F311" s="2470"/>
      <c r="G311" s="2470"/>
      <c r="H311" s="2470"/>
      <c r="I311" s="2470"/>
      <c r="J311" s="2470"/>
      <c r="K311" s="2471"/>
    </row>
    <row r="312" spans="1:14" ht="4.5" customHeight="1">
      <c r="A312" s="958"/>
      <c r="B312" s="2461"/>
      <c r="C312" s="2462"/>
      <c r="D312" s="2462"/>
      <c r="E312" s="2462"/>
      <c r="F312" s="2462"/>
      <c r="G312" s="2462"/>
      <c r="H312" s="2462"/>
      <c r="I312" s="2462"/>
      <c r="J312" s="2462"/>
      <c r="K312" s="2463"/>
    </row>
    <row r="313" spans="1:14" ht="6.75" customHeight="1">
      <c r="A313" s="958" t="s">
        <v>1620</v>
      </c>
      <c r="B313" s="2435"/>
      <c r="H313" s="1888"/>
      <c r="I313" s="1888"/>
      <c r="J313" s="1888"/>
      <c r="K313" s="2347"/>
      <c r="L313" s="1224"/>
      <c r="M313" s="1224"/>
    </row>
    <row r="314" spans="1:14" ht="16.8" thickBot="1">
      <c r="A314" s="958" t="s">
        <v>1629</v>
      </c>
      <c r="B314" s="2361">
        <f>B309+1</f>
        <v>25</v>
      </c>
      <c r="C314" s="222" t="s">
        <v>59</v>
      </c>
      <c r="H314" s="1888"/>
      <c r="I314" s="1888"/>
      <c r="J314" s="1888"/>
      <c r="K314" s="2353"/>
    </row>
    <row r="315" spans="1:14" ht="16.8" thickBot="1">
      <c r="A315" s="958" t="s">
        <v>1631</v>
      </c>
      <c r="B315" s="2361"/>
      <c r="C315" s="3087" t="s">
        <v>1</v>
      </c>
      <c r="D315" s="3087"/>
      <c r="E315" s="3087"/>
      <c r="F315" s="3087"/>
      <c r="G315" s="3087"/>
      <c r="H315" s="3087"/>
      <c r="I315" s="2365"/>
      <c r="J315" s="1898" t="str">
        <f>J275</f>
        <v>For the year 2022-23</v>
      </c>
      <c r="K315" s="2366" t="str">
        <f>K275</f>
        <v>For the year 2021-22</v>
      </c>
      <c r="L315" s="1220"/>
      <c r="N315" s="1220"/>
    </row>
    <row r="316" spans="1:14">
      <c r="A316" s="958" t="s">
        <v>1633</v>
      </c>
      <c r="B316" s="2435"/>
      <c r="C316" s="2331" t="s">
        <v>60</v>
      </c>
      <c r="H316" s="1888"/>
      <c r="I316" s="1888"/>
      <c r="J316" s="1888">
        <f>(+PL!C47)</f>
        <v>34532817.382788554</v>
      </c>
      <c r="K316" s="2347">
        <f>23656311.238313</f>
        <v>23656311.238313001</v>
      </c>
      <c r="L316" s="1220">
        <f>SUM(J298:J301)</f>
        <v>9220166</v>
      </c>
      <c r="M316" s="1212">
        <f>1/1000</f>
        <v>1E-3</v>
      </c>
      <c r="N316" s="1212">
        <v>1000</v>
      </c>
    </row>
    <row r="317" spans="1:14">
      <c r="A317" s="958" t="s">
        <v>1635</v>
      </c>
      <c r="B317" s="2435"/>
      <c r="C317" s="2331" t="s">
        <v>242</v>
      </c>
      <c r="H317" s="1888"/>
      <c r="I317" s="1888"/>
      <c r="J317" s="1888">
        <f>H14</f>
        <v>714746</v>
      </c>
      <c r="K317" s="2347">
        <v>714746</v>
      </c>
    </row>
    <row r="318" spans="1:14">
      <c r="A318" s="958" t="s">
        <v>1637</v>
      </c>
      <c r="B318" s="2435"/>
      <c r="C318" s="2331" t="s">
        <v>61</v>
      </c>
      <c r="H318" s="1888"/>
      <c r="I318" s="1888"/>
      <c r="J318" s="2331">
        <v>10</v>
      </c>
      <c r="K318" s="2347">
        <v>10</v>
      </c>
    </row>
    <row r="319" spans="1:14" ht="16.8" thickBot="1">
      <c r="A319" s="958"/>
      <c r="B319" s="2435"/>
      <c r="C319" s="2405" t="s">
        <v>62</v>
      </c>
      <c r="D319" s="2405"/>
      <c r="E319" s="2405"/>
      <c r="F319" s="2405"/>
      <c r="G319" s="2405"/>
      <c r="H319" s="2464"/>
      <c r="I319" s="2464"/>
      <c r="J319" s="2392">
        <f>J316/J317</f>
        <v>48.314810272164593</v>
      </c>
      <c r="K319" s="2390">
        <f>K316/K317</f>
        <v>33.097507699676527</v>
      </c>
    </row>
    <row r="320" spans="1:14">
      <c r="A320" s="958"/>
      <c r="B320" s="2435"/>
      <c r="H320" s="1888"/>
      <c r="I320" s="1888"/>
      <c r="J320" s="1888"/>
      <c r="K320" s="2347"/>
    </row>
    <row r="321" spans="1:15" ht="16.8" thickBot="1">
      <c r="A321" s="958"/>
      <c r="B321" s="2361">
        <f>B314+1</f>
        <v>26</v>
      </c>
      <c r="C321" s="222" t="s">
        <v>63</v>
      </c>
      <c r="H321" s="1888"/>
      <c r="I321" s="1888"/>
      <c r="J321" s="1888"/>
      <c r="K321" s="2347"/>
    </row>
    <row r="322" spans="1:15">
      <c r="A322" s="958"/>
      <c r="B322" s="2435"/>
      <c r="C322" s="3142" t="s">
        <v>303</v>
      </c>
      <c r="D322" s="3142"/>
      <c r="E322" s="3142"/>
      <c r="F322" s="3142"/>
      <c r="G322" s="3142"/>
      <c r="H322" s="3142"/>
      <c r="I322" s="3142"/>
      <c r="J322" s="3143"/>
      <c r="K322" s="2347"/>
    </row>
    <row r="323" spans="1:15" ht="18" customHeight="1">
      <c r="A323" s="958"/>
      <c r="B323" s="2435"/>
      <c r="C323" s="3144" t="s">
        <v>304</v>
      </c>
      <c r="D323" s="3144"/>
      <c r="E323" s="3144"/>
      <c r="F323" s="3145"/>
      <c r="G323" s="3146" t="s">
        <v>305</v>
      </c>
      <c r="H323" s="3147"/>
      <c r="I323" s="3147"/>
      <c r="J323" s="3148"/>
      <c r="K323" s="2347"/>
    </row>
    <row r="324" spans="1:15" ht="18" customHeight="1">
      <c r="B324" s="2435"/>
      <c r="C324" s="3149" t="s">
        <v>80</v>
      </c>
      <c r="D324" s="3149"/>
      <c r="E324" s="3149"/>
      <c r="F324" s="3149"/>
      <c r="G324" s="3150" t="s">
        <v>306</v>
      </c>
      <c r="H324" s="3149"/>
      <c r="I324" s="3149"/>
      <c r="J324" s="3151"/>
      <c r="K324" s="2332"/>
      <c r="O324" s="1220"/>
    </row>
    <row r="325" spans="1:15" hidden="1">
      <c r="B325" s="2435"/>
      <c r="C325" s="3156" t="s">
        <v>79</v>
      </c>
      <c r="D325" s="3157"/>
      <c r="E325" s="3150" t="s">
        <v>301</v>
      </c>
      <c r="F325" s="3149"/>
      <c r="G325" s="3149"/>
      <c r="H325" s="3151"/>
      <c r="I325" s="2387"/>
      <c r="J325" s="1988"/>
      <c r="K325" s="2347"/>
    </row>
    <row r="326" spans="1:15">
      <c r="B326" s="2435"/>
      <c r="C326" s="3149" t="s">
        <v>79</v>
      </c>
      <c r="D326" s="3149"/>
      <c r="E326" s="3149"/>
      <c r="F326" s="3149"/>
      <c r="G326" s="3150" t="s">
        <v>302</v>
      </c>
      <c r="H326" s="3149"/>
      <c r="I326" s="3149"/>
      <c r="J326" s="3151"/>
      <c r="K326" s="2347"/>
    </row>
    <row r="327" spans="1:15" ht="37.5" customHeight="1" thickBot="1">
      <c r="B327" s="2435"/>
      <c r="C327" s="3152" t="s">
        <v>3631</v>
      </c>
      <c r="D327" s="3152"/>
      <c r="E327" s="3152"/>
      <c r="F327" s="3152"/>
      <c r="G327" s="3153" t="s">
        <v>4209</v>
      </c>
      <c r="H327" s="3152"/>
      <c r="I327" s="3152"/>
      <c r="J327" s="3154"/>
      <c r="K327" s="2332"/>
    </row>
    <row r="328" spans="1:15" ht="18" customHeight="1">
      <c r="B328" s="2435"/>
      <c r="C328" s="3098" t="s">
        <v>307</v>
      </c>
      <c r="D328" s="3098"/>
      <c r="E328" s="3098"/>
      <c r="F328" s="3098"/>
      <c r="G328" s="3098"/>
      <c r="H328" s="3098"/>
      <c r="I328" s="3098"/>
      <c r="J328" s="3098"/>
      <c r="K328" s="2347"/>
      <c r="L328" s="1220"/>
    </row>
    <row r="329" spans="1:15" ht="37.5" customHeight="1" thickBot="1">
      <c r="B329" s="2435"/>
      <c r="C329" s="3155" t="s">
        <v>4210</v>
      </c>
      <c r="D329" s="3155"/>
      <c r="E329" s="3155"/>
      <c r="F329" s="3155"/>
      <c r="G329" s="3155"/>
      <c r="H329" s="3155"/>
      <c r="I329" s="3155"/>
      <c r="J329" s="3155"/>
      <c r="K329" s="2353"/>
    </row>
    <row r="330" spans="1:15" ht="33.75" customHeight="1">
      <c r="B330" s="2435"/>
      <c r="C330" s="3088" t="s">
        <v>1</v>
      </c>
      <c r="D330" s="3088"/>
      <c r="E330" s="3088"/>
      <c r="F330" s="3088"/>
      <c r="G330" s="3171" t="s">
        <v>4211</v>
      </c>
      <c r="H330" s="3179"/>
      <c r="I330" s="3180"/>
      <c r="J330" s="3171" t="s">
        <v>4212</v>
      </c>
      <c r="K330" s="3172"/>
    </row>
    <row r="331" spans="1:15" ht="18.75" customHeight="1">
      <c r="B331" s="2437"/>
      <c r="C331" s="3178" t="s">
        <v>3195</v>
      </c>
      <c r="D331" s="3178"/>
      <c r="E331" s="3178"/>
      <c r="F331" s="3178"/>
      <c r="G331" s="3164"/>
      <c r="H331" s="3155"/>
      <c r="I331" s="3165"/>
      <c r="J331" s="3162"/>
      <c r="K331" s="3163"/>
    </row>
    <row r="332" spans="1:15">
      <c r="B332" s="2437"/>
      <c r="C332" s="3161" t="s">
        <v>3635</v>
      </c>
      <c r="D332" s="3161"/>
      <c r="E332" s="3161"/>
      <c r="F332" s="3161"/>
      <c r="G332" s="3158">
        <f>'Trial Balance FY 22-23'!D323*1/1000</f>
        <v>32201.502</v>
      </c>
      <c r="H332" s="3159"/>
      <c r="I332" s="3160"/>
      <c r="J332" s="3162">
        <f>'Trial Balance FY 22-23'!E323*1/1000</f>
        <v>11351.502</v>
      </c>
      <c r="K332" s="3163"/>
      <c r="M332" s="1212">
        <f>1/1000</f>
        <v>1E-3</v>
      </c>
    </row>
    <row r="333" spans="1:15">
      <c r="B333" s="2437"/>
      <c r="C333" s="3161" t="s">
        <v>3634</v>
      </c>
      <c r="D333" s="3161"/>
      <c r="E333" s="3161"/>
      <c r="F333" s="3161"/>
      <c r="G333" s="3158">
        <f>'Trial Balance FY 22-23'!C323*1/1000</f>
        <v>23850</v>
      </c>
      <c r="H333" s="3159">
        <v>28233605</v>
      </c>
      <c r="I333" s="3160"/>
      <c r="J333" s="3162">
        <v>0</v>
      </c>
      <c r="K333" s="3163"/>
    </row>
    <row r="334" spans="1:15">
      <c r="B334" s="2437"/>
      <c r="C334" s="3161" t="s">
        <v>3633</v>
      </c>
      <c r="D334" s="3161"/>
      <c r="E334" s="3161"/>
      <c r="F334" s="3161"/>
      <c r="G334" s="3158">
        <f>'Trial Balance FY 22-23'!D324*1/1000</f>
        <v>1000</v>
      </c>
      <c r="H334" s="3159"/>
      <c r="I334" s="3160"/>
      <c r="J334" s="3162">
        <f>'Trial Balance FY 22-23'!E324*1/1000</f>
        <v>41.369</v>
      </c>
      <c r="K334" s="3163"/>
    </row>
    <row r="335" spans="1:15">
      <c r="B335" s="2437"/>
      <c r="C335" s="3161" t="s">
        <v>3632</v>
      </c>
      <c r="D335" s="3161"/>
      <c r="E335" s="3161"/>
      <c r="F335" s="3161"/>
      <c r="G335" s="3158">
        <f>'Trial Balance FY 22-23'!C324*1/1000</f>
        <v>1000</v>
      </c>
      <c r="H335" s="3159"/>
      <c r="I335" s="3160"/>
      <c r="J335" s="3162">
        <v>0</v>
      </c>
      <c r="K335" s="3163"/>
    </row>
    <row r="336" spans="1:15" ht="11.25" customHeight="1">
      <c r="B336" s="2437"/>
      <c r="C336" s="2502"/>
      <c r="D336" s="2503"/>
      <c r="E336" s="2503"/>
      <c r="G336" s="3158"/>
      <c r="H336" s="3159"/>
      <c r="I336" s="3160"/>
      <c r="J336" s="3162"/>
      <c r="K336" s="3163"/>
    </row>
    <row r="337" spans="2:14">
      <c r="B337" s="2435"/>
      <c r="C337" s="3181" t="s">
        <v>3196</v>
      </c>
      <c r="D337" s="3181"/>
      <c r="E337" s="3181"/>
      <c r="F337" s="3181"/>
      <c r="G337" s="3158"/>
      <c r="H337" s="3159"/>
      <c r="I337" s="3160"/>
      <c r="J337" s="3162"/>
      <c r="K337" s="3163"/>
    </row>
    <row r="338" spans="2:14">
      <c r="B338" s="2435"/>
      <c r="C338" s="3166" t="s">
        <v>3197</v>
      </c>
      <c r="D338" s="3166"/>
      <c r="E338" s="3166"/>
      <c r="F338" s="3166"/>
      <c r="G338" s="3158">
        <f>2520000*1/1000</f>
        <v>2520</v>
      </c>
      <c r="H338" s="3159"/>
      <c r="I338" s="3160"/>
      <c r="J338" s="3174">
        <f>N338*1/1000</f>
        <v>205.71</v>
      </c>
      <c r="K338" s="3175"/>
      <c r="M338" s="1212">
        <f>210000*12</f>
        <v>2520000</v>
      </c>
      <c r="N338" s="1212">
        <f>141345+64365</f>
        <v>205710</v>
      </c>
    </row>
    <row r="339" spans="2:14">
      <c r="B339" s="2435"/>
      <c r="C339" s="3166" t="s">
        <v>3198</v>
      </c>
      <c r="D339" s="3166"/>
      <c r="E339" s="3166"/>
      <c r="F339" s="3166"/>
      <c r="G339" s="3158">
        <f>1260000*1/1000</f>
        <v>1260</v>
      </c>
      <c r="H339" s="3159"/>
      <c r="I339" s="3160"/>
      <c r="J339" s="3174">
        <f>N339*1/1000</f>
        <v>164.87</v>
      </c>
      <c r="K339" s="3175"/>
      <c r="M339" s="1212">
        <f>105000*12</f>
        <v>1260000</v>
      </c>
      <c r="N339" s="1212">
        <f>85921+78949</f>
        <v>164870</v>
      </c>
    </row>
    <row r="340" spans="2:14">
      <c r="B340" s="2435"/>
      <c r="C340" s="3166"/>
      <c r="D340" s="3166"/>
      <c r="E340" s="3166"/>
      <c r="F340" s="3167"/>
      <c r="G340" s="3158"/>
      <c r="H340" s="3159"/>
      <c r="I340" s="3160"/>
      <c r="J340" s="3174"/>
      <c r="K340" s="3175"/>
    </row>
    <row r="341" spans="2:14">
      <c r="B341" s="2435"/>
      <c r="C341" s="3166" t="s">
        <v>3636</v>
      </c>
      <c r="D341" s="3166"/>
      <c r="E341" s="3166"/>
      <c r="F341" s="3167"/>
      <c r="G341" s="3158"/>
      <c r="H341" s="3159"/>
      <c r="I341" s="3160"/>
      <c r="J341" s="3174"/>
      <c r="K341" s="3175"/>
    </row>
    <row r="342" spans="2:14" ht="36" customHeight="1">
      <c r="B342" s="2435"/>
      <c r="C342" s="3166" t="s">
        <v>3637</v>
      </c>
      <c r="D342" s="3166"/>
      <c r="E342" s="3166"/>
      <c r="F342" s="3167"/>
      <c r="G342" s="3158">
        <f>900000*1/1000</f>
        <v>900</v>
      </c>
      <c r="H342" s="3159"/>
      <c r="I342" s="3160"/>
      <c r="J342" s="3174">
        <f>162000*1/1000</f>
        <v>162</v>
      </c>
      <c r="K342" s="3175"/>
      <c r="L342" s="1212" t="s">
        <v>927</v>
      </c>
      <c r="M342" s="1212">
        <f>75000</f>
        <v>75000</v>
      </c>
    </row>
    <row r="343" spans="2:14" ht="16.8" thickBot="1">
      <c r="B343" s="2435"/>
      <c r="C343" s="3140"/>
      <c r="D343" s="3140"/>
      <c r="E343" s="3140"/>
      <c r="F343" s="3141"/>
      <c r="G343" s="3168"/>
      <c r="H343" s="3169"/>
      <c r="I343" s="3170"/>
      <c r="J343" s="3176"/>
      <c r="K343" s="3177"/>
      <c r="L343" s="1212" t="s">
        <v>4261</v>
      </c>
      <c r="M343" s="1212">
        <f>M342*18%</f>
        <v>13500</v>
      </c>
    </row>
    <row r="344" spans="2:14">
      <c r="B344" s="2435"/>
      <c r="H344" s="1888"/>
      <c r="I344" s="1888"/>
      <c r="J344" s="1888"/>
      <c r="K344" s="2347"/>
      <c r="L344" s="1212" t="s">
        <v>4262</v>
      </c>
      <c r="M344" s="1212" t="s">
        <v>1158</v>
      </c>
      <c r="N344" s="1212">
        <f>M342+M343-N345</f>
        <v>81000</v>
      </c>
    </row>
    <row r="345" spans="2:14">
      <c r="B345" s="2435"/>
      <c r="H345" s="1888"/>
      <c r="I345" s="1888"/>
      <c r="J345" s="1888"/>
      <c r="K345" s="2347"/>
      <c r="L345" s="1212" t="s">
        <v>4263</v>
      </c>
      <c r="N345" s="1212">
        <f>M342*10%</f>
        <v>7500</v>
      </c>
    </row>
    <row r="346" spans="2:14">
      <c r="B346" s="2435"/>
      <c r="H346" s="1888"/>
      <c r="I346" s="1888"/>
      <c r="J346" s="1888"/>
      <c r="K346" s="2347"/>
    </row>
    <row r="347" spans="2:14" ht="25.5" customHeight="1" thickBot="1">
      <c r="B347" s="2361">
        <f>B321+1</f>
        <v>27</v>
      </c>
      <c r="C347" s="222" t="s">
        <v>555</v>
      </c>
      <c r="H347" s="1888"/>
      <c r="I347" s="1888"/>
      <c r="J347" s="1888"/>
      <c r="K347" s="2353"/>
      <c r="N347" s="1212" t="s">
        <v>2206</v>
      </c>
    </row>
    <row r="348" spans="2:14" ht="16.8" thickBot="1">
      <c r="B348" s="2361"/>
      <c r="C348" s="3087" t="s">
        <v>1</v>
      </c>
      <c r="D348" s="3087"/>
      <c r="E348" s="3087"/>
      <c r="F348" s="3087"/>
      <c r="G348" s="3087"/>
      <c r="H348" s="3087"/>
      <c r="I348" s="2365"/>
      <c r="J348" s="1898" t="str">
        <f>J315</f>
        <v>For the year 2022-23</v>
      </c>
      <c r="K348" s="2366" t="str">
        <f>K315</f>
        <v>For the year 2021-22</v>
      </c>
    </row>
    <row r="349" spans="2:14">
      <c r="B349" s="2435"/>
      <c r="C349" s="222" t="s">
        <v>310</v>
      </c>
      <c r="H349" s="1888"/>
      <c r="I349" s="1888"/>
      <c r="J349" s="1888"/>
      <c r="K349" s="2347"/>
      <c r="M349" s="1212">
        <f>1/1000</f>
        <v>1E-3</v>
      </c>
    </row>
    <row r="350" spans="2:14">
      <c r="B350" s="2435"/>
      <c r="C350" s="2331" t="s">
        <v>1186</v>
      </c>
      <c r="H350" s="1888"/>
      <c r="I350" s="1888"/>
      <c r="J350" s="1888">
        <f>J230</f>
        <v>415774226.06</v>
      </c>
      <c r="K350" s="2347">
        <v>351687.70804000006</v>
      </c>
    </row>
    <row r="351" spans="2:14">
      <c r="B351" s="2435"/>
      <c r="C351" s="2331" t="s">
        <v>1187</v>
      </c>
      <c r="H351" s="1888"/>
      <c r="I351" s="1888"/>
      <c r="J351" s="1888">
        <f>J247</f>
        <v>337210666.03118646</v>
      </c>
      <c r="K351" s="2347">
        <v>241435.86174000002</v>
      </c>
    </row>
    <row r="352" spans="2:14">
      <c r="B352" s="2435"/>
      <c r="C352" s="2331" t="s">
        <v>543</v>
      </c>
      <c r="H352" s="1888"/>
      <c r="I352" s="1888"/>
      <c r="J352" s="1888">
        <f>J102</f>
        <v>16827138.239999998</v>
      </c>
      <c r="K352" s="2347">
        <v>25262.927239999997</v>
      </c>
    </row>
    <row r="353" spans="2:14">
      <c r="B353" s="2435"/>
      <c r="C353" s="2331" t="s">
        <v>544</v>
      </c>
      <c r="H353" s="1888"/>
      <c r="I353" s="1888"/>
      <c r="J353" s="1888">
        <f>('Trial Balance FY 22-23'!E362)*0.001</f>
        <v>72523.428350000002</v>
      </c>
      <c r="K353" s="2347">
        <v>68788.803650000002</v>
      </c>
      <c r="M353" s="1212">
        <v>57582213</v>
      </c>
      <c r="N353" s="1220">
        <f>M353-K353</f>
        <v>57513424.196350001</v>
      </c>
    </row>
    <row r="354" spans="2:14">
      <c r="B354" s="2435"/>
      <c r="C354" s="2331" t="s">
        <v>546</v>
      </c>
      <c r="H354" s="1888"/>
      <c r="I354" s="1888"/>
      <c r="J354" s="1888">
        <f>J181</f>
        <v>12929680.039999999</v>
      </c>
      <c r="K354" s="2347">
        <v>60572.944840000004</v>
      </c>
      <c r="L354" s="1212">
        <v>50133610</v>
      </c>
    </row>
    <row r="355" spans="2:14">
      <c r="B355" s="2435"/>
      <c r="C355" s="2331" t="s">
        <v>545</v>
      </c>
      <c r="H355" s="1888"/>
      <c r="I355" s="1888"/>
      <c r="J355" s="1888">
        <f>+J83</f>
        <v>17772799.64864406</v>
      </c>
      <c r="K355" s="2347">
        <v>6562.7098400000004</v>
      </c>
      <c r="L355" s="1220">
        <f>49721610-J316</f>
        <v>15188792.617211446</v>
      </c>
    </row>
    <row r="356" spans="2:14" ht="16.8" thickBot="1">
      <c r="B356" s="2435"/>
      <c r="C356" s="2405"/>
      <c r="D356" s="2405"/>
      <c r="E356" s="2405"/>
      <c r="F356" s="2405"/>
      <c r="G356" s="2405"/>
      <c r="H356" s="2464"/>
      <c r="I356" s="2464"/>
      <c r="J356" s="2465"/>
      <c r="K356" s="2377"/>
    </row>
    <row r="357" spans="2:14" ht="16.8" thickBot="1">
      <c r="B357" s="2436"/>
      <c r="C357" s="2405"/>
      <c r="D357" s="2405"/>
      <c r="E357" s="2405"/>
      <c r="F357" s="2405"/>
      <c r="G357" s="2405"/>
      <c r="H357" s="2464"/>
      <c r="I357" s="2464"/>
      <c r="J357" s="2465"/>
      <c r="K357" s="2377"/>
      <c r="L357" s="1239"/>
    </row>
    <row r="361" spans="2:14" ht="34.5" customHeight="1">
      <c r="E361" s="2331" t="s">
        <v>1656</v>
      </c>
      <c r="G361" s="3086" t="s">
        <v>1657</v>
      </c>
      <c r="H361" s="3086"/>
      <c r="I361" s="1886" t="s">
        <v>1659</v>
      </c>
      <c r="J361" s="1886" t="s">
        <v>1654</v>
      </c>
    </row>
    <row r="362" spans="2:14" ht="21.75" customHeight="1">
      <c r="C362" s="2331" t="s">
        <v>1655</v>
      </c>
      <c r="E362" s="2391">
        <f>10000+5000+10000+10000+30000+10000+15000+40000+25000+20000+20000</f>
        <v>195000</v>
      </c>
      <c r="G362" s="3084">
        <f>3000+4730+4649+700+7583+28869+800+32096+400+2560744+44004</f>
        <v>2687575</v>
      </c>
      <c r="H362" s="3085"/>
      <c r="I362" s="2331">
        <f>5021+8794+11279+11512+7383+8170+24023+33098+13840+19830+38642+15766+39436+4570+12468+2570084+26360+45160</f>
        <v>2895436</v>
      </c>
      <c r="J362" s="1886">
        <v>285000</v>
      </c>
    </row>
    <row r="363" spans="2:14" ht="21.75" customHeight="1">
      <c r="C363" s="2331" t="s">
        <v>1658</v>
      </c>
      <c r="E363" s="1886">
        <f>5000+23000+15000+8000+10000+10000+22000+10000+25000+10000+20000+5000+10000+21000</f>
        <v>194000</v>
      </c>
      <c r="G363" s="3083">
        <f>400+21000+9000+9400+4500+1700+800+38397+2781+79476+6574+8000+2543446+33+357700</f>
        <v>3083207</v>
      </c>
      <c r="H363" s="3083"/>
      <c r="I363" s="1886">
        <f>3230+23840+3733+9765+9466+10490+11542+18641+8000+17822+27397+17281+47790+91476+9851+8051+18110+2548843+12693+1728+370468</f>
        <v>3270217</v>
      </c>
    </row>
    <row r="364" spans="2:14" ht="18.75" customHeight="1"/>
    <row r="365" spans="2:14" ht="24" customHeight="1"/>
    <row r="366" spans="2:14" ht="39.75" customHeight="1"/>
    <row r="369" spans="2:11" ht="21.6" customHeight="1"/>
    <row r="372" spans="2:11" s="1244" customFormat="1" ht="21.75" customHeight="1">
      <c r="B372" s="2349"/>
      <c r="C372" s="2331"/>
      <c r="D372" s="2331"/>
      <c r="E372" s="2331"/>
      <c r="F372" s="2331"/>
      <c r="G372" s="2331"/>
      <c r="H372" s="1886"/>
      <c r="I372" s="1886"/>
      <c r="J372" s="1886"/>
      <c r="K372" s="1886"/>
    </row>
    <row r="832" spans="7:7">
      <c r="G832" s="2331">
        <f>3074612-E834</f>
        <v>3074612</v>
      </c>
    </row>
    <row r="833" spans="7:7">
      <c r="G833" s="2331">
        <f>+G832+E803</f>
        <v>3074612</v>
      </c>
    </row>
  </sheetData>
  <mergeCells count="146">
    <mergeCell ref="C340:F340"/>
    <mergeCell ref="C341:F341"/>
    <mergeCell ref="G342:I342"/>
    <mergeCell ref="C164:H164"/>
    <mergeCell ref="C163:H163"/>
    <mergeCell ref="C140:K140"/>
    <mergeCell ref="C250:J250"/>
    <mergeCell ref="J341:K341"/>
    <mergeCell ref="J342:K342"/>
    <mergeCell ref="C202:H202"/>
    <mergeCell ref="C217:H217"/>
    <mergeCell ref="C226:H226"/>
    <mergeCell ref="C275:H275"/>
    <mergeCell ref="C221:F221"/>
    <mergeCell ref="J340:K340"/>
    <mergeCell ref="C162:E162"/>
    <mergeCell ref="C228:G228"/>
    <mergeCell ref="C220:D220"/>
    <mergeCell ref="G343:I343"/>
    <mergeCell ref="G339:I339"/>
    <mergeCell ref="J330:K330"/>
    <mergeCell ref="C187:E187"/>
    <mergeCell ref="J335:K335"/>
    <mergeCell ref="J336:K336"/>
    <mergeCell ref="J337:K337"/>
    <mergeCell ref="J338:K338"/>
    <mergeCell ref="J343:K343"/>
    <mergeCell ref="J339:K339"/>
    <mergeCell ref="C326:F326"/>
    <mergeCell ref="G326:J326"/>
    <mergeCell ref="C339:F339"/>
    <mergeCell ref="C334:F334"/>
    <mergeCell ref="G333:I333"/>
    <mergeCell ref="G334:I334"/>
    <mergeCell ref="J333:K333"/>
    <mergeCell ref="C331:F331"/>
    <mergeCell ref="G330:I330"/>
    <mergeCell ref="C335:F335"/>
    <mergeCell ref="C333:F333"/>
    <mergeCell ref="C337:F337"/>
    <mergeCell ref="C338:F338"/>
    <mergeCell ref="J334:K334"/>
    <mergeCell ref="C343:F343"/>
    <mergeCell ref="C322:J322"/>
    <mergeCell ref="C323:F323"/>
    <mergeCell ref="G323:J323"/>
    <mergeCell ref="C324:F324"/>
    <mergeCell ref="G324:J324"/>
    <mergeCell ref="C327:F327"/>
    <mergeCell ref="G327:J327"/>
    <mergeCell ref="C328:J328"/>
    <mergeCell ref="C329:J329"/>
    <mergeCell ref="E325:H325"/>
    <mergeCell ref="C325:D325"/>
    <mergeCell ref="G335:I335"/>
    <mergeCell ref="G336:I336"/>
    <mergeCell ref="G337:I337"/>
    <mergeCell ref="G338:I338"/>
    <mergeCell ref="C332:F332"/>
    <mergeCell ref="J332:K332"/>
    <mergeCell ref="G331:I331"/>
    <mergeCell ref="G332:I332"/>
    <mergeCell ref="J331:K331"/>
    <mergeCell ref="C342:F342"/>
    <mergeCell ref="G340:I340"/>
    <mergeCell ref="G341:I341"/>
    <mergeCell ref="C90:H90"/>
    <mergeCell ref="C91:H91"/>
    <mergeCell ref="C69:G69"/>
    <mergeCell ref="C68:H68"/>
    <mergeCell ref="C88:G88"/>
    <mergeCell ref="C78:H78"/>
    <mergeCell ref="C87:H87"/>
    <mergeCell ref="C70:F70"/>
    <mergeCell ref="C71:F71"/>
    <mergeCell ref="C81:F81"/>
    <mergeCell ref="C72:E72"/>
    <mergeCell ref="C97:E97"/>
    <mergeCell ref="C161:E161"/>
    <mergeCell ref="C92:H92"/>
    <mergeCell ref="C108:H108"/>
    <mergeCell ref="C100:F100"/>
    <mergeCell ref="C127:G127"/>
    <mergeCell ref="C98:H98"/>
    <mergeCell ref="C99:H99"/>
    <mergeCell ref="C120:G120"/>
    <mergeCell ref="C122:F122"/>
    <mergeCell ref="C93:H93"/>
    <mergeCell ref="B2:K2"/>
    <mergeCell ref="C13:F13"/>
    <mergeCell ref="C16:F16"/>
    <mergeCell ref="H8:I8"/>
    <mergeCell ref="J8:K8"/>
    <mergeCell ref="B5:K5"/>
    <mergeCell ref="C8:G9"/>
    <mergeCell ref="B4:K4"/>
    <mergeCell ref="C6:K6"/>
    <mergeCell ref="B3:K3"/>
    <mergeCell ref="C20:K20"/>
    <mergeCell ref="C22:K22"/>
    <mergeCell ref="C63:G63"/>
    <mergeCell ref="J25:K25"/>
    <mergeCell ref="H25:I25"/>
    <mergeCell ref="C25:F26"/>
    <mergeCell ref="C36:D36"/>
    <mergeCell ref="C185:H185"/>
    <mergeCell ref="C153:I153"/>
    <mergeCell ref="C136:K137"/>
    <mergeCell ref="C95:E95"/>
    <mergeCell ref="C96:E96"/>
    <mergeCell ref="C142:K142"/>
    <mergeCell ref="C89:H89"/>
    <mergeCell ref="C160:H160"/>
    <mergeCell ref="C169:H169"/>
    <mergeCell ref="C176:H176"/>
    <mergeCell ref="C139:K139"/>
    <mergeCell ref="C141:K141"/>
    <mergeCell ref="C149:I149"/>
    <mergeCell ref="C144:H144"/>
    <mergeCell ref="C131:G131"/>
    <mergeCell ref="C24:J24"/>
    <mergeCell ref="C132:G132"/>
    <mergeCell ref="G363:H363"/>
    <mergeCell ref="G362:H362"/>
    <mergeCell ref="G361:H361"/>
    <mergeCell ref="C348:H348"/>
    <mergeCell ref="C330:F330"/>
    <mergeCell ref="C42:G42"/>
    <mergeCell ref="C60:K60"/>
    <mergeCell ref="J33:K33"/>
    <mergeCell ref="C33:F34"/>
    <mergeCell ref="H33:I33"/>
    <mergeCell ref="C213:K214"/>
    <mergeCell ref="C196:H196"/>
    <mergeCell ref="C315:H315"/>
    <mergeCell ref="C198:I198"/>
    <mergeCell ref="C210:E210"/>
    <mergeCell ref="C251:H251"/>
    <mergeCell ref="C243:H243"/>
    <mergeCell ref="C264:H264"/>
    <mergeCell ref="C218:E218"/>
    <mergeCell ref="C219:F219"/>
    <mergeCell ref="C234:H234"/>
    <mergeCell ref="C227:F227"/>
    <mergeCell ref="C80:I80"/>
    <mergeCell ref="C186:E186"/>
  </mergeCells>
  <printOptions horizontalCentered="1" verticalCentered="1"/>
  <pageMargins left="0" right="0" top="0" bottom="0" header="0" footer="0"/>
  <pageSetup paperSize="9" scale="59" fitToHeight="0" orientation="portrait" r:id="rId1"/>
  <rowBreaks count="5" manualBreakCount="5">
    <brk id="60" min="1" max="10" man="1"/>
    <brk id="117" min="1" max="10" man="1"/>
    <brk id="199" min="1" max="10" man="1"/>
    <brk id="249" min="1" max="10" man="1"/>
    <brk id="311" min="1"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91"/>
  <sheetViews>
    <sheetView topLeftCell="A152" zoomScale="115" zoomScaleNormal="115" workbookViewId="0">
      <selection activeCell="G269" sqref="G269:G308"/>
    </sheetView>
  </sheetViews>
  <sheetFormatPr defaultColWidth="8.77734375" defaultRowHeight="15.6"/>
  <cols>
    <col min="1" max="1" width="40.44140625" style="2063" bestFit="1" customWidth="1"/>
    <col min="2" max="2" width="15.44140625" style="2063" bestFit="1" customWidth="1"/>
    <col min="3" max="4" width="12.44140625" style="2063" bestFit="1" customWidth="1"/>
    <col min="5" max="5" width="15.44140625" style="2063" bestFit="1" customWidth="1"/>
    <col min="6" max="6" width="13.5546875" style="2063" customWidth="1"/>
    <col min="7" max="7" width="43.21875" style="2117" bestFit="1" customWidth="1"/>
    <col min="8" max="8" width="8.77734375" style="2117"/>
    <col min="9" max="11" width="8.77734375" style="2063"/>
    <col min="12" max="12" width="12" style="2063" bestFit="1" customWidth="1"/>
    <col min="13" max="13" width="14.5546875" style="2063" bestFit="1" customWidth="1"/>
    <col min="14" max="16384" width="8.77734375" style="2063"/>
  </cols>
  <sheetData>
    <row r="1" spans="1:8">
      <c r="A1" s="3193" t="s">
        <v>3821</v>
      </c>
      <c r="B1" s="3193"/>
      <c r="C1" s="3193"/>
      <c r="D1" s="2062"/>
      <c r="E1" s="2062"/>
      <c r="F1" s="2062"/>
    </row>
    <row r="2" spans="1:8">
      <c r="A2" s="3186" t="s">
        <v>3822</v>
      </c>
      <c r="B2" s="3186"/>
      <c r="C2" s="3186"/>
      <c r="D2" s="2062"/>
      <c r="E2" s="2062"/>
      <c r="F2" s="2062"/>
    </row>
    <row r="3" spans="1:8">
      <c r="A3" s="3186" t="s">
        <v>1663</v>
      </c>
      <c r="B3" s="3186"/>
      <c r="C3" s="3186"/>
      <c r="D3" s="2062"/>
      <c r="E3" s="2062"/>
      <c r="F3" s="2062"/>
    </row>
    <row r="4" spans="1:8">
      <c r="A4" s="3186" t="s">
        <v>1664</v>
      </c>
      <c r="B4" s="3186"/>
      <c r="C4" s="3186"/>
      <c r="D4" s="2062"/>
      <c r="E4" s="2062"/>
      <c r="F4" s="2062"/>
    </row>
    <row r="5" spans="1:8">
      <c r="A5" s="3194" t="s">
        <v>1665</v>
      </c>
      <c r="B5" s="3194"/>
      <c r="C5" s="3194"/>
      <c r="D5" s="2062"/>
      <c r="E5" s="2062"/>
      <c r="F5" s="2062"/>
    </row>
    <row r="6" spans="1:8">
      <c r="A6" s="3195" t="s">
        <v>81</v>
      </c>
      <c r="B6" s="3195"/>
      <c r="C6" s="3195"/>
      <c r="D6" s="2062"/>
      <c r="E6" s="2062"/>
      <c r="F6" s="2062"/>
    </row>
    <row r="7" spans="1:8">
      <c r="A7" s="3186" t="s">
        <v>3823</v>
      </c>
      <c r="B7" s="3186"/>
      <c r="C7" s="3186"/>
      <c r="D7" s="2062"/>
      <c r="E7" s="2062"/>
      <c r="F7" s="2062">
        <v>-1</v>
      </c>
      <c r="H7" s="1772" t="s">
        <v>126</v>
      </c>
    </row>
    <row r="8" spans="1:8">
      <c r="A8" s="2064" t="s">
        <v>82</v>
      </c>
      <c r="B8" s="3187" t="s">
        <v>3821</v>
      </c>
      <c r="C8" s="3188"/>
      <c r="D8" s="3188"/>
      <c r="E8" s="3188"/>
      <c r="F8" s="2112"/>
      <c r="H8" s="1772" t="s">
        <v>127</v>
      </c>
    </row>
    <row r="9" spans="1:8">
      <c r="A9" s="2065" t="s">
        <v>1</v>
      </c>
      <c r="B9" s="3189" t="s">
        <v>3823</v>
      </c>
      <c r="C9" s="3190"/>
      <c r="D9" s="3190"/>
      <c r="E9" s="3190"/>
      <c r="F9" s="2066"/>
      <c r="H9" s="1772" t="s">
        <v>128</v>
      </c>
    </row>
    <row r="10" spans="1:8">
      <c r="A10" s="2065" t="s">
        <v>82</v>
      </c>
      <c r="B10" s="2067" t="s">
        <v>1331</v>
      </c>
      <c r="C10" s="3191" t="s">
        <v>1332</v>
      </c>
      <c r="D10" s="3192"/>
      <c r="E10" s="2067" t="s">
        <v>1333</v>
      </c>
      <c r="F10" s="2113"/>
      <c r="H10" s="1772" t="s">
        <v>129</v>
      </c>
    </row>
    <row r="11" spans="1:8">
      <c r="A11" s="2068" t="s">
        <v>82</v>
      </c>
      <c r="B11" s="2069" t="s">
        <v>1196</v>
      </c>
      <c r="C11" s="2070" t="s">
        <v>66</v>
      </c>
      <c r="D11" s="2070" t="s">
        <v>67</v>
      </c>
      <c r="E11" s="2069" t="s">
        <v>1196</v>
      </c>
      <c r="F11" s="2113"/>
      <c r="G11" s="2117" t="s">
        <v>3437</v>
      </c>
      <c r="H11" s="2117" t="s">
        <v>3462</v>
      </c>
    </row>
    <row r="12" spans="1:8">
      <c r="A12" s="2071" t="s">
        <v>84</v>
      </c>
      <c r="B12" s="2072">
        <v>7147460</v>
      </c>
      <c r="C12" s="2073"/>
      <c r="D12" s="2073"/>
      <c r="E12" s="2072">
        <v>7147460</v>
      </c>
      <c r="F12" s="2114"/>
    </row>
    <row r="13" spans="1:8">
      <c r="A13" s="2074" t="s">
        <v>85</v>
      </c>
      <c r="B13" s="2075">
        <v>7147460</v>
      </c>
      <c r="C13" s="2076"/>
      <c r="D13" s="2076"/>
      <c r="E13" s="2075">
        <v>7147460</v>
      </c>
      <c r="F13" s="2075"/>
    </row>
    <row r="14" spans="1:8">
      <c r="A14" s="2071" t="s">
        <v>86</v>
      </c>
      <c r="B14" s="2077">
        <v>19664663.109999999</v>
      </c>
      <c r="C14" s="2078">
        <v>385339427.16000003</v>
      </c>
      <c r="D14" s="2078">
        <v>378084029.16000003</v>
      </c>
      <c r="E14" s="2077">
        <v>12409265.109999999</v>
      </c>
      <c r="F14" s="2114"/>
    </row>
    <row r="15" spans="1:8">
      <c r="A15" s="2079" t="s">
        <v>87</v>
      </c>
      <c r="B15" s="2080"/>
      <c r="C15" s="2081">
        <v>99750</v>
      </c>
      <c r="D15" s="2081">
        <v>99750</v>
      </c>
      <c r="E15" s="2080"/>
      <c r="F15" s="2076"/>
    </row>
    <row r="16" spans="1:8">
      <c r="A16" s="2082" t="s">
        <v>2365</v>
      </c>
      <c r="B16" s="2076"/>
      <c r="C16" s="2083">
        <v>99750</v>
      </c>
      <c r="D16" s="2083">
        <v>99750</v>
      </c>
      <c r="E16" s="2076"/>
      <c r="F16" s="2076"/>
    </row>
    <row r="17" spans="1:15">
      <c r="A17" s="2079" t="s">
        <v>89</v>
      </c>
      <c r="B17" s="2084">
        <v>10777123.970000001</v>
      </c>
      <c r="C17" s="2085">
        <v>368340931.16000003</v>
      </c>
      <c r="D17" s="2085">
        <v>369940869.16000003</v>
      </c>
      <c r="E17" s="2084">
        <v>12377061.970000001</v>
      </c>
      <c r="F17" s="2084"/>
    </row>
    <row r="18" spans="1:15">
      <c r="A18" s="2074" t="s">
        <v>2013</v>
      </c>
      <c r="B18" s="2075">
        <v>412000</v>
      </c>
      <c r="C18" s="2085">
        <v>412000</v>
      </c>
      <c r="D18" s="2076"/>
      <c r="E18" s="2086"/>
      <c r="F18" s="2086"/>
    </row>
    <row r="19" spans="1:15">
      <c r="A19" s="2074" t="s">
        <v>1177</v>
      </c>
      <c r="B19" s="2086"/>
      <c r="C19" s="2183">
        <v>5360596</v>
      </c>
      <c r="D19" s="2085">
        <v>5360596</v>
      </c>
      <c r="E19" s="2086"/>
      <c r="F19" s="2086"/>
    </row>
    <row r="20" spans="1:15">
      <c r="A20" s="2074" t="s">
        <v>2015</v>
      </c>
      <c r="B20" s="2075">
        <v>8443336</v>
      </c>
      <c r="C20" s="2085">
        <v>11126150</v>
      </c>
      <c r="D20" s="2085">
        <v>2682814</v>
      </c>
      <c r="E20" s="2170"/>
      <c r="F20" s="2086"/>
      <c r="G20" s="2117" t="s">
        <v>1870</v>
      </c>
    </row>
    <row r="21" spans="1:15">
      <c r="A21" s="2074" t="s">
        <v>1063</v>
      </c>
      <c r="B21" s="2075">
        <v>32203.14</v>
      </c>
      <c r="C21" s="2076"/>
      <c r="D21" s="2076"/>
      <c r="E21" s="2110">
        <v>32203.14</v>
      </c>
      <c r="F21" s="2075"/>
      <c r="G21" s="2117" t="s">
        <v>2446</v>
      </c>
    </row>
    <row r="22" spans="1:15">
      <c r="A22" s="2071" t="s">
        <v>39</v>
      </c>
      <c r="B22" s="2087">
        <v>55562041.259999998</v>
      </c>
      <c r="C22" s="2078">
        <v>32735629</v>
      </c>
      <c r="D22" s="2078">
        <v>14466624</v>
      </c>
      <c r="E22" s="2176">
        <v>73831046.260000005</v>
      </c>
      <c r="F22" s="2115"/>
    </row>
    <row r="23" spans="1:15">
      <c r="A23" s="2074" t="s">
        <v>92</v>
      </c>
      <c r="B23" s="2088">
        <v>868251</v>
      </c>
      <c r="C23" s="2076"/>
      <c r="D23" s="2076"/>
      <c r="E23" s="2088">
        <v>868251</v>
      </c>
      <c r="F23" s="2088"/>
    </row>
    <row r="24" spans="1:15">
      <c r="A24" s="2089" t="s">
        <v>2472</v>
      </c>
      <c r="B24" s="2088">
        <v>121490</v>
      </c>
      <c r="C24" s="2076"/>
      <c r="D24" s="2076"/>
      <c r="E24" s="2088">
        <v>121490</v>
      </c>
      <c r="F24" s="2088"/>
    </row>
    <row r="25" spans="1:15">
      <c r="A25" s="2074" t="s">
        <v>93</v>
      </c>
      <c r="B25" s="2088">
        <v>812487.8</v>
      </c>
      <c r="C25" s="2085">
        <v>291739</v>
      </c>
      <c r="D25" s="2085">
        <v>229185</v>
      </c>
      <c r="E25" s="2088">
        <v>875041.8</v>
      </c>
      <c r="F25" s="2088"/>
    </row>
    <row r="26" spans="1:15">
      <c r="A26" s="2074" t="s">
        <v>94</v>
      </c>
      <c r="B26" s="2088">
        <v>275865.34999999998</v>
      </c>
      <c r="C26" s="2076"/>
      <c r="D26" s="2085">
        <v>26861</v>
      </c>
      <c r="E26" s="2088">
        <v>249004.35</v>
      </c>
      <c r="F26" s="2088"/>
    </row>
    <row r="27" spans="1:15">
      <c r="A27" s="2074" t="s">
        <v>1267</v>
      </c>
      <c r="B27" s="2088">
        <v>44600066.630000003</v>
      </c>
      <c r="C27" s="2085">
        <v>30609890</v>
      </c>
      <c r="D27" s="2085">
        <v>12491543</v>
      </c>
      <c r="E27" s="2088">
        <v>62718413.630000003</v>
      </c>
      <c r="F27" s="2088"/>
    </row>
    <row r="28" spans="1:15">
      <c r="A28" s="2089" t="s">
        <v>1266</v>
      </c>
      <c r="B28" s="2088">
        <v>8883880.4800000004</v>
      </c>
      <c r="C28" s="2085">
        <v>1834000</v>
      </c>
      <c r="D28" s="2085">
        <v>1719035</v>
      </c>
      <c r="E28" s="2088">
        <v>8998845.4800000004</v>
      </c>
      <c r="F28" s="2088"/>
    </row>
    <row r="29" spans="1:15">
      <c r="A29" s="2071" t="s">
        <v>96</v>
      </c>
      <c r="B29" s="2087">
        <v>116985786.73999999</v>
      </c>
      <c r="C29" s="2078">
        <v>1435808822.6300001</v>
      </c>
      <c r="D29" s="2078">
        <v>1496724756.22</v>
      </c>
      <c r="E29" s="2087">
        <v>56069853.149999999</v>
      </c>
      <c r="F29" s="2115"/>
    </row>
    <row r="30" spans="1:15">
      <c r="A30" s="2079" t="s">
        <v>1265</v>
      </c>
      <c r="B30" s="2080"/>
      <c r="C30" s="2080"/>
      <c r="D30" s="2080"/>
      <c r="E30" s="2080"/>
      <c r="F30" s="2076"/>
    </row>
    <row r="31" spans="1:15">
      <c r="A31" s="2090" t="s">
        <v>1719</v>
      </c>
      <c r="B31" s="2076"/>
      <c r="C31" s="2086"/>
      <c r="D31" s="2086"/>
      <c r="E31" s="2076"/>
      <c r="F31" s="2076"/>
    </row>
    <row r="32" spans="1:15">
      <c r="A32" s="2079" t="s">
        <v>97</v>
      </c>
      <c r="B32" s="2091">
        <v>23379207</v>
      </c>
      <c r="C32" s="2092"/>
      <c r="D32" s="2092"/>
      <c r="E32" s="2091">
        <v>23379207</v>
      </c>
      <c r="F32" s="2093"/>
      <c r="M32" s="2120">
        <v>32735629</v>
      </c>
      <c r="N32" s="2063">
        <v>32737399</v>
      </c>
      <c r="O32" s="2191">
        <f>M32-N32</f>
        <v>-1770</v>
      </c>
    </row>
    <row r="33" spans="1:13">
      <c r="A33" s="2082" t="s">
        <v>3824</v>
      </c>
      <c r="B33" s="2093">
        <v>1210432</v>
      </c>
      <c r="C33" s="2086"/>
      <c r="D33" s="2086"/>
      <c r="E33" s="2118">
        <v>1210432</v>
      </c>
      <c r="F33" s="2093"/>
      <c r="G33" s="2117" t="s">
        <v>3618</v>
      </c>
      <c r="M33" s="2063">
        <v>-32756515</v>
      </c>
    </row>
    <row r="34" spans="1:13">
      <c r="A34" s="2082" t="s">
        <v>2016</v>
      </c>
      <c r="B34" s="2093">
        <v>1718775</v>
      </c>
      <c r="C34" s="2086"/>
      <c r="D34" s="2086"/>
      <c r="E34" s="2118">
        <v>1718775</v>
      </c>
      <c r="F34" s="2093"/>
      <c r="G34" s="2117" t="s">
        <v>1121</v>
      </c>
    </row>
    <row r="35" spans="1:13">
      <c r="A35" s="2089" t="s">
        <v>730</v>
      </c>
      <c r="B35" s="2093">
        <v>20450000</v>
      </c>
      <c r="C35" s="2086"/>
      <c r="D35" s="2086"/>
      <c r="E35" s="2118">
        <v>20450000</v>
      </c>
      <c r="F35" s="2093"/>
      <c r="G35" s="2117" t="s">
        <v>4011</v>
      </c>
    </row>
    <row r="36" spans="1:13">
      <c r="A36" s="2079" t="s">
        <v>98</v>
      </c>
      <c r="B36" s="2093">
        <v>60572944.840000004</v>
      </c>
      <c r="C36" s="2085">
        <v>493680718.74000001</v>
      </c>
      <c r="D36" s="2085">
        <v>543338552.53999996</v>
      </c>
      <c r="E36" s="2118">
        <v>10915111.039999999</v>
      </c>
      <c r="F36" s="2093"/>
      <c r="G36" s="2117" t="s">
        <v>2953</v>
      </c>
    </row>
    <row r="37" spans="1:13">
      <c r="A37" s="2079" t="s">
        <v>1247</v>
      </c>
      <c r="B37" s="2091">
        <v>271137.75</v>
      </c>
      <c r="C37" s="2094">
        <v>13197136</v>
      </c>
      <c r="D37" s="2094">
        <v>13023062</v>
      </c>
      <c r="E37" s="2091">
        <v>445211.75</v>
      </c>
      <c r="F37" s="2093"/>
    </row>
    <row r="38" spans="1:13">
      <c r="A38" s="2082" t="s">
        <v>260</v>
      </c>
      <c r="B38" s="2093">
        <v>3763</v>
      </c>
      <c r="C38" s="2083">
        <v>4370911</v>
      </c>
      <c r="D38" s="2083">
        <v>4365891</v>
      </c>
      <c r="E38" s="2118">
        <v>8783</v>
      </c>
      <c r="F38" s="2093"/>
      <c r="G38" s="2117" t="s">
        <v>3024</v>
      </c>
    </row>
    <row r="39" spans="1:13">
      <c r="A39" s="2090" t="s">
        <v>2621</v>
      </c>
      <c r="B39" s="2093">
        <v>267374.75</v>
      </c>
      <c r="C39" s="2083">
        <v>8826225</v>
      </c>
      <c r="D39" s="2083">
        <v>8657171</v>
      </c>
      <c r="E39" s="2118">
        <v>436428.75</v>
      </c>
      <c r="F39" s="2093"/>
      <c r="G39" s="2117" t="s">
        <v>3024</v>
      </c>
    </row>
    <row r="40" spans="1:13">
      <c r="A40" s="2079" t="s">
        <v>70</v>
      </c>
      <c r="B40" s="2091">
        <v>25922027.149999999</v>
      </c>
      <c r="C40" s="2094">
        <v>925380978.88999999</v>
      </c>
      <c r="D40" s="2094">
        <v>937209238.67999995</v>
      </c>
      <c r="E40" s="2091">
        <v>14093767.359999999</v>
      </c>
      <c r="F40" s="2093"/>
    </row>
    <row r="41" spans="1:13">
      <c r="A41" s="2095" t="s">
        <v>804</v>
      </c>
      <c r="B41" s="2096">
        <v>25815430.75</v>
      </c>
      <c r="C41" s="2097">
        <v>912086114.61000001</v>
      </c>
      <c r="D41" s="2097">
        <v>923917044.36000001</v>
      </c>
      <c r="E41" s="2096">
        <v>13984501</v>
      </c>
      <c r="F41" s="2088"/>
    </row>
    <row r="42" spans="1:13">
      <c r="A42" s="2098" t="s">
        <v>806</v>
      </c>
      <c r="B42" s="2088">
        <v>12797.11</v>
      </c>
      <c r="C42" s="2076"/>
      <c r="D42" s="2076"/>
      <c r="E42" s="129">
        <v>12797.11</v>
      </c>
      <c r="F42" s="2088"/>
      <c r="G42" s="2117" t="s">
        <v>1119</v>
      </c>
    </row>
    <row r="43" spans="1:13">
      <c r="A43" s="2098" t="s">
        <v>807</v>
      </c>
      <c r="B43" s="2088">
        <v>67390.39</v>
      </c>
      <c r="C43" s="2085">
        <v>3920000</v>
      </c>
      <c r="D43" s="2085">
        <v>3987390.39</v>
      </c>
      <c r="E43" s="129"/>
      <c r="F43" s="2086"/>
      <c r="G43" s="2117" t="s">
        <v>1119</v>
      </c>
    </row>
    <row r="44" spans="1:13">
      <c r="A44" s="2099" t="s">
        <v>3825</v>
      </c>
      <c r="B44" s="2086"/>
      <c r="C44" s="2085">
        <v>1068410.71</v>
      </c>
      <c r="D44" s="2085">
        <v>984352</v>
      </c>
      <c r="E44" s="129">
        <v>84058.71</v>
      </c>
      <c r="F44" s="2088"/>
      <c r="G44" s="2117" t="s">
        <v>1119</v>
      </c>
    </row>
    <row r="45" spans="1:13">
      <c r="A45" s="2099" t="s">
        <v>808</v>
      </c>
      <c r="B45" s="2088">
        <v>102970.16</v>
      </c>
      <c r="C45" s="2085">
        <v>5716113</v>
      </c>
      <c r="D45" s="2085">
        <v>5787402.5899999999</v>
      </c>
      <c r="E45" s="129">
        <v>31680.57</v>
      </c>
      <c r="F45" s="2088"/>
      <c r="G45" s="2117" t="s">
        <v>1119</v>
      </c>
    </row>
    <row r="46" spans="1:13">
      <c r="A46" s="2098" t="s">
        <v>261</v>
      </c>
      <c r="B46" s="2088">
        <v>14081255.720000001</v>
      </c>
      <c r="C46" s="2085">
        <v>603465053.00999999</v>
      </c>
      <c r="D46" s="2085">
        <v>610333640.01999998</v>
      </c>
      <c r="E46" s="129">
        <v>7212668.71</v>
      </c>
      <c r="F46" s="2088"/>
      <c r="G46" s="2117" t="s">
        <v>1119</v>
      </c>
    </row>
    <row r="47" spans="1:13">
      <c r="A47" s="2098" t="s">
        <v>811</v>
      </c>
      <c r="B47" s="2088">
        <v>5118782.38</v>
      </c>
      <c r="C47" s="2085">
        <v>141889831.87</v>
      </c>
      <c r="D47" s="2085">
        <v>145884936.88</v>
      </c>
      <c r="E47" s="129">
        <v>1123677.3700000001</v>
      </c>
      <c r="F47" s="2088"/>
      <c r="G47" s="2117" t="s">
        <v>1119</v>
      </c>
    </row>
    <row r="48" spans="1:13">
      <c r="A48" s="2098" t="s">
        <v>812</v>
      </c>
      <c r="B48" s="2088">
        <v>5117221.1399999997</v>
      </c>
      <c r="C48" s="2085">
        <v>90158280</v>
      </c>
      <c r="D48" s="2085">
        <v>90230973</v>
      </c>
      <c r="E48" s="129">
        <v>5044528.1399999997</v>
      </c>
      <c r="F48" s="2088"/>
      <c r="G48" s="2117" t="s">
        <v>1119</v>
      </c>
    </row>
    <row r="49" spans="1:7">
      <c r="A49" s="2099" t="s">
        <v>2622</v>
      </c>
      <c r="B49" s="2088">
        <v>28464.52</v>
      </c>
      <c r="C49" s="2085">
        <v>30589331.02</v>
      </c>
      <c r="D49" s="2085">
        <v>30366833.920000002</v>
      </c>
      <c r="E49" s="129">
        <v>250961.62</v>
      </c>
      <c r="F49" s="2088"/>
      <c r="G49" s="2117" t="s">
        <v>1119</v>
      </c>
    </row>
    <row r="50" spans="1:7">
      <c r="A50" s="2098" t="s">
        <v>813</v>
      </c>
      <c r="B50" s="2088">
        <v>21297.87</v>
      </c>
      <c r="C50" s="2076"/>
      <c r="D50" s="2076"/>
      <c r="E50" s="129">
        <v>21297.87</v>
      </c>
      <c r="F50" s="2088"/>
      <c r="G50" s="2117" t="s">
        <v>1119</v>
      </c>
    </row>
    <row r="51" spans="1:7">
      <c r="A51" s="2099" t="s">
        <v>3410</v>
      </c>
      <c r="B51" s="2088">
        <v>31547.18</v>
      </c>
      <c r="C51" s="2085">
        <v>8400347</v>
      </c>
      <c r="D51" s="2085">
        <v>8247509.5199999996</v>
      </c>
      <c r="E51" s="129">
        <v>184384.66</v>
      </c>
      <c r="F51" s="2088"/>
      <c r="G51" s="2117" t="s">
        <v>1119</v>
      </c>
    </row>
    <row r="52" spans="1:7">
      <c r="A52" s="2099" t="s">
        <v>2223</v>
      </c>
      <c r="B52" s="2088">
        <v>1219586.28</v>
      </c>
      <c r="C52" s="2085">
        <v>26878748</v>
      </c>
      <c r="D52" s="2085">
        <v>28094006.039999999</v>
      </c>
      <c r="E52" s="2173">
        <v>4328.24</v>
      </c>
      <c r="F52" s="2088"/>
      <c r="G52" s="2117" t="s">
        <v>1119</v>
      </c>
    </row>
    <row r="53" spans="1:7">
      <c r="A53" s="2098" t="s">
        <v>814</v>
      </c>
      <c r="B53" s="2088">
        <v>14118</v>
      </c>
      <c r="C53" s="2076"/>
      <c r="D53" s="2076"/>
      <c r="E53" s="129">
        <v>14118</v>
      </c>
      <c r="F53" s="2088"/>
      <c r="G53" s="2117" t="s">
        <v>1119</v>
      </c>
    </row>
    <row r="54" spans="1:7">
      <c r="A54" s="2100" t="s">
        <v>815</v>
      </c>
      <c r="B54" s="2101">
        <v>106596.4</v>
      </c>
      <c r="C54" s="2078">
        <v>13294864.279999999</v>
      </c>
      <c r="D54" s="2078">
        <v>13292194.32</v>
      </c>
      <c r="E54" s="2101">
        <v>109266.36</v>
      </c>
      <c r="F54" s="2088"/>
    </row>
    <row r="55" spans="1:7">
      <c r="A55" s="2098" t="s">
        <v>816</v>
      </c>
      <c r="B55" s="2088">
        <v>11681.17</v>
      </c>
      <c r="C55" s="2076"/>
      <c r="D55" s="2076"/>
      <c r="E55" s="129">
        <v>11681.17</v>
      </c>
      <c r="F55" s="2088"/>
      <c r="G55" s="2117" t="s">
        <v>1119</v>
      </c>
    </row>
    <row r="56" spans="1:7">
      <c r="A56" s="2099" t="s">
        <v>817</v>
      </c>
      <c r="B56" s="2088">
        <v>27862.32</v>
      </c>
      <c r="C56" s="2076"/>
      <c r="D56" s="2085">
        <v>27862.32</v>
      </c>
      <c r="E56" s="129"/>
      <c r="F56" s="2086"/>
      <c r="G56" s="2117" t="s">
        <v>1119</v>
      </c>
    </row>
    <row r="57" spans="1:7">
      <c r="A57" s="2098" t="s">
        <v>818</v>
      </c>
      <c r="B57" s="2088">
        <v>37007.769999999997</v>
      </c>
      <c r="C57" s="2085">
        <v>13294864.279999999</v>
      </c>
      <c r="D57" s="2085">
        <v>13264332</v>
      </c>
      <c r="E57" s="129">
        <v>67540.05</v>
      </c>
      <c r="F57" s="2088"/>
      <c r="G57" s="2117" t="s">
        <v>1119</v>
      </c>
    </row>
    <row r="58" spans="1:7">
      <c r="A58" s="2099" t="s">
        <v>819</v>
      </c>
      <c r="B58" s="2088">
        <v>18839.75</v>
      </c>
      <c r="C58" s="2076"/>
      <c r="D58" s="2076"/>
      <c r="E58" s="129">
        <v>18839.75</v>
      </c>
      <c r="F58" s="2088"/>
      <c r="G58" s="2117" t="s">
        <v>1119</v>
      </c>
    </row>
    <row r="59" spans="1:7">
      <c r="A59" s="2098" t="s">
        <v>820</v>
      </c>
      <c r="B59" s="2088">
        <v>11037.14</v>
      </c>
      <c r="C59" s="2076"/>
      <c r="D59" s="2076"/>
      <c r="E59" s="2111">
        <v>11037.14</v>
      </c>
      <c r="F59" s="2088"/>
      <c r="G59" s="2117" t="s">
        <v>1119</v>
      </c>
    </row>
    <row r="60" spans="1:7">
      <c r="A60" s="2099" t="s">
        <v>821</v>
      </c>
      <c r="B60" s="2088">
        <v>168.25</v>
      </c>
      <c r="C60" s="2076"/>
      <c r="D60" s="2076"/>
      <c r="E60" s="129">
        <v>168.25</v>
      </c>
      <c r="F60" s="2088"/>
      <c r="G60" s="2117" t="s">
        <v>1119</v>
      </c>
    </row>
    <row r="61" spans="1:7">
      <c r="A61" s="2074" t="s">
        <v>99</v>
      </c>
      <c r="B61" s="2088">
        <v>6840470</v>
      </c>
      <c r="C61" s="2085">
        <v>3549989</v>
      </c>
      <c r="D61" s="2085">
        <v>3153903</v>
      </c>
      <c r="E61" s="2111">
        <v>7236556</v>
      </c>
      <c r="F61" s="2088"/>
      <c r="G61" s="2117" t="s">
        <v>238</v>
      </c>
    </row>
    <row r="62" spans="1:7">
      <c r="A62" s="2071" t="s">
        <v>100</v>
      </c>
      <c r="B62" s="2184">
        <v>278530746.69999999</v>
      </c>
      <c r="C62" s="2078">
        <v>151902583.36000001</v>
      </c>
      <c r="D62" s="2078">
        <v>152490371</v>
      </c>
      <c r="E62" s="2087">
        <v>277942959.06</v>
      </c>
      <c r="F62" s="2115"/>
      <c r="G62" s="2187">
        <f>B62-B390</f>
        <v>7299639.5199999809</v>
      </c>
    </row>
    <row r="63" spans="1:7">
      <c r="A63" s="2074" t="s">
        <v>822</v>
      </c>
      <c r="B63" s="2075">
        <v>201</v>
      </c>
      <c r="C63" s="2076"/>
      <c r="D63" s="2076"/>
      <c r="E63" s="2168">
        <v>-201</v>
      </c>
      <c r="F63" s="2075"/>
    </row>
    <row r="64" spans="1:7">
      <c r="A64" s="2074" t="s">
        <v>1246</v>
      </c>
      <c r="B64" s="2075">
        <v>34050</v>
      </c>
      <c r="C64" s="2076"/>
      <c r="D64" s="2076"/>
      <c r="E64" s="2168">
        <v>-34050</v>
      </c>
      <c r="F64" s="2075"/>
    </row>
    <row r="65" spans="1:6">
      <c r="A65" s="2074" t="s">
        <v>3411</v>
      </c>
      <c r="B65" s="2088">
        <v>13505</v>
      </c>
      <c r="C65" s="2085">
        <v>34594057</v>
      </c>
      <c r="D65" s="2085">
        <v>34154560</v>
      </c>
      <c r="E65" s="2169">
        <v>453002</v>
      </c>
      <c r="F65" s="2088"/>
    </row>
    <row r="66" spans="1:6">
      <c r="A66" s="2074" t="s">
        <v>1245</v>
      </c>
      <c r="B66" s="2075">
        <v>1544</v>
      </c>
      <c r="C66" s="2076"/>
      <c r="D66" s="2076"/>
      <c r="E66" s="2168">
        <v>-1544</v>
      </c>
      <c r="F66" s="2075"/>
    </row>
    <row r="67" spans="1:6">
      <c r="A67" s="2074" t="s">
        <v>2038</v>
      </c>
      <c r="B67" s="2088">
        <v>2500</v>
      </c>
      <c r="C67" s="2076"/>
      <c r="D67" s="2076"/>
      <c r="E67" s="2169">
        <v>2500</v>
      </c>
      <c r="F67" s="2088"/>
    </row>
    <row r="68" spans="1:6">
      <c r="A68" s="2074" t="s">
        <v>2040</v>
      </c>
      <c r="B68" s="2088">
        <v>1300</v>
      </c>
      <c r="C68" s="2076"/>
      <c r="D68" s="2076"/>
      <c r="E68" s="2169">
        <v>1300</v>
      </c>
      <c r="F68" s="2088"/>
    </row>
    <row r="69" spans="1:6">
      <c r="A69" s="2074" t="s">
        <v>2747</v>
      </c>
      <c r="B69" s="2088">
        <v>15866</v>
      </c>
      <c r="C69" s="2085">
        <v>34425</v>
      </c>
      <c r="D69" s="2085">
        <v>50291</v>
      </c>
      <c r="E69" s="2170"/>
      <c r="F69" s="2086"/>
    </row>
    <row r="70" spans="1:6">
      <c r="A70" s="2074" t="s">
        <v>824</v>
      </c>
      <c r="B70" s="2075">
        <v>800</v>
      </c>
      <c r="C70" s="2076"/>
      <c r="D70" s="2076"/>
      <c r="E70" s="2174">
        <v>-800</v>
      </c>
      <c r="F70" s="2075"/>
    </row>
    <row r="71" spans="1:6">
      <c r="A71" s="2074" t="s">
        <v>825</v>
      </c>
      <c r="B71" s="2088">
        <v>2727</v>
      </c>
      <c r="C71" s="2076"/>
      <c r="D71" s="2076"/>
      <c r="E71" s="2169">
        <v>2727</v>
      </c>
      <c r="F71" s="2088"/>
    </row>
    <row r="72" spans="1:6">
      <c r="A72" s="2074" t="s">
        <v>1078</v>
      </c>
      <c r="B72" s="2088">
        <v>45000</v>
      </c>
      <c r="C72" s="2076"/>
      <c r="D72" s="2076"/>
      <c r="E72" s="2169">
        <v>45000</v>
      </c>
      <c r="F72" s="2088"/>
    </row>
    <row r="73" spans="1:6">
      <c r="A73" s="2074" t="s">
        <v>3412</v>
      </c>
      <c r="B73" s="2088">
        <v>79213</v>
      </c>
      <c r="C73" s="2085">
        <v>1052704</v>
      </c>
      <c r="D73" s="2085">
        <v>1131917</v>
      </c>
      <c r="E73" s="2170"/>
      <c r="F73" s="2086"/>
    </row>
    <row r="74" spans="1:6">
      <c r="A74" s="2074" t="s">
        <v>3826</v>
      </c>
      <c r="B74" s="2086"/>
      <c r="C74" s="2085">
        <v>343500</v>
      </c>
      <c r="D74" s="2085">
        <v>222039</v>
      </c>
      <c r="E74" s="2169">
        <v>121461</v>
      </c>
      <c r="F74" s="2088"/>
    </row>
    <row r="75" spans="1:6">
      <c r="A75" s="2074" t="s">
        <v>2178</v>
      </c>
      <c r="B75" s="2088">
        <v>66072</v>
      </c>
      <c r="C75" s="2085">
        <v>136183</v>
      </c>
      <c r="D75" s="2085">
        <v>200755</v>
      </c>
      <c r="E75" s="2169">
        <v>1500</v>
      </c>
      <c r="F75" s="2088"/>
    </row>
    <row r="76" spans="1:6">
      <c r="A76" s="2074" t="s">
        <v>830</v>
      </c>
      <c r="B76" s="2075">
        <v>18245.75</v>
      </c>
      <c r="C76" s="2085">
        <v>1816396</v>
      </c>
      <c r="D76" s="2085">
        <v>1855993</v>
      </c>
      <c r="E76" s="2110">
        <v>57842.75</v>
      </c>
      <c r="F76" s="2075"/>
    </row>
    <row r="77" spans="1:6">
      <c r="A77" s="2074" t="s">
        <v>3827</v>
      </c>
      <c r="B77" s="2086"/>
      <c r="C77" s="2085">
        <v>45500</v>
      </c>
      <c r="D77" s="2085">
        <v>45500</v>
      </c>
      <c r="E77" s="2170"/>
      <c r="F77" s="2086"/>
    </row>
    <row r="78" spans="1:6">
      <c r="A78" s="2074" t="s">
        <v>2180</v>
      </c>
      <c r="B78" s="2088">
        <v>330487</v>
      </c>
      <c r="C78" s="2085">
        <v>115160</v>
      </c>
      <c r="D78" s="2085">
        <v>244260</v>
      </c>
      <c r="E78" s="2169">
        <v>201387</v>
      </c>
      <c r="F78" s="2088"/>
    </row>
    <row r="79" spans="1:6">
      <c r="A79" s="2074" t="s">
        <v>3413</v>
      </c>
      <c r="B79" s="2088">
        <v>199744</v>
      </c>
      <c r="C79" s="2085">
        <v>16690303.359999999</v>
      </c>
      <c r="D79" s="2085">
        <v>16402133</v>
      </c>
      <c r="E79" s="2169">
        <v>487914.36</v>
      </c>
      <c r="F79" s="2088"/>
    </row>
    <row r="80" spans="1:6">
      <c r="A80" s="2074" t="s">
        <v>835</v>
      </c>
      <c r="B80" s="2075">
        <v>2000</v>
      </c>
      <c r="C80" s="2076"/>
      <c r="D80" s="2076"/>
      <c r="E80" s="2168">
        <v>-2000</v>
      </c>
      <c r="F80" s="2075"/>
    </row>
    <row r="81" spans="1:6">
      <c r="A81" s="2074" t="s">
        <v>1737</v>
      </c>
      <c r="B81" s="2075">
        <v>65855</v>
      </c>
      <c r="C81" s="2076"/>
      <c r="D81" s="2076"/>
      <c r="E81" s="2168">
        <v>-65855</v>
      </c>
      <c r="F81" s="2075"/>
    </row>
    <row r="82" spans="1:6">
      <c r="A82" s="2074" t="s">
        <v>2627</v>
      </c>
      <c r="B82" s="2088">
        <v>9355</v>
      </c>
      <c r="C82" s="2085">
        <v>18741</v>
      </c>
      <c r="D82" s="2085">
        <v>28096</v>
      </c>
      <c r="E82" s="2170"/>
      <c r="F82" s="2086"/>
    </row>
    <row r="83" spans="1:6">
      <c r="A83" s="2074" t="s">
        <v>3828</v>
      </c>
      <c r="B83" s="2086"/>
      <c r="C83" s="2085">
        <v>2279900</v>
      </c>
      <c r="D83" s="2085">
        <v>1839233</v>
      </c>
      <c r="E83" s="2169">
        <v>440667</v>
      </c>
      <c r="F83" s="2088"/>
    </row>
    <row r="84" spans="1:6">
      <c r="A84" s="2074" t="s">
        <v>2047</v>
      </c>
      <c r="B84" s="2088">
        <v>9995</v>
      </c>
      <c r="C84" s="2085">
        <v>7000</v>
      </c>
      <c r="D84" s="2085">
        <v>16995</v>
      </c>
      <c r="E84" s="2170"/>
      <c r="F84" s="2086"/>
    </row>
    <row r="85" spans="1:6">
      <c r="A85" s="2074" t="s">
        <v>2628</v>
      </c>
      <c r="B85" s="2088">
        <v>445328</v>
      </c>
      <c r="C85" s="2085">
        <v>2289458</v>
      </c>
      <c r="D85" s="2085">
        <v>2734786</v>
      </c>
      <c r="E85" s="2170"/>
      <c r="F85" s="2086"/>
    </row>
    <row r="86" spans="1:6">
      <c r="A86" s="2074" t="s">
        <v>2181</v>
      </c>
      <c r="B86" s="2088">
        <v>13000</v>
      </c>
      <c r="C86" s="2076"/>
      <c r="D86" s="2076"/>
      <c r="E86" s="2169">
        <v>13000</v>
      </c>
      <c r="F86" s="2088"/>
    </row>
    <row r="87" spans="1:6">
      <c r="A87" s="2074" t="s">
        <v>836</v>
      </c>
      <c r="B87" s="2088">
        <v>88647</v>
      </c>
      <c r="C87" s="2076"/>
      <c r="D87" s="2076"/>
      <c r="E87" s="2169">
        <v>88647</v>
      </c>
      <c r="F87" s="2088"/>
    </row>
    <row r="88" spans="1:6">
      <c r="A88" s="2074" t="s">
        <v>1243</v>
      </c>
      <c r="B88" s="2088">
        <v>32269</v>
      </c>
      <c r="C88" s="2076"/>
      <c r="D88" s="2076"/>
      <c r="E88" s="2169">
        <v>32269</v>
      </c>
      <c r="F88" s="2088"/>
    </row>
    <row r="89" spans="1:6">
      <c r="A89" s="2074" t="s">
        <v>3414</v>
      </c>
      <c r="B89" s="2088">
        <v>846985</v>
      </c>
      <c r="C89" s="2085">
        <v>6783611</v>
      </c>
      <c r="D89" s="2085">
        <v>7588084</v>
      </c>
      <c r="E89" s="2169">
        <v>42512</v>
      </c>
      <c r="F89" s="2088"/>
    </row>
    <row r="90" spans="1:6">
      <c r="A90" s="2074" t="s">
        <v>2048</v>
      </c>
      <c r="B90" s="2075">
        <v>3000</v>
      </c>
      <c r="C90" s="2076"/>
      <c r="D90" s="2076"/>
      <c r="E90" s="2168">
        <v>-3000</v>
      </c>
      <c r="F90" s="2075"/>
    </row>
    <row r="91" spans="1:6">
      <c r="A91" s="2074" t="s">
        <v>837</v>
      </c>
      <c r="B91" s="2088">
        <v>75</v>
      </c>
      <c r="C91" s="2076"/>
      <c r="D91" s="2076"/>
      <c r="E91" s="2169">
        <v>75</v>
      </c>
      <c r="F91" s="2088"/>
    </row>
    <row r="92" spans="1:6">
      <c r="A92" s="2074" t="s">
        <v>838</v>
      </c>
      <c r="B92" s="2088">
        <v>5578</v>
      </c>
      <c r="C92" s="2076"/>
      <c r="D92" s="2076"/>
      <c r="E92" s="2169">
        <v>5578</v>
      </c>
      <c r="F92" s="2088"/>
    </row>
    <row r="93" spans="1:6">
      <c r="A93" s="2074" t="s">
        <v>839</v>
      </c>
      <c r="B93" s="2088">
        <v>22244</v>
      </c>
      <c r="C93" s="2076"/>
      <c r="D93" s="2076"/>
      <c r="E93" s="2169">
        <v>22244</v>
      </c>
      <c r="F93" s="2088"/>
    </row>
    <row r="94" spans="1:6">
      <c r="A94" s="2074" t="s">
        <v>840</v>
      </c>
      <c r="B94" s="2088">
        <v>18095</v>
      </c>
      <c r="C94" s="2076"/>
      <c r="D94" s="2076"/>
      <c r="E94" s="2169">
        <v>18095</v>
      </c>
      <c r="F94" s="2088"/>
    </row>
    <row r="95" spans="1:6">
      <c r="A95" s="2074" t="s">
        <v>841</v>
      </c>
      <c r="B95" s="2088">
        <v>31056</v>
      </c>
      <c r="C95" s="2076"/>
      <c r="D95" s="2076"/>
      <c r="E95" s="2169">
        <v>31056</v>
      </c>
      <c r="F95" s="2088"/>
    </row>
    <row r="96" spans="1:6">
      <c r="A96" s="2074" t="s">
        <v>842</v>
      </c>
      <c r="B96" s="2088">
        <v>27512</v>
      </c>
      <c r="C96" s="2076"/>
      <c r="D96" s="2076"/>
      <c r="E96" s="2169">
        <v>27512</v>
      </c>
      <c r="F96" s="2088"/>
    </row>
    <row r="97" spans="1:6">
      <c r="A97" s="2074" t="s">
        <v>843</v>
      </c>
      <c r="B97" s="2075">
        <v>2000</v>
      </c>
      <c r="C97" s="2076"/>
      <c r="D97" s="2076"/>
      <c r="E97" s="2168">
        <v>-2000</v>
      </c>
      <c r="F97" s="2075"/>
    </row>
    <row r="98" spans="1:6">
      <c r="A98" s="2074" t="s">
        <v>3829</v>
      </c>
      <c r="B98" s="2086"/>
      <c r="C98" s="2085">
        <v>879585</v>
      </c>
      <c r="D98" s="2085">
        <v>639418</v>
      </c>
      <c r="E98" s="2169">
        <v>240167</v>
      </c>
      <c r="F98" s="2088"/>
    </row>
    <row r="99" spans="1:6">
      <c r="A99" s="2074" t="s">
        <v>2798</v>
      </c>
      <c r="B99" s="2088">
        <v>30323</v>
      </c>
      <c r="C99" s="2085">
        <v>293788</v>
      </c>
      <c r="D99" s="2085">
        <v>324111</v>
      </c>
      <c r="E99" s="2170"/>
      <c r="F99" s="2086"/>
    </row>
    <row r="100" spans="1:6">
      <c r="A100" s="2074" t="s">
        <v>3830</v>
      </c>
      <c r="B100" s="2086"/>
      <c r="C100" s="2085">
        <v>650743</v>
      </c>
      <c r="D100" s="2085">
        <v>646743</v>
      </c>
      <c r="E100" s="2169">
        <v>4000</v>
      </c>
      <c r="F100" s="2088"/>
    </row>
    <row r="101" spans="1:6">
      <c r="A101" s="2074" t="s">
        <v>3416</v>
      </c>
      <c r="B101" s="2075">
        <v>92749</v>
      </c>
      <c r="C101" s="2085">
        <v>308669</v>
      </c>
      <c r="D101" s="2085">
        <v>215920</v>
      </c>
      <c r="E101" s="2170"/>
      <c r="F101" s="2086"/>
    </row>
    <row r="102" spans="1:6">
      <c r="A102" s="2074" t="s">
        <v>3417</v>
      </c>
      <c r="B102" s="2088">
        <v>754437</v>
      </c>
      <c r="C102" s="2085">
        <v>6496380</v>
      </c>
      <c r="D102" s="2085">
        <v>7250817</v>
      </c>
      <c r="E102" s="2170"/>
      <c r="F102" s="2086"/>
    </row>
    <row r="103" spans="1:6">
      <c r="A103" s="2074" t="s">
        <v>844</v>
      </c>
      <c r="B103" s="2075">
        <v>2100</v>
      </c>
      <c r="C103" s="2076"/>
      <c r="D103" s="2076"/>
      <c r="E103" s="2168">
        <v>-2100</v>
      </c>
      <c r="F103" s="2075"/>
    </row>
    <row r="104" spans="1:6">
      <c r="A104" s="2074" t="s">
        <v>845</v>
      </c>
      <c r="B104" s="2075">
        <v>5745</v>
      </c>
      <c r="C104" s="2076"/>
      <c r="D104" s="2076"/>
      <c r="E104" s="2168">
        <v>-5745</v>
      </c>
      <c r="F104" s="2075"/>
    </row>
    <row r="105" spans="1:6">
      <c r="A105" s="2074" t="s">
        <v>846</v>
      </c>
      <c r="B105" s="2088">
        <v>3188</v>
      </c>
      <c r="C105" s="2076"/>
      <c r="D105" s="2076"/>
      <c r="E105" s="2169">
        <v>3188</v>
      </c>
      <c r="F105" s="2088"/>
    </row>
    <row r="106" spans="1:6">
      <c r="A106" s="2074" t="s">
        <v>2832</v>
      </c>
      <c r="B106" s="2088">
        <f>1293971-20000</f>
        <v>1273971</v>
      </c>
      <c r="C106" s="2085">
        <v>17858011</v>
      </c>
      <c r="D106" s="2085">
        <v>18926209</v>
      </c>
      <c r="E106" s="2169">
        <f>B106+C106-D106</f>
        <v>205773</v>
      </c>
      <c r="F106" s="2088"/>
    </row>
    <row r="107" spans="1:6">
      <c r="A107" s="2074" t="s">
        <v>2182</v>
      </c>
      <c r="B107" s="2088">
        <v>53725.55</v>
      </c>
      <c r="C107" s="2076"/>
      <c r="D107" s="2076"/>
      <c r="E107" s="2111">
        <v>53725.55</v>
      </c>
      <c r="F107" s="2088"/>
    </row>
    <row r="108" spans="1:6">
      <c r="A108" s="2074" t="s">
        <v>849</v>
      </c>
      <c r="B108" s="2075">
        <v>1000</v>
      </c>
      <c r="C108" s="2076"/>
      <c r="D108" s="2076"/>
      <c r="E108" s="2174">
        <v>-1000</v>
      </c>
      <c r="F108" s="2075"/>
    </row>
    <row r="109" spans="1:6">
      <c r="A109" s="2074" t="s">
        <v>850</v>
      </c>
      <c r="B109" s="2088">
        <v>2950</v>
      </c>
      <c r="C109" s="2076"/>
      <c r="D109" s="2076"/>
      <c r="E109" s="2169">
        <v>2950</v>
      </c>
      <c r="F109" s="2088"/>
    </row>
    <row r="110" spans="1:6">
      <c r="A110" s="2074" t="s">
        <v>1739</v>
      </c>
      <c r="B110" s="2088">
        <v>5501</v>
      </c>
      <c r="C110" s="2076"/>
      <c r="D110" s="2076"/>
      <c r="E110" s="2169">
        <v>5501</v>
      </c>
      <c r="F110" s="2088"/>
    </row>
    <row r="111" spans="1:6">
      <c r="A111" s="2074" t="s">
        <v>3831</v>
      </c>
      <c r="B111" s="2086"/>
      <c r="C111" s="2085">
        <v>1856203</v>
      </c>
      <c r="D111" s="2085">
        <v>1805519</v>
      </c>
      <c r="E111" s="2169">
        <v>50684</v>
      </c>
      <c r="F111" s="2088"/>
    </row>
    <row r="112" spans="1:6">
      <c r="A112" s="2089" t="s">
        <v>2184</v>
      </c>
      <c r="B112" s="2088">
        <v>2000</v>
      </c>
      <c r="C112" s="2076"/>
      <c r="D112" s="2076"/>
      <c r="E112" s="2169">
        <v>2000</v>
      </c>
      <c r="F112" s="2088"/>
    </row>
    <row r="113" spans="1:6">
      <c r="A113" s="2074" t="s">
        <v>2185</v>
      </c>
      <c r="B113" s="2088">
        <v>313974.3</v>
      </c>
      <c r="C113" s="2076"/>
      <c r="D113" s="2076"/>
      <c r="E113" s="2169">
        <v>313974.3</v>
      </c>
      <c r="F113" s="2088"/>
    </row>
    <row r="114" spans="1:6">
      <c r="A114" s="2074" t="s">
        <v>2186</v>
      </c>
      <c r="B114" s="2086"/>
      <c r="C114" s="2085">
        <v>50000</v>
      </c>
      <c r="D114" s="2085">
        <v>50000</v>
      </c>
      <c r="E114" s="2170"/>
      <c r="F114" s="2086"/>
    </row>
    <row r="115" spans="1:6">
      <c r="A115" s="2074" t="s">
        <v>854</v>
      </c>
      <c r="B115" s="2075">
        <v>2494</v>
      </c>
      <c r="C115" s="2076"/>
      <c r="D115" s="2076"/>
      <c r="E115" s="2174">
        <v>-2494</v>
      </c>
      <c r="F115" s="2075"/>
    </row>
    <row r="116" spans="1:6">
      <c r="A116" s="2074" t="s">
        <v>2187</v>
      </c>
      <c r="B116" s="2088">
        <v>14117</v>
      </c>
      <c r="C116" s="2076"/>
      <c r="D116" s="2076"/>
      <c r="E116" s="2169">
        <v>14117</v>
      </c>
      <c r="F116" s="2088"/>
    </row>
    <row r="117" spans="1:6">
      <c r="A117" s="2074" t="s">
        <v>1521</v>
      </c>
      <c r="B117" s="2075">
        <v>1577</v>
      </c>
      <c r="C117" s="2076"/>
      <c r="D117" s="2076"/>
      <c r="E117" s="2168">
        <v>-1577</v>
      </c>
      <c r="F117" s="2075"/>
    </row>
    <row r="118" spans="1:6">
      <c r="A118" s="2074" t="s">
        <v>2188</v>
      </c>
      <c r="B118" s="2088">
        <v>800</v>
      </c>
      <c r="C118" s="2076"/>
      <c r="D118" s="2076"/>
      <c r="E118" s="2169">
        <v>800</v>
      </c>
      <c r="F118" s="2088"/>
    </row>
    <row r="119" spans="1:6">
      <c r="A119" s="2074" t="s">
        <v>3418</v>
      </c>
      <c r="B119" s="2088">
        <v>46141</v>
      </c>
      <c r="C119" s="2085">
        <v>11655205</v>
      </c>
      <c r="D119" s="2085">
        <v>11623212</v>
      </c>
      <c r="E119" s="2169">
        <v>78134</v>
      </c>
      <c r="F119" s="2088"/>
    </row>
    <row r="120" spans="1:6">
      <c r="A120" s="2074" t="s">
        <v>3419</v>
      </c>
      <c r="B120" s="2088">
        <v>65970</v>
      </c>
      <c r="C120" s="2085">
        <v>1219765</v>
      </c>
      <c r="D120" s="2085">
        <v>1285735</v>
      </c>
      <c r="E120" s="2170"/>
      <c r="F120" s="2086"/>
    </row>
    <row r="121" spans="1:6">
      <c r="A121" s="2074" t="s">
        <v>2189</v>
      </c>
      <c r="B121" s="2088">
        <v>500</v>
      </c>
      <c r="C121" s="2076"/>
      <c r="D121" s="2076"/>
      <c r="E121" s="2169">
        <v>500</v>
      </c>
      <c r="F121" s="2088"/>
    </row>
    <row r="122" spans="1:6">
      <c r="A122" s="2074" t="s">
        <v>3832</v>
      </c>
      <c r="B122" s="2086"/>
      <c r="C122" s="2085">
        <v>1805732</v>
      </c>
      <c r="D122" s="2085">
        <v>1484925</v>
      </c>
      <c r="E122" s="2169">
        <v>320807</v>
      </c>
      <c r="F122" s="2088"/>
    </row>
    <row r="123" spans="1:6">
      <c r="A123" s="2074" t="s">
        <v>3420</v>
      </c>
      <c r="B123" s="2088">
        <v>277575</v>
      </c>
      <c r="C123" s="2085">
        <v>6463886</v>
      </c>
      <c r="D123" s="2085">
        <v>6622185</v>
      </c>
      <c r="E123" s="2169">
        <v>119276</v>
      </c>
      <c r="F123" s="2088"/>
    </row>
    <row r="124" spans="1:6">
      <c r="A124" s="2074" t="s">
        <v>3421</v>
      </c>
      <c r="B124" s="2088">
        <v>356440</v>
      </c>
      <c r="C124" s="2085">
        <v>2314211</v>
      </c>
      <c r="D124" s="2085">
        <v>2530651</v>
      </c>
      <c r="E124" s="2169">
        <v>140000</v>
      </c>
      <c r="F124" s="2088"/>
    </row>
    <row r="125" spans="1:6">
      <c r="A125" s="2074" t="s">
        <v>2632</v>
      </c>
      <c r="B125" s="2088">
        <v>195400</v>
      </c>
      <c r="C125" s="2085">
        <v>424668</v>
      </c>
      <c r="D125" s="2085">
        <v>430068</v>
      </c>
      <c r="E125" s="2169">
        <v>190000</v>
      </c>
      <c r="F125" s="2088"/>
    </row>
    <row r="126" spans="1:6">
      <c r="A126" s="2074" t="s">
        <v>3833</v>
      </c>
      <c r="B126" s="2086"/>
      <c r="C126" s="2085">
        <v>28000</v>
      </c>
      <c r="D126" s="2076"/>
      <c r="E126" s="2169">
        <v>28000</v>
      </c>
      <c r="F126" s="2088"/>
    </row>
    <row r="127" spans="1:6">
      <c r="A127" s="2074" t="s">
        <v>1743</v>
      </c>
      <c r="B127" s="2088">
        <v>3530</v>
      </c>
      <c r="C127" s="2076"/>
      <c r="D127" s="2076"/>
      <c r="E127" s="2169">
        <v>3530</v>
      </c>
      <c r="F127" s="2088"/>
    </row>
    <row r="128" spans="1:6">
      <c r="A128" s="2074" t="s">
        <v>2191</v>
      </c>
      <c r="B128" s="2075">
        <v>1000</v>
      </c>
      <c r="C128" s="2076"/>
      <c r="D128" s="2076"/>
      <c r="E128" s="2168">
        <v>-1000</v>
      </c>
      <c r="F128" s="2075"/>
    </row>
    <row r="129" spans="1:6">
      <c r="A129" s="2074" t="s">
        <v>855</v>
      </c>
      <c r="B129" s="2088">
        <v>1518150.7</v>
      </c>
      <c r="C129" s="2076"/>
      <c r="D129" s="2076"/>
      <c r="E129" s="2111">
        <v>1518150.7</v>
      </c>
      <c r="F129" s="2088"/>
    </row>
    <row r="130" spans="1:6">
      <c r="A130" s="2074" t="s">
        <v>1239</v>
      </c>
      <c r="B130" s="2088">
        <v>1500</v>
      </c>
      <c r="C130" s="2076"/>
      <c r="D130" s="2076"/>
      <c r="E130" s="2169">
        <v>1500</v>
      </c>
      <c r="F130" s="2088"/>
    </row>
    <row r="131" spans="1:6">
      <c r="A131" s="2074" t="s">
        <v>256</v>
      </c>
      <c r="B131" s="2088">
        <v>271231100.89999998</v>
      </c>
      <c r="C131" s="2085">
        <v>40000</v>
      </c>
      <c r="D131" s="2076"/>
      <c r="E131" s="2111">
        <v>271271100.89999998</v>
      </c>
      <c r="F131" s="2088"/>
    </row>
    <row r="132" spans="1:6">
      <c r="A132" s="2074" t="s">
        <v>3834</v>
      </c>
      <c r="B132" s="2086"/>
      <c r="C132" s="2085">
        <v>8340179</v>
      </c>
      <c r="D132" s="2085">
        <v>7797737</v>
      </c>
      <c r="E132" s="2169">
        <v>542442</v>
      </c>
      <c r="F132" s="2088"/>
    </row>
    <row r="133" spans="1:6">
      <c r="A133" s="2074" t="s">
        <v>859</v>
      </c>
      <c r="B133" s="2088">
        <v>10812</v>
      </c>
      <c r="C133" s="2076"/>
      <c r="D133" s="2076"/>
      <c r="E133" s="2169">
        <v>10812</v>
      </c>
      <c r="F133" s="2088"/>
    </row>
    <row r="134" spans="1:6">
      <c r="A134" s="2074" t="s">
        <v>860</v>
      </c>
      <c r="B134" s="2088">
        <v>6042</v>
      </c>
      <c r="C134" s="2076"/>
      <c r="D134" s="2076"/>
      <c r="E134" s="2169">
        <v>6042</v>
      </c>
      <c r="F134" s="2088"/>
    </row>
    <row r="135" spans="1:6">
      <c r="A135" s="2074" t="s">
        <v>861</v>
      </c>
      <c r="B135" s="2075">
        <v>6589</v>
      </c>
      <c r="C135" s="2076"/>
      <c r="D135" s="2076"/>
      <c r="E135" s="2168">
        <v>-6589</v>
      </c>
      <c r="F135" s="2075"/>
    </row>
    <row r="136" spans="1:6">
      <c r="A136" s="2074" t="s">
        <v>3835</v>
      </c>
      <c r="B136" s="2086"/>
      <c r="C136" s="2085">
        <v>4771785</v>
      </c>
      <c r="D136" s="2085">
        <v>4764685</v>
      </c>
      <c r="E136" s="2169">
        <v>7100</v>
      </c>
      <c r="F136" s="2088"/>
    </row>
    <row r="137" spans="1:6">
      <c r="A137" s="2074" t="s">
        <v>3422</v>
      </c>
      <c r="B137" s="2088">
        <v>391272</v>
      </c>
      <c r="C137" s="2085">
        <v>7820903</v>
      </c>
      <c r="D137" s="2085">
        <v>8090688</v>
      </c>
      <c r="E137" s="2169">
        <v>121487</v>
      </c>
      <c r="F137" s="2088"/>
    </row>
    <row r="138" spans="1:6">
      <c r="A138" s="2074" t="s">
        <v>3423</v>
      </c>
      <c r="B138" s="2075">
        <v>144131</v>
      </c>
      <c r="C138" s="2085">
        <v>4608026</v>
      </c>
      <c r="D138" s="2085">
        <v>4463895</v>
      </c>
      <c r="E138" s="2170"/>
      <c r="F138" s="2086"/>
    </row>
    <row r="139" spans="1:6">
      <c r="A139" s="2074" t="s">
        <v>2193</v>
      </c>
      <c r="B139" s="2075">
        <v>1300</v>
      </c>
      <c r="C139" s="2076"/>
      <c r="D139" s="2076"/>
      <c r="E139" s="2168">
        <v>-1300</v>
      </c>
      <c r="F139" s="2075"/>
    </row>
    <row r="140" spans="1:6">
      <c r="A140" s="2074" t="s">
        <v>3836</v>
      </c>
      <c r="B140" s="2086"/>
      <c r="C140" s="2085">
        <v>3309812</v>
      </c>
      <c r="D140" s="2085">
        <v>3116377</v>
      </c>
      <c r="E140" s="2169">
        <v>193435</v>
      </c>
      <c r="F140" s="2088"/>
    </row>
    <row r="141" spans="1:6">
      <c r="A141" s="2074" t="s">
        <v>3837</v>
      </c>
      <c r="B141" s="2086"/>
      <c r="C141" s="2085">
        <v>2532669</v>
      </c>
      <c r="D141" s="2085">
        <v>2226681</v>
      </c>
      <c r="E141" s="2169">
        <v>305988</v>
      </c>
      <c r="F141" s="2088"/>
    </row>
    <row r="142" spans="1:6">
      <c r="A142" s="2074" t="s">
        <v>3424</v>
      </c>
      <c r="B142" s="2086"/>
      <c r="C142" s="2085">
        <v>47320</v>
      </c>
      <c r="D142" s="2085">
        <v>47320</v>
      </c>
      <c r="E142" s="2170"/>
      <c r="F142" s="2086"/>
    </row>
    <row r="143" spans="1:6">
      <c r="A143" s="2074" t="s">
        <v>1235</v>
      </c>
      <c r="B143" s="2075">
        <v>2987</v>
      </c>
      <c r="C143" s="2076"/>
      <c r="D143" s="2076"/>
      <c r="E143" s="2174">
        <v>-2987</v>
      </c>
      <c r="F143" s="2075"/>
    </row>
    <row r="144" spans="1:6">
      <c r="A144" s="2074" t="s">
        <v>864</v>
      </c>
      <c r="B144" s="2088">
        <v>19090</v>
      </c>
      <c r="C144" s="2076"/>
      <c r="D144" s="2076"/>
      <c r="E144" s="2169">
        <v>19090</v>
      </c>
      <c r="F144" s="2088"/>
    </row>
    <row r="145" spans="1:7">
      <c r="A145" s="2074" t="s">
        <v>865</v>
      </c>
      <c r="B145" s="2088">
        <v>6188</v>
      </c>
      <c r="C145" s="2076"/>
      <c r="D145" s="2076"/>
      <c r="E145" s="2169">
        <v>6188</v>
      </c>
      <c r="F145" s="2088"/>
    </row>
    <row r="146" spans="1:7">
      <c r="A146" s="2074" t="s">
        <v>866</v>
      </c>
      <c r="B146" s="2088">
        <v>6576</v>
      </c>
      <c r="C146" s="2076"/>
      <c r="D146" s="2076"/>
      <c r="E146" s="2169">
        <v>6576</v>
      </c>
      <c r="F146" s="2088"/>
    </row>
    <row r="147" spans="1:7">
      <c r="A147" s="2074" t="s">
        <v>867</v>
      </c>
      <c r="B147" s="2088">
        <v>486</v>
      </c>
      <c r="C147" s="2076"/>
      <c r="D147" s="2076"/>
      <c r="E147" s="2169">
        <v>486</v>
      </c>
      <c r="F147" s="2088"/>
    </row>
    <row r="148" spans="1:7">
      <c r="A148" s="2074" t="s">
        <v>868</v>
      </c>
      <c r="B148" s="2088">
        <v>2101</v>
      </c>
      <c r="C148" s="2076"/>
      <c r="D148" s="2076"/>
      <c r="E148" s="2169">
        <v>2101</v>
      </c>
      <c r="F148" s="2088"/>
    </row>
    <row r="149" spans="1:7">
      <c r="A149" s="2074" t="s">
        <v>869</v>
      </c>
      <c r="B149" s="2075">
        <v>300</v>
      </c>
      <c r="C149" s="2076"/>
      <c r="D149" s="2076"/>
      <c r="E149" s="2168">
        <v>-300</v>
      </c>
      <c r="F149" s="2075"/>
    </row>
    <row r="150" spans="1:7">
      <c r="A150" s="2074" t="s">
        <v>3838</v>
      </c>
      <c r="B150" s="2086"/>
      <c r="C150" s="2085">
        <v>1920105</v>
      </c>
      <c r="D150" s="2085">
        <v>1632833</v>
      </c>
      <c r="E150" s="2169">
        <v>287272</v>
      </c>
      <c r="F150" s="2088"/>
    </row>
    <row r="151" spans="1:7">
      <c r="A151" s="2071" t="s">
        <v>101</v>
      </c>
      <c r="B151" s="2087">
        <v>3492818.5</v>
      </c>
      <c r="C151" s="2078">
        <v>45009502</v>
      </c>
      <c r="D151" s="2078">
        <v>48531932</v>
      </c>
      <c r="E151" s="2171">
        <v>29611.5</v>
      </c>
      <c r="F151" s="2114"/>
      <c r="G151" s="2117" t="s">
        <v>1356</v>
      </c>
    </row>
    <row r="152" spans="1:7">
      <c r="A152" s="2074" t="s">
        <v>3839</v>
      </c>
      <c r="B152" s="2086"/>
      <c r="C152" s="2085">
        <v>50000</v>
      </c>
      <c r="D152" s="2085">
        <v>50000</v>
      </c>
      <c r="E152" s="2086"/>
      <c r="F152" s="2086"/>
    </row>
    <row r="153" spans="1:7">
      <c r="A153" s="2074" t="s">
        <v>870</v>
      </c>
      <c r="B153" s="2088">
        <v>1277.5</v>
      </c>
      <c r="C153" s="2085">
        <v>145631</v>
      </c>
      <c r="D153" s="2085">
        <v>146909</v>
      </c>
      <c r="E153" s="2075">
        <v>0.5</v>
      </c>
      <c r="F153" s="2075"/>
    </row>
    <row r="154" spans="1:7">
      <c r="A154" s="2074" t="s">
        <v>872</v>
      </c>
      <c r="B154" s="2086"/>
      <c r="C154" s="2085">
        <v>7500</v>
      </c>
      <c r="D154" s="2076"/>
      <c r="E154" s="2088">
        <v>7500</v>
      </c>
      <c r="F154" s="2088"/>
    </row>
    <row r="155" spans="1:7">
      <c r="A155" s="2089" t="s">
        <v>2198</v>
      </c>
      <c r="B155" s="2086"/>
      <c r="C155" s="2085">
        <v>5000</v>
      </c>
      <c r="D155" s="2085">
        <v>5000</v>
      </c>
      <c r="E155" s="2086"/>
      <c r="F155" s="2086"/>
    </row>
    <row r="156" spans="1:7">
      <c r="A156" s="2074" t="s">
        <v>874</v>
      </c>
      <c r="B156" s="2088">
        <v>28232.2</v>
      </c>
      <c r="C156" s="2085">
        <v>174117</v>
      </c>
      <c r="D156" s="2085">
        <v>189262</v>
      </c>
      <c r="E156" s="2088">
        <v>13087.2</v>
      </c>
      <c r="F156" s="2088"/>
    </row>
    <row r="157" spans="1:7">
      <c r="A157" s="2089" t="s">
        <v>2633</v>
      </c>
      <c r="B157" s="2086"/>
      <c r="C157" s="2085">
        <v>18000</v>
      </c>
      <c r="D157" s="2085">
        <v>18000</v>
      </c>
      <c r="E157" s="2086"/>
      <c r="F157" s="2086"/>
    </row>
    <row r="158" spans="1:7">
      <c r="A158" s="2074" t="s">
        <v>877</v>
      </c>
      <c r="B158" s="2086"/>
      <c r="C158" s="2085">
        <v>10000</v>
      </c>
      <c r="D158" s="2085">
        <v>10000</v>
      </c>
      <c r="E158" s="2086"/>
      <c r="F158" s="2086"/>
    </row>
    <row r="159" spans="1:7">
      <c r="A159" s="2074" t="s">
        <v>2062</v>
      </c>
      <c r="B159" s="2086"/>
      <c r="C159" s="2085">
        <v>23000</v>
      </c>
      <c r="D159" s="2085">
        <v>23000</v>
      </c>
      <c r="E159" s="2086"/>
      <c r="F159" s="2086"/>
    </row>
    <row r="160" spans="1:7">
      <c r="A160" s="2074" t="s">
        <v>879</v>
      </c>
      <c r="B160" s="2086"/>
      <c r="C160" s="2085">
        <v>31000</v>
      </c>
      <c r="D160" s="2085">
        <v>34855</v>
      </c>
      <c r="E160" s="2075">
        <v>3855</v>
      </c>
      <c r="F160" s="2075"/>
    </row>
    <row r="161" spans="1:7">
      <c r="A161" s="2074" t="s">
        <v>2063</v>
      </c>
      <c r="B161" s="2086"/>
      <c r="C161" s="2085">
        <v>7000</v>
      </c>
      <c r="D161" s="2085">
        <v>7000</v>
      </c>
      <c r="E161" s="2086"/>
      <c r="F161" s="2086"/>
    </row>
    <row r="162" spans="1:7">
      <c r="A162" s="2074" t="s">
        <v>880</v>
      </c>
      <c r="B162" s="2075">
        <v>9130.5</v>
      </c>
      <c r="C162" s="2085">
        <v>78500</v>
      </c>
      <c r="D162" s="2085">
        <v>71500</v>
      </c>
      <c r="E162" s="2075">
        <v>2130.5</v>
      </c>
      <c r="F162" s="2075"/>
    </row>
    <row r="163" spans="1:7">
      <c r="A163" s="2074" t="s">
        <v>881</v>
      </c>
      <c r="B163" s="2086"/>
      <c r="C163" s="2076"/>
      <c r="D163" s="2085">
        <v>9000</v>
      </c>
      <c r="E163" s="2075">
        <v>9000</v>
      </c>
      <c r="F163" s="2075"/>
    </row>
    <row r="164" spans="1:7">
      <c r="A164" s="2074" t="s">
        <v>1533</v>
      </c>
      <c r="B164" s="2088">
        <v>72352</v>
      </c>
      <c r="C164" s="2085">
        <v>37500</v>
      </c>
      <c r="D164" s="2085">
        <v>109852</v>
      </c>
      <c r="E164" s="2086"/>
      <c r="F164" s="2086"/>
    </row>
    <row r="165" spans="1:7">
      <c r="A165" s="2074" t="s">
        <v>883</v>
      </c>
      <c r="B165" s="2088">
        <v>11158</v>
      </c>
      <c r="C165" s="2085">
        <v>141500</v>
      </c>
      <c r="D165" s="2085">
        <v>134511</v>
      </c>
      <c r="E165" s="2088">
        <v>18147</v>
      </c>
      <c r="F165" s="2088"/>
    </row>
    <row r="166" spans="1:7">
      <c r="A166" s="2074" t="s">
        <v>884</v>
      </c>
      <c r="B166" s="2088">
        <v>91883.3</v>
      </c>
      <c r="C166" s="2085">
        <v>920905</v>
      </c>
      <c r="D166" s="2085">
        <v>990747</v>
      </c>
      <c r="E166" s="2088">
        <v>22041.3</v>
      </c>
      <c r="F166" s="2088"/>
    </row>
    <row r="167" spans="1:7">
      <c r="A167" s="2074" t="s">
        <v>2064</v>
      </c>
      <c r="B167" s="2088">
        <v>3297046</v>
      </c>
      <c r="C167" s="2085">
        <v>43316649</v>
      </c>
      <c r="D167" s="2085">
        <v>46690596</v>
      </c>
      <c r="E167" s="2075">
        <v>76901</v>
      </c>
      <c r="F167" s="2075"/>
    </row>
    <row r="168" spans="1:7">
      <c r="A168" s="2074" t="s">
        <v>2911</v>
      </c>
      <c r="B168" s="2086"/>
      <c r="C168" s="2085">
        <v>1500</v>
      </c>
      <c r="D168" s="2076"/>
      <c r="E168" s="2088">
        <v>1500</v>
      </c>
      <c r="F168" s="2088"/>
    </row>
    <row r="169" spans="1:7">
      <c r="A169" s="2074" t="s">
        <v>2066</v>
      </c>
      <c r="B169" s="2086"/>
      <c r="C169" s="2085">
        <v>30000</v>
      </c>
      <c r="D169" s="2085">
        <v>30000</v>
      </c>
      <c r="E169" s="2086"/>
      <c r="F169" s="2086"/>
    </row>
    <row r="170" spans="1:7">
      <c r="A170" s="2074" t="s">
        <v>1233</v>
      </c>
      <c r="B170" s="2086"/>
      <c r="C170" s="2085">
        <v>8000</v>
      </c>
      <c r="D170" s="2085">
        <v>8000</v>
      </c>
      <c r="E170" s="2086"/>
      <c r="F170" s="2086"/>
    </row>
    <row r="171" spans="1:7">
      <c r="A171" s="2074" t="s">
        <v>3425</v>
      </c>
      <c r="B171" s="2086"/>
      <c r="C171" s="2085">
        <v>3700</v>
      </c>
      <c r="D171" s="2085">
        <v>3700</v>
      </c>
      <c r="E171" s="2086"/>
      <c r="F171" s="2086"/>
    </row>
    <row r="172" spans="1:7">
      <c r="A172" s="2071" t="s">
        <v>102</v>
      </c>
      <c r="B172" s="2102"/>
      <c r="C172" s="2078">
        <v>425000</v>
      </c>
      <c r="D172" s="2078">
        <v>416199226.06</v>
      </c>
      <c r="E172" s="2077">
        <v>415774226.06</v>
      </c>
      <c r="F172" s="2114"/>
    </row>
    <row r="173" spans="1:7">
      <c r="A173" s="2074" t="s">
        <v>103</v>
      </c>
      <c r="B173" s="2086"/>
      <c r="C173" s="2085">
        <v>425000</v>
      </c>
      <c r="D173" s="2085">
        <v>416199226.06</v>
      </c>
      <c r="E173" s="2110">
        <v>415774226.06</v>
      </c>
      <c r="F173" s="2075"/>
      <c r="G173" s="2117" t="s">
        <v>293</v>
      </c>
    </row>
    <row r="174" spans="1:7">
      <c r="A174" s="2071" t="s">
        <v>104</v>
      </c>
      <c r="B174" s="2102"/>
      <c r="C174" s="2078">
        <v>186462146.38</v>
      </c>
      <c r="D174" s="2078">
        <v>27716958</v>
      </c>
      <c r="E174" s="2087">
        <v>158745188.38</v>
      </c>
      <c r="F174" s="2115"/>
    </row>
    <row r="175" spans="1:7">
      <c r="A175" s="2074" t="s">
        <v>105</v>
      </c>
      <c r="B175" s="2086"/>
      <c r="C175" s="2085">
        <v>340443</v>
      </c>
      <c r="D175" s="2076"/>
      <c r="E175" s="2111">
        <v>340443</v>
      </c>
      <c r="F175" s="2088"/>
      <c r="G175" s="2117" t="s">
        <v>295</v>
      </c>
    </row>
    <row r="176" spans="1:7">
      <c r="A176" s="2074" t="s">
        <v>115</v>
      </c>
      <c r="B176" s="2086"/>
      <c r="C176" s="2085">
        <v>662438</v>
      </c>
      <c r="D176" s="2076"/>
      <c r="E176" s="2111">
        <v>662438</v>
      </c>
      <c r="F176" s="2088"/>
      <c r="G176" s="2117" t="s">
        <v>295</v>
      </c>
    </row>
    <row r="177" spans="1:7">
      <c r="A177" s="2074" t="s">
        <v>116</v>
      </c>
      <c r="B177" s="2086"/>
      <c r="C177" s="2085">
        <v>2647656</v>
      </c>
      <c r="D177" s="2076"/>
      <c r="E177" s="2111">
        <v>2647656</v>
      </c>
      <c r="F177" s="2088"/>
      <c r="G177" s="2117" t="s">
        <v>295</v>
      </c>
    </row>
    <row r="178" spans="1:7">
      <c r="A178" s="2074" t="s">
        <v>117</v>
      </c>
      <c r="B178" s="2086"/>
      <c r="C178" s="2085">
        <v>21000</v>
      </c>
      <c r="D178" s="2076"/>
      <c r="E178" s="2111">
        <v>21000</v>
      </c>
      <c r="F178" s="2088"/>
      <c r="G178" s="2117" t="s">
        <v>295</v>
      </c>
    </row>
    <row r="179" spans="1:7">
      <c r="A179" s="2074" t="s">
        <v>106</v>
      </c>
      <c r="B179" s="2086"/>
      <c r="C179" s="2085">
        <v>470792</v>
      </c>
      <c r="D179" s="2076"/>
      <c r="E179" s="2111">
        <v>470792</v>
      </c>
      <c r="F179" s="2088"/>
      <c r="G179" s="2117" t="s">
        <v>295</v>
      </c>
    </row>
    <row r="180" spans="1:7">
      <c r="A180" s="2074" t="s">
        <v>107</v>
      </c>
      <c r="B180" s="2086"/>
      <c r="C180" s="2085">
        <v>2302960</v>
      </c>
      <c r="D180" s="2076"/>
      <c r="E180" s="2111">
        <v>2302960</v>
      </c>
      <c r="F180" s="2088"/>
      <c r="G180" s="2117" t="s">
        <v>295</v>
      </c>
    </row>
    <row r="181" spans="1:7">
      <c r="A181" s="2074" t="s">
        <v>1232</v>
      </c>
      <c r="B181" s="2086"/>
      <c r="C181" s="2085">
        <v>4065307</v>
      </c>
      <c r="D181" s="2076"/>
      <c r="E181" s="2111">
        <v>4065307</v>
      </c>
      <c r="F181" s="2088"/>
      <c r="G181" s="2117" t="s">
        <v>295</v>
      </c>
    </row>
    <row r="182" spans="1:7">
      <c r="A182" s="2074" t="s">
        <v>3840</v>
      </c>
      <c r="B182" s="2086"/>
      <c r="C182" s="2085">
        <v>9806</v>
      </c>
      <c r="D182" s="2076"/>
      <c r="E182" s="2111">
        <v>9806</v>
      </c>
      <c r="F182" s="2088"/>
      <c r="G182" s="2117" t="s">
        <v>295</v>
      </c>
    </row>
    <row r="183" spans="1:7">
      <c r="A183" s="2074" t="s">
        <v>108</v>
      </c>
      <c r="B183" s="2086"/>
      <c r="C183" s="2085">
        <v>697742</v>
      </c>
      <c r="D183" s="2076"/>
      <c r="E183" s="2111">
        <v>697742</v>
      </c>
      <c r="F183" s="2088"/>
      <c r="G183" s="2117" t="s">
        <v>295</v>
      </c>
    </row>
    <row r="184" spans="1:7">
      <c r="A184" s="2089" t="s">
        <v>119</v>
      </c>
      <c r="B184" s="2086"/>
      <c r="C184" s="2085">
        <v>233852</v>
      </c>
      <c r="D184" s="2076"/>
      <c r="E184" s="2111">
        <v>233852</v>
      </c>
      <c r="F184" s="2088"/>
      <c r="G184" s="2117" t="s">
        <v>295</v>
      </c>
    </row>
    <row r="185" spans="1:7">
      <c r="A185" s="2089" t="s">
        <v>120</v>
      </c>
      <c r="B185" s="2086"/>
      <c r="C185" s="2085">
        <v>3443369</v>
      </c>
      <c r="D185" s="2076"/>
      <c r="E185" s="2111">
        <v>3443369</v>
      </c>
      <c r="F185" s="2088"/>
      <c r="G185" s="2117" t="s">
        <v>295</v>
      </c>
    </row>
    <row r="186" spans="1:7">
      <c r="A186" s="2089" t="s">
        <v>3841</v>
      </c>
      <c r="B186" s="2086"/>
      <c r="C186" s="2085">
        <v>17499</v>
      </c>
      <c r="D186" s="2076"/>
      <c r="E186" s="2111">
        <v>17499</v>
      </c>
      <c r="F186" s="2088"/>
      <c r="G186" s="2117" t="s">
        <v>295</v>
      </c>
    </row>
    <row r="187" spans="1:7">
      <c r="A187" s="2089" t="s">
        <v>109</v>
      </c>
      <c r="B187" s="2086"/>
      <c r="C187" s="2085">
        <v>796075</v>
      </c>
      <c r="D187" s="2076"/>
      <c r="E187" s="2111">
        <v>796075</v>
      </c>
      <c r="F187" s="2088"/>
      <c r="G187" s="2117" t="s">
        <v>295</v>
      </c>
    </row>
    <row r="188" spans="1:7">
      <c r="A188" s="2074" t="s">
        <v>1231</v>
      </c>
      <c r="B188" s="2086"/>
      <c r="C188" s="2085">
        <v>7334546.3200000003</v>
      </c>
      <c r="D188" s="2085">
        <v>152543</v>
      </c>
      <c r="E188" s="2111">
        <v>7182003.3200000003</v>
      </c>
      <c r="F188" s="2088"/>
      <c r="G188" s="2117" t="s">
        <v>295</v>
      </c>
    </row>
    <row r="189" spans="1:7">
      <c r="A189" s="2074" t="s">
        <v>3426</v>
      </c>
      <c r="B189" s="2086"/>
      <c r="C189" s="2085">
        <v>320</v>
      </c>
      <c r="D189" s="2076"/>
      <c r="E189" s="2111">
        <v>320</v>
      </c>
      <c r="F189" s="2088"/>
      <c r="G189" s="2117" t="s">
        <v>295</v>
      </c>
    </row>
    <row r="190" spans="1:7">
      <c r="A190" s="2089" t="s">
        <v>3842</v>
      </c>
      <c r="B190" s="2086"/>
      <c r="C190" s="2085">
        <v>4970</v>
      </c>
      <c r="D190" s="2076"/>
      <c r="E190" s="2111">
        <v>4970</v>
      </c>
      <c r="F190" s="2088"/>
      <c r="G190" s="2117" t="s">
        <v>295</v>
      </c>
    </row>
    <row r="191" spans="1:7">
      <c r="A191" s="2074" t="s">
        <v>1230</v>
      </c>
      <c r="B191" s="2086"/>
      <c r="C191" s="2085">
        <v>7041637</v>
      </c>
      <c r="D191" s="2076"/>
      <c r="E191" s="2111">
        <v>7041637</v>
      </c>
      <c r="F191" s="2088"/>
      <c r="G191" s="2117" t="s">
        <v>295</v>
      </c>
    </row>
    <row r="192" spans="1:7">
      <c r="A192" s="2074" t="s">
        <v>3843</v>
      </c>
      <c r="B192" s="2086"/>
      <c r="C192" s="2085">
        <v>4000</v>
      </c>
      <c r="D192" s="2076"/>
      <c r="E192" s="2111">
        <v>4000</v>
      </c>
      <c r="F192" s="2088"/>
      <c r="G192" s="2117" t="s">
        <v>295</v>
      </c>
    </row>
    <row r="193" spans="1:7">
      <c r="A193" s="2074" t="s">
        <v>110</v>
      </c>
      <c r="B193" s="2086"/>
      <c r="C193" s="2085">
        <v>19944939</v>
      </c>
      <c r="D193" s="2076"/>
      <c r="E193" s="2111">
        <v>19944939</v>
      </c>
      <c r="F193" s="2088"/>
      <c r="G193" s="2117" t="s">
        <v>295</v>
      </c>
    </row>
    <row r="194" spans="1:7">
      <c r="A194" s="2074" t="s">
        <v>111</v>
      </c>
      <c r="B194" s="2086"/>
      <c r="C194" s="2085">
        <v>3080301</v>
      </c>
      <c r="D194" s="2076"/>
      <c r="E194" s="2111">
        <v>3080301</v>
      </c>
      <c r="F194" s="2088"/>
      <c r="G194" s="2117" t="s">
        <v>295</v>
      </c>
    </row>
    <row r="195" spans="1:7">
      <c r="A195" s="2089" t="s">
        <v>3844</v>
      </c>
      <c r="B195" s="2086"/>
      <c r="C195" s="2085">
        <v>9600</v>
      </c>
      <c r="D195" s="2076"/>
      <c r="E195" s="2111">
        <v>9600</v>
      </c>
      <c r="F195" s="2088"/>
      <c r="G195" s="2117" t="s">
        <v>295</v>
      </c>
    </row>
    <row r="196" spans="1:7">
      <c r="A196" s="2089" t="s">
        <v>3845</v>
      </c>
      <c r="B196" s="2086"/>
      <c r="C196" s="2085">
        <v>5131</v>
      </c>
      <c r="D196" s="2076"/>
      <c r="E196" s="2111">
        <v>5131</v>
      </c>
      <c r="F196" s="2088"/>
      <c r="G196" s="2117" t="s">
        <v>295</v>
      </c>
    </row>
    <row r="197" spans="1:7">
      <c r="A197" s="2089" t="s">
        <v>3846</v>
      </c>
      <c r="B197" s="2086"/>
      <c r="C197" s="2085">
        <v>7000</v>
      </c>
      <c r="D197" s="2076"/>
      <c r="E197" s="2111">
        <v>7000</v>
      </c>
      <c r="F197" s="2088"/>
      <c r="G197" s="2117" t="s">
        <v>295</v>
      </c>
    </row>
    <row r="198" spans="1:7">
      <c r="A198" s="2074" t="s">
        <v>1229</v>
      </c>
      <c r="B198" s="2086"/>
      <c r="C198" s="2085">
        <v>139279.01999999999</v>
      </c>
      <c r="D198" s="2076"/>
      <c r="E198" s="2111">
        <v>139279.01999999999</v>
      </c>
      <c r="F198" s="2088"/>
      <c r="G198" s="2117" t="s">
        <v>295</v>
      </c>
    </row>
    <row r="199" spans="1:7">
      <c r="A199" s="2089" t="s">
        <v>3847</v>
      </c>
      <c r="B199" s="2086"/>
      <c r="C199" s="2085">
        <v>2950046</v>
      </c>
      <c r="D199" s="2076"/>
      <c r="E199" s="2111">
        <v>2950046</v>
      </c>
      <c r="F199" s="2088"/>
      <c r="G199" s="2117" t="s">
        <v>295</v>
      </c>
    </row>
    <row r="200" spans="1:7">
      <c r="A200" s="2074" t="s">
        <v>3848</v>
      </c>
      <c r="B200" s="2086"/>
      <c r="C200" s="2085">
        <v>9700</v>
      </c>
      <c r="D200" s="2076"/>
      <c r="E200" s="2111">
        <v>9700</v>
      </c>
      <c r="F200" s="2088"/>
      <c r="G200" s="2117" t="s">
        <v>295</v>
      </c>
    </row>
    <row r="201" spans="1:7">
      <c r="A201" s="2089" t="s">
        <v>3849</v>
      </c>
      <c r="B201" s="2086"/>
      <c r="C201" s="2085">
        <v>13131</v>
      </c>
      <c r="D201" s="2076"/>
      <c r="E201" s="2111">
        <v>13131</v>
      </c>
      <c r="F201" s="2088"/>
      <c r="G201" s="2117" t="s">
        <v>295</v>
      </c>
    </row>
    <row r="202" spans="1:7">
      <c r="A202" s="2089" t="s">
        <v>3850</v>
      </c>
      <c r="B202" s="2086"/>
      <c r="C202" s="2085">
        <v>9500</v>
      </c>
      <c r="D202" s="2076"/>
      <c r="E202" s="2111">
        <v>9500</v>
      </c>
      <c r="F202" s="2088"/>
      <c r="G202" s="2117" t="s">
        <v>295</v>
      </c>
    </row>
    <row r="203" spans="1:7">
      <c r="A203" s="2074" t="s">
        <v>1228</v>
      </c>
      <c r="B203" s="2086"/>
      <c r="C203" s="2085">
        <v>5407276</v>
      </c>
      <c r="D203" s="2076"/>
      <c r="E203" s="2111">
        <v>5407276</v>
      </c>
      <c r="F203" s="2088"/>
      <c r="G203" s="2117" t="s">
        <v>295</v>
      </c>
    </row>
    <row r="204" spans="1:7">
      <c r="A204" s="2074" t="s">
        <v>1227</v>
      </c>
      <c r="B204" s="2086"/>
      <c r="C204" s="2085">
        <v>381871</v>
      </c>
      <c r="D204" s="2076"/>
      <c r="E204" s="2111">
        <v>381871</v>
      </c>
      <c r="F204" s="2088"/>
      <c r="G204" s="2117" t="s">
        <v>295</v>
      </c>
    </row>
    <row r="205" spans="1:7">
      <c r="A205" s="2074" t="s">
        <v>121</v>
      </c>
      <c r="B205" s="2086"/>
      <c r="C205" s="2085">
        <v>13031495</v>
      </c>
      <c r="D205" s="2076"/>
      <c r="E205" s="2111">
        <v>13031495</v>
      </c>
      <c r="F205" s="2088"/>
      <c r="G205" s="2117" t="s">
        <v>295</v>
      </c>
    </row>
    <row r="206" spans="1:7">
      <c r="A206" s="2074" t="s">
        <v>1226</v>
      </c>
      <c r="B206" s="2086"/>
      <c r="C206" s="2085">
        <v>203865</v>
      </c>
      <c r="D206" s="2076"/>
      <c r="E206" s="2111">
        <v>203865</v>
      </c>
      <c r="F206" s="2088"/>
      <c r="G206" s="2117" t="s">
        <v>295</v>
      </c>
    </row>
    <row r="207" spans="1:7">
      <c r="A207" s="2089" t="s">
        <v>1875</v>
      </c>
      <c r="B207" s="2086"/>
      <c r="C207" s="2076"/>
      <c r="D207" s="2085">
        <v>27489001</v>
      </c>
      <c r="E207" s="2110">
        <v>27489001</v>
      </c>
      <c r="F207" s="2075"/>
      <c r="G207" s="2117" t="s">
        <v>295</v>
      </c>
    </row>
    <row r="208" spans="1:7">
      <c r="A208" s="2089" t="s">
        <v>112</v>
      </c>
      <c r="B208" s="2086"/>
      <c r="C208" s="2085">
        <v>42871158</v>
      </c>
      <c r="D208" s="2085">
        <v>75414</v>
      </c>
      <c r="E208" s="2111">
        <v>42795744</v>
      </c>
      <c r="F208" s="2088"/>
      <c r="G208" s="2117" t="s">
        <v>295</v>
      </c>
    </row>
    <row r="209" spans="1:7">
      <c r="A209" s="2074" t="s">
        <v>113</v>
      </c>
      <c r="B209" s="2086"/>
      <c r="C209" s="2085">
        <v>4742230</v>
      </c>
      <c r="D209" s="2076"/>
      <c r="E209" s="2111">
        <v>4742230</v>
      </c>
      <c r="F209" s="2088"/>
      <c r="G209" s="2117" t="s">
        <v>295</v>
      </c>
    </row>
    <row r="210" spans="1:7">
      <c r="A210" s="2089" t="s">
        <v>122</v>
      </c>
      <c r="B210" s="2086"/>
      <c r="C210" s="2085">
        <v>1426786</v>
      </c>
      <c r="D210" s="2076"/>
      <c r="E210" s="2111">
        <v>1426786</v>
      </c>
      <c r="F210" s="2088"/>
      <c r="G210" s="2117" t="s">
        <v>295</v>
      </c>
    </row>
    <row r="211" spans="1:7">
      <c r="A211" s="2074" t="s">
        <v>2068</v>
      </c>
      <c r="B211" s="2086"/>
      <c r="C211" s="2085">
        <v>210154</v>
      </c>
      <c r="D211" s="2076"/>
      <c r="E211" s="2111">
        <v>210154</v>
      </c>
      <c r="F211" s="2088"/>
      <c r="G211" s="2117" t="s">
        <v>295</v>
      </c>
    </row>
    <row r="212" spans="1:7">
      <c r="A212" s="2074" t="s">
        <v>3851</v>
      </c>
      <c r="B212" s="2086"/>
      <c r="C212" s="2085">
        <v>8000</v>
      </c>
      <c r="D212" s="2076"/>
      <c r="E212" s="2111">
        <v>8000</v>
      </c>
      <c r="F212" s="2088"/>
      <c r="G212" s="2117" t="s">
        <v>295</v>
      </c>
    </row>
    <row r="213" spans="1:7">
      <c r="A213" s="2089" t="s">
        <v>3852</v>
      </c>
      <c r="B213" s="2086"/>
      <c r="C213" s="2085">
        <v>7968</v>
      </c>
      <c r="D213" s="2076"/>
      <c r="E213" s="2111">
        <v>7968</v>
      </c>
      <c r="F213" s="2088"/>
      <c r="G213" s="2117" t="s">
        <v>295</v>
      </c>
    </row>
    <row r="214" spans="1:7">
      <c r="A214" s="2089" t="s">
        <v>114</v>
      </c>
      <c r="B214" s="2086"/>
      <c r="C214" s="2085">
        <v>80175</v>
      </c>
      <c r="D214" s="2076"/>
      <c r="E214" s="2111">
        <v>80175</v>
      </c>
      <c r="F214" s="2088"/>
      <c r="G214" s="2117" t="s">
        <v>295</v>
      </c>
    </row>
    <row r="215" spans="1:7">
      <c r="A215" s="2089" t="s">
        <v>123</v>
      </c>
      <c r="B215" s="2086"/>
      <c r="C215" s="2085">
        <v>51642598.039999999</v>
      </c>
      <c r="D215" s="2076"/>
      <c r="E215" s="2111">
        <v>51642598.039999999</v>
      </c>
      <c r="F215" s="2088"/>
      <c r="G215" s="2117" t="s">
        <v>295</v>
      </c>
    </row>
    <row r="216" spans="1:7">
      <c r="A216" s="2074" t="s">
        <v>124</v>
      </c>
      <c r="B216" s="2086"/>
      <c r="C216" s="2085">
        <v>10141531</v>
      </c>
      <c r="D216" s="2076"/>
      <c r="E216" s="2111">
        <v>10141531</v>
      </c>
      <c r="F216" s="2088"/>
      <c r="G216" s="2117" t="s">
        <v>295</v>
      </c>
    </row>
    <row r="217" spans="1:7">
      <c r="A217" s="2074" t="s">
        <v>1535</v>
      </c>
      <c r="B217" s="2086"/>
      <c r="C217" s="2085">
        <v>44000</v>
      </c>
      <c r="D217" s="2076"/>
      <c r="E217" s="2111">
        <v>44000</v>
      </c>
      <c r="F217" s="2088"/>
      <c r="G217" s="2117" t="s">
        <v>295</v>
      </c>
    </row>
    <row r="218" spans="1:7">
      <c r="A218" s="2071" t="s">
        <v>160</v>
      </c>
      <c r="B218" s="2102"/>
      <c r="C218" s="2078">
        <v>218699274.09</v>
      </c>
      <c r="D218" s="2078">
        <v>2099621</v>
      </c>
      <c r="E218" s="2087">
        <v>216599653.09</v>
      </c>
      <c r="F218" s="2115"/>
    </row>
    <row r="219" spans="1:7">
      <c r="A219" s="2103" t="s">
        <v>161</v>
      </c>
      <c r="B219" s="2080"/>
      <c r="C219" s="2081">
        <v>158501382.62</v>
      </c>
      <c r="D219" s="2081">
        <v>1676884</v>
      </c>
      <c r="E219" s="2104">
        <v>156824498.62</v>
      </c>
      <c r="F219" s="2093"/>
    </row>
    <row r="220" spans="1:7">
      <c r="A220" s="2082" t="s">
        <v>1317</v>
      </c>
      <c r="B220" s="2076"/>
      <c r="C220" s="2083">
        <v>27475867</v>
      </c>
      <c r="D220" s="2086"/>
      <c r="E220" s="2118">
        <v>27475867</v>
      </c>
      <c r="F220" s="2093"/>
      <c r="G220" s="2117" t="s">
        <v>1158</v>
      </c>
    </row>
    <row r="221" spans="1:7">
      <c r="A221" s="2082" t="s">
        <v>173</v>
      </c>
      <c r="B221" s="2076"/>
      <c r="C221" s="2083">
        <v>5860821</v>
      </c>
      <c r="D221" s="2086"/>
      <c r="E221" s="2118">
        <v>5860821</v>
      </c>
      <c r="F221" s="2093"/>
      <c r="G221" s="2117" t="s">
        <v>214</v>
      </c>
    </row>
    <row r="222" spans="1:7">
      <c r="A222" s="2082" t="s">
        <v>174</v>
      </c>
      <c r="B222" s="2076"/>
      <c r="C222" s="2083">
        <v>4013054</v>
      </c>
      <c r="D222" s="2083">
        <v>20350</v>
      </c>
      <c r="E222" s="2118">
        <v>3992704</v>
      </c>
      <c r="F222" s="2093"/>
      <c r="G222" s="2117" t="s">
        <v>214</v>
      </c>
    </row>
    <row r="223" spans="1:7">
      <c r="A223" s="2082" t="s">
        <v>1539</v>
      </c>
      <c r="B223" s="2076"/>
      <c r="C223" s="2083">
        <v>1957603</v>
      </c>
      <c r="D223" s="2086"/>
      <c r="E223" s="2118">
        <v>1957603</v>
      </c>
      <c r="F223" s="2093"/>
      <c r="G223" s="2117" t="s">
        <v>214</v>
      </c>
    </row>
    <row r="224" spans="1:7">
      <c r="A224" s="2082" t="s">
        <v>1318</v>
      </c>
      <c r="B224" s="2076"/>
      <c r="C224" s="2083">
        <v>72499</v>
      </c>
      <c r="D224" s="2086"/>
      <c r="E224" s="2118">
        <v>72499</v>
      </c>
      <c r="F224" s="2093"/>
      <c r="G224" s="2117" t="s">
        <v>214</v>
      </c>
    </row>
    <row r="225" spans="1:7">
      <c r="A225" s="2082" t="s">
        <v>1319</v>
      </c>
      <c r="B225" s="2076"/>
      <c r="C225" s="2083">
        <v>94802</v>
      </c>
      <c r="D225" s="2086"/>
      <c r="E225" s="2118">
        <v>94802</v>
      </c>
      <c r="F225" s="2093"/>
      <c r="G225" s="2117" t="s">
        <v>214</v>
      </c>
    </row>
    <row r="226" spans="1:7">
      <c r="A226" s="2082" t="s">
        <v>1320</v>
      </c>
      <c r="B226" s="2076"/>
      <c r="C226" s="2083">
        <v>1197188</v>
      </c>
      <c r="D226" s="2086"/>
      <c r="E226" s="2118">
        <v>1197188</v>
      </c>
      <c r="F226" s="2093"/>
      <c r="G226" s="2117" t="s">
        <v>214</v>
      </c>
    </row>
    <row r="227" spans="1:7">
      <c r="A227" s="2082" t="s">
        <v>3853</v>
      </c>
      <c r="B227" s="2076"/>
      <c r="C227" s="2083">
        <v>998840</v>
      </c>
      <c r="D227" s="2086"/>
      <c r="E227" s="2118">
        <v>998840</v>
      </c>
      <c r="F227" s="2093"/>
      <c r="G227" s="2117" t="s">
        <v>214</v>
      </c>
    </row>
    <row r="228" spans="1:7">
      <c r="A228" s="2082" t="s">
        <v>175</v>
      </c>
      <c r="B228" s="2076"/>
      <c r="C228" s="2083">
        <v>4432875</v>
      </c>
      <c r="D228" s="2086"/>
      <c r="E228" s="2118">
        <v>4432875</v>
      </c>
      <c r="F228" s="2093"/>
      <c r="G228" s="2117" t="s">
        <v>214</v>
      </c>
    </row>
    <row r="229" spans="1:7">
      <c r="A229" s="2082" t="s">
        <v>1321</v>
      </c>
      <c r="B229" s="2076"/>
      <c r="C229" s="2083">
        <v>55272385</v>
      </c>
      <c r="D229" s="2083">
        <v>515837</v>
      </c>
      <c r="E229" s="2118">
        <v>54756548</v>
      </c>
      <c r="F229" s="2093"/>
      <c r="G229" s="2117" t="s">
        <v>214</v>
      </c>
    </row>
    <row r="230" spans="1:7">
      <c r="A230" s="2082" t="s">
        <v>163</v>
      </c>
      <c r="B230" s="2076"/>
      <c r="C230" s="2083">
        <v>3000250</v>
      </c>
      <c r="D230" s="2086"/>
      <c r="E230" s="2118">
        <v>3000250</v>
      </c>
      <c r="F230" s="2093"/>
      <c r="G230" s="2117" t="s">
        <v>214</v>
      </c>
    </row>
    <row r="231" spans="1:7">
      <c r="A231" s="2090" t="s">
        <v>164</v>
      </c>
      <c r="B231" s="2076"/>
      <c r="C231" s="2083">
        <v>1562241</v>
      </c>
      <c r="D231" s="2086"/>
      <c r="E231" s="2118">
        <v>1562241</v>
      </c>
      <c r="F231" s="2093"/>
      <c r="G231" s="2117" t="s">
        <v>214</v>
      </c>
    </row>
    <row r="232" spans="1:7">
      <c r="A232" s="2082" t="s">
        <v>176</v>
      </c>
      <c r="B232" s="2076"/>
      <c r="C232" s="2083">
        <v>3112616</v>
      </c>
      <c r="D232" s="2083">
        <v>1000395</v>
      </c>
      <c r="E232" s="2118">
        <v>2112221</v>
      </c>
      <c r="F232" s="2093"/>
      <c r="G232" s="2117" t="s">
        <v>214</v>
      </c>
    </row>
    <row r="233" spans="1:7">
      <c r="A233" s="2090" t="s">
        <v>177</v>
      </c>
      <c r="B233" s="2076"/>
      <c r="C233" s="2083">
        <v>23297843.620000001</v>
      </c>
      <c r="D233" s="2083">
        <v>20709</v>
      </c>
      <c r="E233" s="2118">
        <v>23277134.620000001</v>
      </c>
      <c r="F233" s="2093"/>
      <c r="G233" s="2117" t="s">
        <v>214</v>
      </c>
    </row>
    <row r="234" spans="1:7">
      <c r="A234" s="2082" t="s">
        <v>1322</v>
      </c>
      <c r="B234" s="2076"/>
      <c r="C234" s="2083">
        <v>1011502</v>
      </c>
      <c r="D234" s="2086"/>
      <c r="E234" s="2118">
        <v>1011502</v>
      </c>
      <c r="F234" s="2093"/>
      <c r="G234" s="2117" t="s">
        <v>214</v>
      </c>
    </row>
    <row r="235" spans="1:7">
      <c r="A235" s="2082" t="s">
        <v>165</v>
      </c>
      <c r="B235" s="2076"/>
      <c r="C235" s="2083">
        <v>3900</v>
      </c>
      <c r="D235" s="2086"/>
      <c r="E235" s="2118">
        <v>3900</v>
      </c>
      <c r="F235" s="2093"/>
      <c r="G235" s="2117" t="s">
        <v>214</v>
      </c>
    </row>
    <row r="236" spans="1:7">
      <c r="A236" s="2082" t="s">
        <v>168</v>
      </c>
      <c r="B236" s="2076"/>
      <c r="C236" s="2083">
        <v>275000</v>
      </c>
      <c r="D236" s="2086"/>
      <c r="E236" s="2118">
        <v>275000</v>
      </c>
      <c r="F236" s="2093"/>
      <c r="G236" s="2117" t="s">
        <v>214</v>
      </c>
    </row>
    <row r="237" spans="1:7">
      <c r="A237" s="2082" t="s">
        <v>169</v>
      </c>
      <c r="B237" s="2076"/>
      <c r="C237" s="2083">
        <v>15506526</v>
      </c>
      <c r="D237" s="2083">
        <v>119593</v>
      </c>
      <c r="E237" s="2118">
        <v>15386933</v>
      </c>
      <c r="F237" s="2093"/>
      <c r="G237" s="2117" t="s">
        <v>214</v>
      </c>
    </row>
    <row r="238" spans="1:7">
      <c r="A238" s="2082" t="s">
        <v>3428</v>
      </c>
      <c r="B238" s="2076"/>
      <c r="C238" s="2083">
        <v>1177646</v>
      </c>
      <c r="D238" s="2086"/>
      <c r="E238" s="2118">
        <v>1177646</v>
      </c>
      <c r="F238" s="2093"/>
      <c r="G238" s="2117" t="s">
        <v>214</v>
      </c>
    </row>
    <row r="239" spans="1:7">
      <c r="A239" s="2082" t="s">
        <v>170</v>
      </c>
      <c r="B239" s="2076"/>
      <c r="C239" s="2083">
        <v>1386083</v>
      </c>
      <c r="D239" s="2086"/>
      <c r="E239" s="2118">
        <v>1386083</v>
      </c>
      <c r="F239" s="2093"/>
      <c r="G239" s="2117" t="s">
        <v>214</v>
      </c>
    </row>
    <row r="240" spans="1:7">
      <c r="A240" s="2082" t="s">
        <v>171</v>
      </c>
      <c r="B240" s="2076"/>
      <c r="C240" s="2083">
        <v>4070300</v>
      </c>
      <c r="D240" s="2086"/>
      <c r="E240" s="2118">
        <v>4070300</v>
      </c>
      <c r="F240" s="2093"/>
      <c r="G240" s="2117" t="s">
        <v>214</v>
      </c>
    </row>
    <row r="241" spans="1:12">
      <c r="A241" s="2082" t="s">
        <v>172</v>
      </c>
      <c r="B241" s="2076"/>
      <c r="C241" s="2083">
        <v>2721541</v>
      </c>
      <c r="D241" s="2086"/>
      <c r="E241" s="2118">
        <v>2721541</v>
      </c>
      <c r="F241" s="2093"/>
      <c r="G241" s="2117" t="s">
        <v>214</v>
      </c>
    </row>
    <row r="242" spans="1:12">
      <c r="A242" s="2079" t="s">
        <v>178</v>
      </c>
      <c r="B242" s="2092"/>
      <c r="C242" s="2094">
        <v>60197891.469999999</v>
      </c>
      <c r="D242" s="2094">
        <v>422737</v>
      </c>
      <c r="E242" s="2119">
        <v>59775154.469999999</v>
      </c>
      <c r="F242" s="2093"/>
      <c r="G242" s="2117" t="s">
        <v>214</v>
      </c>
    </row>
    <row r="243" spans="1:12">
      <c r="A243" s="2089" t="s">
        <v>179</v>
      </c>
      <c r="B243" s="2076"/>
      <c r="C243" s="2083">
        <v>927545</v>
      </c>
      <c r="D243" s="2086"/>
      <c r="E243" s="2118">
        <v>927545</v>
      </c>
      <c r="F243" s="2093"/>
      <c r="G243" s="2117" t="s">
        <v>294</v>
      </c>
    </row>
    <row r="244" spans="1:12">
      <c r="A244" s="2082" t="s">
        <v>180</v>
      </c>
      <c r="B244" s="2076"/>
      <c r="C244" s="2083">
        <v>6534725</v>
      </c>
      <c r="D244" s="2086"/>
      <c r="E244" s="2118">
        <v>6534725</v>
      </c>
      <c r="F244" s="2093"/>
      <c r="G244" s="2117" t="s">
        <v>542</v>
      </c>
    </row>
    <row r="245" spans="1:12">
      <c r="A245" s="2089" t="s">
        <v>3854</v>
      </c>
      <c r="B245" s="2076"/>
      <c r="C245" s="2083">
        <v>3619186.86</v>
      </c>
      <c r="D245" s="2086"/>
      <c r="E245" s="2118">
        <v>3619186.86</v>
      </c>
      <c r="F245" s="2093"/>
      <c r="G245" s="2117" t="s">
        <v>542</v>
      </c>
    </row>
    <row r="246" spans="1:12">
      <c r="A246" s="2082" t="s">
        <v>1307</v>
      </c>
      <c r="B246" s="2076"/>
      <c r="C246" s="2083">
        <v>1042708</v>
      </c>
      <c r="D246" s="2086"/>
      <c r="E246" s="2118">
        <v>1042708</v>
      </c>
      <c r="F246" s="2093"/>
      <c r="G246" s="2117" t="s">
        <v>542</v>
      </c>
    </row>
    <row r="247" spans="1:12">
      <c r="A247" s="2090" t="s">
        <v>181</v>
      </c>
      <c r="B247" s="2076"/>
      <c r="C247" s="2083">
        <v>1879736</v>
      </c>
      <c r="D247" s="2086"/>
      <c r="E247" s="2118">
        <v>1879736</v>
      </c>
      <c r="F247" s="2093"/>
      <c r="G247" s="2117" t="s">
        <v>542</v>
      </c>
    </row>
    <row r="248" spans="1:12">
      <c r="A248" s="2082" t="s">
        <v>182</v>
      </c>
      <c r="B248" s="2076"/>
      <c r="C248" s="2083">
        <v>700</v>
      </c>
      <c r="D248" s="2086"/>
      <c r="E248" s="2118">
        <v>700</v>
      </c>
      <c r="F248" s="2093"/>
      <c r="G248" s="2117" t="s">
        <v>542</v>
      </c>
    </row>
    <row r="249" spans="1:12">
      <c r="A249" s="2082" t="s">
        <v>1308</v>
      </c>
      <c r="B249" s="2076"/>
      <c r="C249" s="2083">
        <v>1641061</v>
      </c>
      <c r="D249" s="2086"/>
      <c r="E249" s="2118">
        <v>1641061</v>
      </c>
      <c r="F249" s="2093"/>
      <c r="G249" s="2117" t="s">
        <v>542</v>
      </c>
    </row>
    <row r="250" spans="1:12">
      <c r="A250" s="2082" t="s">
        <v>1309</v>
      </c>
      <c r="B250" s="2076"/>
      <c r="C250" s="2083">
        <v>297233</v>
      </c>
      <c r="D250" s="2086"/>
      <c r="E250" s="2118">
        <v>297233</v>
      </c>
      <c r="F250" s="2093"/>
      <c r="G250" s="2117" t="s">
        <v>542</v>
      </c>
    </row>
    <row r="251" spans="1:12">
      <c r="A251" s="2082" t="s">
        <v>1847</v>
      </c>
      <c r="B251" s="2076"/>
      <c r="C251" s="2083">
        <v>47700</v>
      </c>
      <c r="D251" s="2086"/>
      <c r="E251" s="2118">
        <v>47700</v>
      </c>
      <c r="F251" s="2093"/>
      <c r="G251" s="2117" t="s">
        <v>542</v>
      </c>
    </row>
    <row r="252" spans="1:12">
      <c r="A252" s="2082" t="s">
        <v>183</v>
      </c>
      <c r="B252" s="2076"/>
      <c r="C252" s="2083">
        <v>8715190</v>
      </c>
      <c r="D252" s="2086"/>
      <c r="E252" s="2118">
        <v>8715190</v>
      </c>
      <c r="F252" s="2093"/>
      <c r="G252" s="2117" t="s">
        <v>542</v>
      </c>
    </row>
    <row r="253" spans="1:12">
      <c r="A253" s="2082" t="s">
        <v>184</v>
      </c>
      <c r="B253" s="2076"/>
      <c r="C253" s="2083">
        <v>2954418.61</v>
      </c>
      <c r="D253" s="2083">
        <v>407737</v>
      </c>
      <c r="E253" s="2118">
        <v>2546681.61</v>
      </c>
      <c r="F253" s="2093"/>
      <c r="G253" s="2117" t="s">
        <v>255</v>
      </c>
    </row>
    <row r="254" spans="1:12">
      <c r="A254" s="2082" t="s">
        <v>186</v>
      </c>
      <c r="B254" s="2076"/>
      <c r="C254" s="2083">
        <v>10586244</v>
      </c>
      <c r="D254" s="2086"/>
      <c r="E254" s="2118">
        <v>10586244</v>
      </c>
      <c r="F254" s="2093"/>
      <c r="G254" s="2117" t="s">
        <v>542</v>
      </c>
    </row>
    <row r="255" spans="1:12">
      <c r="A255" s="2082" t="s">
        <v>1310</v>
      </c>
      <c r="B255" s="2076"/>
      <c r="C255" s="2083">
        <v>2774811</v>
      </c>
      <c r="D255" s="2086"/>
      <c r="E255" s="2118">
        <v>2774811</v>
      </c>
      <c r="F255" s="2093"/>
      <c r="G255" s="2117" t="s">
        <v>542</v>
      </c>
    </row>
    <row r="256" spans="1:12">
      <c r="A256" s="2090" t="s">
        <v>187</v>
      </c>
      <c r="B256" s="2076"/>
      <c r="C256" s="2083">
        <v>5630260</v>
      </c>
      <c r="D256" s="2086"/>
      <c r="E256" s="2146">
        <v>5630260</v>
      </c>
      <c r="F256" s="2093"/>
      <c r="G256" s="2117" t="s">
        <v>294</v>
      </c>
      <c r="L256" s="2120">
        <v>36066789.609999999</v>
      </c>
    </row>
    <row r="257" spans="1:12">
      <c r="A257" s="2082" t="s">
        <v>1311</v>
      </c>
      <c r="B257" s="2076"/>
      <c r="C257" s="2083">
        <v>2996861</v>
      </c>
      <c r="D257" s="2086"/>
      <c r="E257" s="2118">
        <v>2996861</v>
      </c>
      <c r="F257" s="2093"/>
      <c r="G257" s="2117" t="s">
        <v>55</v>
      </c>
      <c r="L257" s="2120">
        <v>13531373</v>
      </c>
    </row>
    <row r="258" spans="1:12">
      <c r="A258" s="2082" t="s">
        <v>1312</v>
      </c>
      <c r="B258" s="2076"/>
      <c r="C258" s="2083">
        <v>2165053</v>
      </c>
      <c r="D258" s="2083">
        <v>15000</v>
      </c>
      <c r="E258" s="2118">
        <v>2150053</v>
      </c>
      <c r="F258" s="2093"/>
      <c r="G258" s="2117" t="s">
        <v>542</v>
      </c>
    </row>
    <row r="259" spans="1:12">
      <c r="A259" s="2082" t="s">
        <v>1313</v>
      </c>
      <c r="B259" s="2076"/>
      <c r="C259" s="2083">
        <v>1192647</v>
      </c>
      <c r="D259" s="2086"/>
      <c r="E259" s="2118">
        <v>1192647</v>
      </c>
      <c r="F259" s="2093"/>
      <c r="G259" s="2117" t="s">
        <v>542</v>
      </c>
    </row>
    <row r="260" spans="1:12">
      <c r="A260" s="2082" t="s">
        <v>3855</v>
      </c>
      <c r="B260" s="2076"/>
      <c r="C260" s="2083">
        <v>8600</v>
      </c>
      <c r="D260" s="2086"/>
      <c r="E260" s="2118">
        <v>8600</v>
      </c>
      <c r="F260" s="2093"/>
      <c r="G260" s="2117" t="s">
        <v>542</v>
      </c>
    </row>
    <row r="261" spans="1:12">
      <c r="A261" s="2082" t="s">
        <v>1314</v>
      </c>
      <c r="B261" s="2076"/>
      <c r="C261" s="2083">
        <v>7183212</v>
      </c>
      <c r="D261" s="2086"/>
      <c r="E261" s="2118">
        <v>7183212</v>
      </c>
      <c r="F261" s="2093"/>
      <c r="G261" s="2117" t="s">
        <v>542</v>
      </c>
    </row>
    <row r="262" spans="1:12">
      <c r="A262" s="2071" t="s">
        <v>189</v>
      </c>
      <c r="B262" s="2102"/>
      <c r="C262" s="2105"/>
      <c r="D262" s="2078">
        <v>4162492.2</v>
      </c>
      <c r="E262" s="2077">
        <v>4162492.2</v>
      </c>
      <c r="F262" s="2114"/>
    </row>
    <row r="263" spans="1:12">
      <c r="A263" s="2074" t="s">
        <v>190</v>
      </c>
      <c r="B263" s="2086"/>
      <c r="C263" s="2076"/>
      <c r="D263" s="2085">
        <v>3549989</v>
      </c>
      <c r="E263" s="2110">
        <v>3549989</v>
      </c>
      <c r="F263" s="2075"/>
      <c r="G263" s="2117" t="s">
        <v>276</v>
      </c>
    </row>
    <row r="264" spans="1:12">
      <c r="A264" s="2074" t="s">
        <v>1113</v>
      </c>
      <c r="B264" s="2086"/>
      <c r="C264" s="2076"/>
      <c r="D264" s="2085">
        <v>612503.19999999995</v>
      </c>
      <c r="E264" s="2110">
        <v>612503.19999999995</v>
      </c>
      <c r="F264" s="2075"/>
      <c r="G264" s="2117" t="s">
        <v>46</v>
      </c>
    </row>
    <row r="265" spans="1:12">
      <c r="A265" s="2071" t="s">
        <v>192</v>
      </c>
      <c r="B265" s="2102"/>
      <c r="C265" s="2078">
        <v>81358644.540000007</v>
      </c>
      <c r="D265" s="2078">
        <v>1768821.6</v>
      </c>
      <c r="E265" s="2087">
        <v>79589822.939999998</v>
      </c>
      <c r="F265" s="2115"/>
    </row>
    <row r="266" spans="1:12">
      <c r="A266" s="2079" t="s">
        <v>193</v>
      </c>
      <c r="B266" s="2080"/>
      <c r="C266" s="2081">
        <v>30474</v>
      </c>
      <c r="D266" s="2080"/>
      <c r="E266" s="2104">
        <v>30474</v>
      </c>
      <c r="F266" s="2093"/>
    </row>
    <row r="267" spans="1:12">
      <c r="A267" s="2082" t="s">
        <v>193</v>
      </c>
      <c r="B267" s="2076"/>
      <c r="C267" s="2083">
        <v>30474</v>
      </c>
      <c r="D267" s="2086"/>
      <c r="E267" s="2118">
        <v>30474</v>
      </c>
      <c r="F267" s="2093"/>
      <c r="G267" s="2117" t="s">
        <v>250</v>
      </c>
    </row>
    <row r="268" spans="1:12">
      <c r="A268" s="2079" t="s">
        <v>194</v>
      </c>
      <c r="B268" s="2092"/>
      <c r="C268" s="2094">
        <v>5900</v>
      </c>
      <c r="D268" s="2092"/>
      <c r="E268" s="2091">
        <v>5900</v>
      </c>
      <c r="F268" s="2093"/>
    </row>
    <row r="269" spans="1:12">
      <c r="A269" s="2082" t="s">
        <v>194</v>
      </c>
      <c r="B269" s="2076"/>
      <c r="C269" s="2083">
        <v>5900</v>
      </c>
      <c r="D269" s="2086"/>
      <c r="E269" s="2118">
        <v>5900</v>
      </c>
      <c r="F269" s="2093"/>
      <c r="G269" s="2117" t="s">
        <v>4162</v>
      </c>
      <c r="H269" s="2117" t="s">
        <v>4161</v>
      </c>
    </row>
    <row r="270" spans="1:12">
      <c r="A270" s="2074" t="s">
        <v>195</v>
      </c>
      <c r="B270" s="2086"/>
      <c r="C270" s="2085">
        <v>85533</v>
      </c>
      <c r="D270" s="2076"/>
      <c r="E270" s="2111">
        <v>85533</v>
      </c>
      <c r="F270" s="2088"/>
      <c r="G270" s="2117" t="s">
        <v>532</v>
      </c>
    </row>
    <row r="271" spans="1:12">
      <c r="A271" s="2074" t="s">
        <v>2635</v>
      </c>
      <c r="B271" s="2086"/>
      <c r="C271" s="2085">
        <v>69800</v>
      </c>
      <c r="D271" s="2076"/>
      <c r="E271" s="2111">
        <v>69800</v>
      </c>
      <c r="F271" s="2088"/>
      <c r="G271" s="2117" t="s">
        <v>2659</v>
      </c>
    </row>
    <row r="272" spans="1:12">
      <c r="A272" s="2074" t="s">
        <v>210</v>
      </c>
      <c r="B272" s="2086"/>
      <c r="C272" s="2085">
        <v>167520.17000000001</v>
      </c>
      <c r="D272" s="2085">
        <v>9771.6</v>
      </c>
      <c r="E272" s="2111">
        <v>157748.57</v>
      </c>
      <c r="F272" s="2088"/>
      <c r="G272" s="2117" t="s">
        <v>72</v>
      </c>
    </row>
    <row r="273" spans="1:7">
      <c r="A273" s="2089" t="s">
        <v>1541</v>
      </c>
      <c r="B273" s="2086"/>
      <c r="C273" s="2085">
        <v>1467523</v>
      </c>
      <c r="D273" s="2076"/>
      <c r="E273" s="2111">
        <v>1467523</v>
      </c>
      <c r="F273" s="2088"/>
      <c r="G273" s="2117" t="s">
        <v>56</v>
      </c>
    </row>
    <row r="274" spans="1:7">
      <c r="A274" s="2074" t="s">
        <v>196</v>
      </c>
      <c r="B274" s="2086"/>
      <c r="C274" s="2085">
        <v>6410</v>
      </c>
      <c r="D274" s="2076"/>
      <c r="E274" s="2111">
        <v>6410</v>
      </c>
      <c r="F274" s="2088"/>
      <c r="G274" s="2117" t="s">
        <v>241</v>
      </c>
    </row>
    <row r="275" spans="1:7">
      <c r="A275" s="2074" t="s">
        <v>1222</v>
      </c>
      <c r="B275" s="2086"/>
      <c r="C275" s="2085">
        <v>26594</v>
      </c>
      <c r="D275" s="2076"/>
      <c r="E275" s="2111">
        <v>26594</v>
      </c>
      <c r="F275" s="2088"/>
      <c r="G275" s="2117" t="s">
        <v>2099</v>
      </c>
    </row>
    <row r="276" spans="1:7">
      <c r="A276" s="2074" t="s">
        <v>3856</v>
      </c>
      <c r="B276" s="2086"/>
      <c r="C276" s="2085">
        <v>17311</v>
      </c>
      <c r="D276" s="2076"/>
      <c r="E276" s="2111">
        <v>17311</v>
      </c>
      <c r="F276" s="2088"/>
      <c r="G276" s="2117" t="s">
        <v>252</v>
      </c>
    </row>
    <row r="277" spans="1:7">
      <c r="A277" s="2074" t="s">
        <v>3857</v>
      </c>
      <c r="B277" s="2086"/>
      <c r="C277" s="2085">
        <v>777.47</v>
      </c>
      <c r="D277" s="2076"/>
      <c r="E277" s="2111">
        <v>777.47</v>
      </c>
      <c r="F277" s="2088"/>
      <c r="G277" s="2117" t="s">
        <v>4162</v>
      </c>
    </row>
    <row r="278" spans="1:7">
      <c r="A278" s="2074" t="s">
        <v>3858</v>
      </c>
      <c r="B278" s="2086"/>
      <c r="C278" s="2085">
        <v>185</v>
      </c>
      <c r="D278" s="2076"/>
      <c r="E278" s="2111">
        <v>185</v>
      </c>
      <c r="F278" s="2088"/>
      <c r="G278" s="2117" t="s">
        <v>4162</v>
      </c>
    </row>
    <row r="279" spans="1:7">
      <c r="A279" s="2074" t="s">
        <v>1752</v>
      </c>
      <c r="B279" s="2086"/>
      <c r="C279" s="2085">
        <v>48544</v>
      </c>
      <c r="D279" s="2076"/>
      <c r="E279" s="2111">
        <v>48544</v>
      </c>
      <c r="F279" s="2088"/>
      <c r="G279" s="2117" t="s">
        <v>3446</v>
      </c>
    </row>
    <row r="280" spans="1:7">
      <c r="A280" s="2074" t="s">
        <v>893</v>
      </c>
      <c r="B280" s="2086"/>
      <c r="C280" s="2085">
        <v>152484</v>
      </c>
      <c r="D280" s="2076"/>
      <c r="E280" s="2111">
        <v>152484</v>
      </c>
      <c r="F280" s="2088"/>
      <c r="G280" s="2117" t="s">
        <v>3446</v>
      </c>
    </row>
    <row r="281" spans="1:7">
      <c r="A281" s="2074" t="s">
        <v>197</v>
      </c>
      <c r="B281" s="2086"/>
      <c r="C281" s="2085">
        <v>3780000</v>
      </c>
      <c r="D281" s="2076"/>
      <c r="E281" s="2111">
        <v>3780000</v>
      </c>
      <c r="F281" s="2088"/>
      <c r="G281" s="2117" t="s">
        <v>58</v>
      </c>
    </row>
    <row r="282" spans="1:7">
      <c r="A282" s="2089" t="s">
        <v>211</v>
      </c>
      <c r="B282" s="2086"/>
      <c r="C282" s="2085">
        <v>261950</v>
      </c>
      <c r="D282" s="2076"/>
      <c r="E282" s="2111">
        <v>261950</v>
      </c>
      <c r="F282" s="2088"/>
      <c r="G282" s="2117" t="s">
        <v>3624</v>
      </c>
    </row>
    <row r="283" spans="1:7">
      <c r="A283" s="2074" t="s">
        <v>198</v>
      </c>
      <c r="B283" s="2086"/>
      <c r="C283" s="2085">
        <v>12430</v>
      </c>
      <c r="D283" s="2076"/>
      <c r="E283" s="2111">
        <v>12430</v>
      </c>
      <c r="F283" s="2088"/>
      <c r="G283" s="2117" t="s">
        <v>248</v>
      </c>
    </row>
    <row r="284" spans="1:7">
      <c r="A284" s="2074" t="s">
        <v>212</v>
      </c>
      <c r="B284" s="2086"/>
      <c r="C284" s="2085">
        <v>1407648.57</v>
      </c>
      <c r="D284" s="2076"/>
      <c r="E284" s="2111">
        <v>1407648.57</v>
      </c>
      <c r="F284" s="2088"/>
      <c r="G284" s="2117" t="s">
        <v>1877</v>
      </c>
    </row>
    <row r="285" spans="1:7">
      <c r="A285" s="2074" t="s">
        <v>199</v>
      </c>
      <c r="B285" s="2086"/>
      <c r="C285" s="2085">
        <v>204000</v>
      </c>
      <c r="D285" s="2076"/>
      <c r="E285" s="2111">
        <v>204000</v>
      </c>
      <c r="F285" s="2088"/>
      <c r="G285" s="2117" t="s">
        <v>3445</v>
      </c>
    </row>
    <row r="286" spans="1:7">
      <c r="A286" s="2074" t="s">
        <v>2940</v>
      </c>
      <c r="B286" s="2086"/>
      <c r="C286" s="2085">
        <v>1271490</v>
      </c>
      <c r="D286" s="2076"/>
      <c r="E286" s="2111">
        <v>1271490</v>
      </c>
      <c r="F286" s="2088"/>
      <c r="G286" s="2117" t="s">
        <v>4159</v>
      </c>
    </row>
    <row r="287" spans="1:7">
      <c r="A287" s="2074" t="s">
        <v>3859</v>
      </c>
      <c r="B287" s="2086"/>
      <c r="C287" s="2085">
        <v>54000</v>
      </c>
      <c r="D287" s="2076"/>
      <c r="E287" s="2111">
        <v>54000</v>
      </c>
      <c r="F287" s="2088"/>
      <c r="G287" s="2117" t="s">
        <v>3859</v>
      </c>
    </row>
    <row r="288" spans="1:7">
      <c r="A288" s="2074" t="s">
        <v>3860</v>
      </c>
      <c r="B288" s="2086"/>
      <c r="C288" s="2085">
        <v>200</v>
      </c>
      <c r="D288" s="2076"/>
      <c r="E288" s="2111">
        <v>200</v>
      </c>
      <c r="F288" s="2088"/>
      <c r="G288" s="2117" t="s">
        <v>4162</v>
      </c>
    </row>
    <row r="289" spans="1:7">
      <c r="A289" s="2074" t="s">
        <v>200</v>
      </c>
      <c r="B289" s="2086"/>
      <c r="C289" s="2085">
        <v>10000</v>
      </c>
      <c r="D289" s="2076"/>
      <c r="E289" s="2111">
        <v>10000</v>
      </c>
      <c r="F289" s="2088"/>
      <c r="G289" s="2117" t="s">
        <v>4162</v>
      </c>
    </row>
    <row r="290" spans="1:7">
      <c r="A290" s="2074" t="s">
        <v>1218</v>
      </c>
      <c r="B290" s="2086"/>
      <c r="C290" s="2085">
        <v>1427330</v>
      </c>
      <c r="D290" s="2076"/>
      <c r="E290" s="2111">
        <v>1427330</v>
      </c>
      <c r="F290" s="2088"/>
      <c r="G290" s="2117" t="s">
        <v>57</v>
      </c>
    </row>
    <row r="291" spans="1:7">
      <c r="A291" s="2089" t="s">
        <v>1220</v>
      </c>
      <c r="B291" s="2086"/>
      <c r="C291" s="2085">
        <v>30932</v>
      </c>
      <c r="D291" s="2076"/>
      <c r="E291" s="2111">
        <v>30932</v>
      </c>
      <c r="F291" s="2088"/>
      <c r="G291" s="2117" t="s">
        <v>4162</v>
      </c>
    </row>
    <row r="292" spans="1:7">
      <c r="A292" s="2074" t="s">
        <v>1114</v>
      </c>
      <c r="B292" s="2086"/>
      <c r="C292" s="2085">
        <v>47000</v>
      </c>
      <c r="D292" s="2076"/>
      <c r="E292" s="2111">
        <v>47000</v>
      </c>
      <c r="F292" s="2088"/>
      <c r="G292" s="2117" t="s">
        <v>3448</v>
      </c>
    </row>
    <row r="293" spans="1:7">
      <c r="A293" s="2074" t="s">
        <v>1217</v>
      </c>
      <c r="B293" s="2086"/>
      <c r="C293" s="2085">
        <v>1476893</v>
      </c>
      <c r="D293" s="2076"/>
      <c r="E293" s="2111">
        <v>1476893</v>
      </c>
      <c r="F293" s="2088"/>
      <c r="G293" s="2117" t="s">
        <v>251</v>
      </c>
    </row>
    <row r="294" spans="1:7">
      <c r="A294" s="2074" t="s">
        <v>202</v>
      </c>
      <c r="B294" s="2086"/>
      <c r="C294" s="2085">
        <v>93661</v>
      </c>
      <c r="D294" s="2076"/>
      <c r="E294" s="2111">
        <v>93661</v>
      </c>
      <c r="F294" s="2088"/>
      <c r="G294" s="2117" t="s">
        <v>202</v>
      </c>
    </row>
    <row r="295" spans="1:7">
      <c r="A295" s="2074" t="s">
        <v>2636</v>
      </c>
      <c r="B295" s="2086"/>
      <c r="C295" s="2085">
        <v>5911511.8600000003</v>
      </c>
      <c r="D295" s="2076"/>
      <c r="E295" s="2111">
        <v>5911511.8600000003</v>
      </c>
      <c r="F295" s="2088"/>
      <c r="G295" s="2117" t="s">
        <v>255</v>
      </c>
    </row>
    <row r="296" spans="1:7">
      <c r="A296" s="2074" t="s">
        <v>1216</v>
      </c>
      <c r="B296" s="2086"/>
      <c r="C296" s="2085">
        <v>37092</v>
      </c>
      <c r="D296" s="2076"/>
      <c r="E296" s="2111">
        <v>37092</v>
      </c>
      <c r="F296" s="2088"/>
      <c r="G296" s="2117" t="s">
        <v>248</v>
      </c>
    </row>
    <row r="297" spans="1:7">
      <c r="A297" s="2074" t="s">
        <v>213</v>
      </c>
      <c r="B297" s="2086"/>
      <c r="C297" s="2085">
        <v>614893</v>
      </c>
      <c r="D297" s="2076"/>
      <c r="E297" s="2111">
        <v>614893</v>
      </c>
      <c r="F297" s="2088"/>
      <c r="G297" s="2117" t="s">
        <v>73</v>
      </c>
    </row>
    <row r="298" spans="1:7">
      <c r="A298" s="2074" t="s">
        <v>1215</v>
      </c>
      <c r="B298" s="2086"/>
      <c r="C298" s="2085">
        <v>592387</v>
      </c>
      <c r="D298" s="2076"/>
      <c r="E298" s="2111">
        <v>592387</v>
      </c>
      <c r="F298" s="2088"/>
      <c r="G298" s="2117" t="s">
        <v>252</v>
      </c>
    </row>
    <row r="299" spans="1:7">
      <c r="A299" s="2074" t="s">
        <v>77</v>
      </c>
      <c r="B299" s="2086"/>
      <c r="C299" s="2085">
        <v>555529</v>
      </c>
      <c r="D299" s="2085">
        <v>8260</v>
      </c>
      <c r="E299" s="2111">
        <v>547269</v>
      </c>
      <c r="F299" s="2088"/>
      <c r="G299" s="2117" t="s">
        <v>253</v>
      </c>
    </row>
    <row r="300" spans="1:7">
      <c r="A300" s="2074" t="s">
        <v>1214</v>
      </c>
      <c r="B300" s="2086"/>
      <c r="C300" s="2085">
        <v>2716429</v>
      </c>
      <c r="D300" s="2076"/>
      <c r="E300" s="2111">
        <v>2716429</v>
      </c>
      <c r="F300" s="2088"/>
      <c r="G300" s="2117" t="s">
        <v>1877</v>
      </c>
    </row>
    <row r="301" spans="1:7">
      <c r="A301" s="2074" t="s">
        <v>1542</v>
      </c>
      <c r="B301" s="2086"/>
      <c r="C301" s="2085">
        <v>20018</v>
      </c>
      <c r="D301" s="2076"/>
      <c r="E301" s="2111">
        <v>20018</v>
      </c>
      <c r="F301" s="2088"/>
      <c r="G301" s="2117" t="s">
        <v>3448</v>
      </c>
    </row>
    <row r="302" spans="1:7">
      <c r="A302" s="2089" t="s">
        <v>1213</v>
      </c>
      <c r="B302" s="2086"/>
      <c r="C302" s="2085">
        <v>1514748</v>
      </c>
      <c r="D302" s="2076"/>
      <c r="E302" s="2111">
        <v>1514748</v>
      </c>
      <c r="F302" s="2088"/>
      <c r="G302" s="2117" t="s">
        <v>3445</v>
      </c>
    </row>
    <row r="303" spans="1:7">
      <c r="A303" s="2074" t="s">
        <v>1212</v>
      </c>
      <c r="B303" s="2086"/>
      <c r="C303" s="2085">
        <v>7338605</v>
      </c>
      <c r="D303" s="2085">
        <v>25000</v>
      </c>
      <c r="E303" s="2111">
        <v>7313605</v>
      </c>
      <c r="F303" s="2088"/>
      <c r="G303" s="2117" t="s">
        <v>247</v>
      </c>
    </row>
    <row r="304" spans="1:7">
      <c r="A304" s="2074" t="s">
        <v>204</v>
      </c>
      <c r="B304" s="2086"/>
      <c r="C304" s="2085">
        <v>43105607</v>
      </c>
      <c r="D304" s="2085">
        <v>1720526</v>
      </c>
      <c r="E304" s="2111">
        <v>41385081</v>
      </c>
      <c r="F304" s="2088"/>
      <c r="G304" s="2117" t="s">
        <v>56</v>
      </c>
    </row>
    <row r="305" spans="1:7">
      <c r="A305" s="2089" t="s">
        <v>3432</v>
      </c>
      <c r="B305" s="2086"/>
      <c r="C305" s="2085">
        <v>1062000</v>
      </c>
      <c r="D305" s="2076"/>
      <c r="E305" s="2111">
        <v>1062000</v>
      </c>
      <c r="F305" s="2088"/>
      <c r="G305" s="2117" t="s">
        <v>3445</v>
      </c>
    </row>
    <row r="306" spans="1:7">
      <c r="A306" s="2074" t="s">
        <v>3861</v>
      </c>
      <c r="B306" s="2086"/>
      <c r="C306" s="2085">
        <v>1077.47</v>
      </c>
      <c r="D306" s="2076"/>
      <c r="E306" s="2111">
        <v>1077.47</v>
      </c>
      <c r="F306" s="2088"/>
      <c r="G306" s="2117" t="s">
        <v>4162</v>
      </c>
    </row>
    <row r="307" spans="1:7">
      <c r="A307" s="2074" t="s">
        <v>3862</v>
      </c>
      <c r="B307" s="2086"/>
      <c r="C307" s="2085">
        <v>185</v>
      </c>
      <c r="D307" s="2076"/>
      <c r="E307" s="2111">
        <v>185</v>
      </c>
      <c r="F307" s="2088"/>
      <c r="G307" s="2117" t="s">
        <v>4162</v>
      </c>
    </row>
    <row r="308" spans="1:7">
      <c r="A308" s="2074" t="s">
        <v>1753</v>
      </c>
      <c r="B308" s="2086"/>
      <c r="C308" s="2085">
        <v>7417</v>
      </c>
      <c r="D308" s="2076"/>
      <c r="E308" s="2111">
        <v>7417</v>
      </c>
      <c r="F308" s="2088"/>
      <c r="G308" s="2117" t="s">
        <v>4162</v>
      </c>
    </row>
    <row r="309" spans="1:7">
      <c r="A309" s="2089" t="s">
        <v>3863</v>
      </c>
      <c r="B309" s="2086"/>
      <c r="C309" s="2085">
        <v>290152</v>
      </c>
      <c r="D309" s="2076"/>
      <c r="E309" s="2111">
        <v>290152</v>
      </c>
      <c r="F309" s="2088"/>
      <c r="G309" s="2117" t="s">
        <v>55</v>
      </c>
    </row>
    <row r="310" spans="1:7">
      <c r="A310" s="2074" t="s">
        <v>206</v>
      </c>
      <c r="B310" s="2086"/>
      <c r="C310" s="2085">
        <v>10588</v>
      </c>
      <c r="D310" s="2085">
        <v>3658</v>
      </c>
      <c r="E310" s="2111">
        <v>6930</v>
      </c>
      <c r="F310" s="2088"/>
      <c r="G310" s="2117" t="s">
        <v>55</v>
      </c>
    </row>
    <row r="311" spans="1:7">
      <c r="A311" s="2074" t="s">
        <v>207</v>
      </c>
      <c r="B311" s="2086"/>
      <c r="C311" s="2085">
        <v>2328146</v>
      </c>
      <c r="D311" s="2085">
        <v>1606</v>
      </c>
      <c r="E311" s="2111">
        <v>2326540</v>
      </c>
      <c r="F311" s="2088"/>
      <c r="G311" s="2117" t="s">
        <v>251</v>
      </c>
    </row>
    <row r="312" spans="1:7">
      <c r="A312" s="2074" t="s">
        <v>208</v>
      </c>
      <c r="B312" s="2086"/>
      <c r="C312" s="2085">
        <v>3095669</v>
      </c>
      <c r="D312" s="2076"/>
      <c r="E312" s="2111">
        <v>3095669</v>
      </c>
      <c r="F312" s="2088"/>
      <c r="G312" s="2117" t="s">
        <v>249</v>
      </c>
    </row>
    <row r="313" spans="1:7">
      <c r="A313" s="2071" t="s">
        <v>125</v>
      </c>
      <c r="B313" s="2077">
        <v>25262927.239999998</v>
      </c>
      <c r="C313" s="2078">
        <v>25378066</v>
      </c>
      <c r="D313" s="2078">
        <v>18067777</v>
      </c>
      <c r="E313" s="2077">
        <v>17952638.239999998</v>
      </c>
      <c r="F313" s="2114"/>
    </row>
    <row r="314" spans="1:7">
      <c r="A314" s="2074" t="s">
        <v>126</v>
      </c>
      <c r="B314" s="2075">
        <v>30000</v>
      </c>
      <c r="C314" s="2076"/>
      <c r="D314" s="2076"/>
      <c r="E314" s="2110">
        <v>30000</v>
      </c>
      <c r="F314" s="2075"/>
      <c r="G314" s="2117" t="s">
        <v>128</v>
      </c>
    </row>
    <row r="315" spans="1:7">
      <c r="A315" s="2074" t="s">
        <v>127</v>
      </c>
      <c r="B315" s="2075">
        <v>230500</v>
      </c>
      <c r="C315" s="2076"/>
      <c r="D315" s="2076"/>
      <c r="E315" s="2110">
        <v>230500</v>
      </c>
      <c r="F315" s="2075"/>
      <c r="G315" s="2117" t="s">
        <v>128</v>
      </c>
    </row>
    <row r="316" spans="1:7">
      <c r="A316" s="2074" t="s">
        <v>128</v>
      </c>
      <c r="B316" s="2075">
        <v>24882427.239999998</v>
      </c>
      <c r="C316" s="2085">
        <v>25378066</v>
      </c>
      <c r="D316" s="2085">
        <v>18067777</v>
      </c>
      <c r="E316" s="2110">
        <v>17572138.239999998</v>
      </c>
      <c r="F316" s="2075"/>
      <c r="G316" s="2117" t="s">
        <v>128</v>
      </c>
    </row>
    <row r="317" spans="1:7">
      <c r="A317" s="2074" t="s">
        <v>129</v>
      </c>
      <c r="B317" s="2075">
        <v>120000</v>
      </c>
      <c r="C317" s="2076"/>
      <c r="D317" s="2076"/>
      <c r="E317" s="2110">
        <v>120000</v>
      </c>
      <c r="F317" s="2075"/>
      <c r="G317" s="2117" t="s">
        <v>128</v>
      </c>
    </row>
    <row r="318" spans="1:7">
      <c r="A318" s="2071" t="s">
        <v>130</v>
      </c>
      <c r="B318" s="2077">
        <v>873452.02</v>
      </c>
      <c r="C318" s="2105"/>
      <c r="D318" s="2105"/>
      <c r="E318" s="2077">
        <v>873452.02</v>
      </c>
      <c r="F318" s="2114"/>
    </row>
    <row r="319" spans="1:7">
      <c r="A319" s="2074" t="s">
        <v>130</v>
      </c>
      <c r="B319" s="2075">
        <v>873452.02</v>
      </c>
      <c r="C319" s="2076"/>
      <c r="D319" s="2076"/>
      <c r="E319" s="2110">
        <v>873452.02</v>
      </c>
      <c r="F319" s="2075"/>
    </row>
    <row r="320" spans="1:7">
      <c r="A320" s="2071" t="s">
        <v>2932</v>
      </c>
      <c r="B320" s="2102"/>
      <c r="C320" s="2078">
        <v>9718983</v>
      </c>
      <c r="D320" s="2105"/>
      <c r="E320" s="2087">
        <v>9718983</v>
      </c>
      <c r="F320" s="2115"/>
    </row>
    <row r="321" spans="1:7">
      <c r="A321" s="2074" t="s">
        <v>2932</v>
      </c>
      <c r="B321" s="2086"/>
      <c r="C321" s="2085">
        <v>9718983</v>
      </c>
      <c r="D321" s="2076"/>
      <c r="E321" s="2111">
        <v>9718983</v>
      </c>
      <c r="F321" s="2088"/>
      <c r="G321" s="2117" t="s">
        <v>30</v>
      </c>
    </row>
    <row r="322" spans="1:7">
      <c r="A322" s="2071" t="s">
        <v>131</v>
      </c>
      <c r="B322" s="2077">
        <v>3041369</v>
      </c>
      <c r="C322" s="2078">
        <v>24850000</v>
      </c>
      <c r="D322" s="2078">
        <v>33201502</v>
      </c>
      <c r="E322" s="2077">
        <v>11392871</v>
      </c>
      <c r="F322" s="2114"/>
    </row>
    <row r="323" spans="1:7">
      <c r="A323" s="2074" t="s">
        <v>1225</v>
      </c>
      <c r="B323" s="2075">
        <v>3000000</v>
      </c>
      <c r="C323" s="2085">
        <v>23850000</v>
      </c>
      <c r="D323" s="2085">
        <v>32201502</v>
      </c>
      <c r="E323" s="2110">
        <v>11351502</v>
      </c>
      <c r="F323" s="2075"/>
      <c r="G323" s="2117" t="s">
        <v>234</v>
      </c>
    </row>
    <row r="324" spans="1:7">
      <c r="A324" s="2074" t="s">
        <v>1224</v>
      </c>
      <c r="B324" s="2075">
        <v>41369</v>
      </c>
      <c r="C324" s="2085">
        <v>1000000</v>
      </c>
      <c r="D324" s="2085">
        <v>1000000</v>
      </c>
      <c r="E324" s="2110">
        <v>41369</v>
      </c>
      <c r="F324" s="2075"/>
      <c r="G324" s="2117" t="s">
        <v>234</v>
      </c>
    </row>
    <row r="325" spans="1:7">
      <c r="A325" s="2071" t="s">
        <v>132</v>
      </c>
      <c r="B325" s="2087">
        <v>48336551</v>
      </c>
      <c r="C325" s="2078">
        <v>22750000</v>
      </c>
      <c r="D325" s="2078">
        <v>41335565</v>
      </c>
      <c r="E325" s="2087">
        <v>29750986</v>
      </c>
      <c r="F325" s="2115"/>
    </row>
    <row r="326" spans="1:7">
      <c r="A326" s="2074" t="s">
        <v>133</v>
      </c>
      <c r="B326" s="2088">
        <v>48336551</v>
      </c>
      <c r="C326" s="2085">
        <v>22750000</v>
      </c>
      <c r="D326" s="2085">
        <v>41335565</v>
      </c>
      <c r="E326" s="2111">
        <v>29750986</v>
      </c>
      <c r="F326" s="2088"/>
      <c r="G326" s="2117" t="s">
        <v>4011</v>
      </c>
    </row>
    <row r="327" spans="1:7">
      <c r="A327" s="2071" t="s">
        <v>1754</v>
      </c>
      <c r="B327" s="2077">
        <v>6514271.5999999996</v>
      </c>
      <c r="C327" s="2078">
        <v>86862975</v>
      </c>
      <c r="D327" s="2078">
        <v>77618304.620000005</v>
      </c>
      <c r="E327" s="2176">
        <v>2730398.78</v>
      </c>
      <c r="F327" s="2115"/>
      <c r="G327" s="2117" t="s">
        <v>3458</v>
      </c>
    </row>
    <row r="328" spans="1:7">
      <c r="A328" s="2074" t="s">
        <v>1755</v>
      </c>
      <c r="B328" s="2075">
        <v>3705271.09</v>
      </c>
      <c r="C328" s="2085">
        <v>156189</v>
      </c>
      <c r="D328" s="2085">
        <v>180401</v>
      </c>
      <c r="E328" s="2075">
        <v>3729483.09</v>
      </c>
      <c r="F328" s="2075"/>
    </row>
    <row r="329" spans="1:7">
      <c r="A329" s="2074" t="s">
        <v>1756</v>
      </c>
      <c r="B329" s="2075">
        <v>1422920.09</v>
      </c>
      <c r="C329" s="2085">
        <v>216177</v>
      </c>
      <c r="D329" s="2085">
        <v>286601</v>
      </c>
      <c r="E329" s="2075">
        <v>1493344.09</v>
      </c>
      <c r="F329" s="2075"/>
    </row>
    <row r="330" spans="1:7">
      <c r="A330" s="2074" t="s">
        <v>1757</v>
      </c>
      <c r="B330" s="2075">
        <v>199965.72</v>
      </c>
      <c r="C330" s="2085">
        <v>22000</v>
      </c>
      <c r="D330" s="2076"/>
      <c r="E330" s="2075">
        <v>177965.72</v>
      </c>
      <c r="F330" s="2075"/>
    </row>
    <row r="331" spans="1:7">
      <c r="A331" s="2074" t="s">
        <v>1758</v>
      </c>
      <c r="B331" s="2075">
        <v>101643.72</v>
      </c>
      <c r="C331" s="2085">
        <v>22000</v>
      </c>
      <c r="D331" s="2076"/>
      <c r="E331" s="2075">
        <v>79643.72</v>
      </c>
      <c r="F331" s="2075"/>
    </row>
    <row r="332" spans="1:7">
      <c r="A332" s="2089" t="s">
        <v>1754</v>
      </c>
      <c r="B332" s="2088">
        <v>57545524</v>
      </c>
      <c r="C332" s="2085">
        <v>31976642</v>
      </c>
      <c r="D332" s="2076"/>
      <c r="E332" s="2088">
        <v>89522166</v>
      </c>
      <c r="F332" s="2088"/>
    </row>
    <row r="333" spans="1:7">
      <c r="A333" s="2074" t="s">
        <v>1759</v>
      </c>
      <c r="B333" s="2075">
        <v>5252665.42</v>
      </c>
      <c r="C333" s="2085">
        <v>363214</v>
      </c>
      <c r="D333" s="2085">
        <v>179224</v>
      </c>
      <c r="E333" s="2075">
        <v>5068675.42</v>
      </c>
      <c r="F333" s="2075"/>
    </row>
    <row r="334" spans="1:7">
      <c r="A334" s="2074" t="s">
        <v>1760</v>
      </c>
      <c r="B334" s="2075">
        <v>4995545.74</v>
      </c>
      <c r="C334" s="2085">
        <v>417747</v>
      </c>
      <c r="D334" s="2085">
        <v>179224</v>
      </c>
      <c r="E334" s="2075">
        <v>4757022.74</v>
      </c>
      <c r="F334" s="2075"/>
    </row>
    <row r="335" spans="1:7">
      <c r="A335" s="2074" t="s">
        <v>2728</v>
      </c>
      <c r="B335" s="2075">
        <v>1862203.23</v>
      </c>
      <c r="C335" s="2085">
        <v>710890</v>
      </c>
      <c r="D335" s="2085">
        <v>748754.95</v>
      </c>
      <c r="E335" s="2075">
        <v>1900068.18</v>
      </c>
      <c r="F335" s="2075"/>
    </row>
    <row r="336" spans="1:7">
      <c r="A336" s="2074" t="s">
        <v>2729</v>
      </c>
      <c r="B336" s="2075">
        <v>2856033.25</v>
      </c>
      <c r="C336" s="2085">
        <v>1016750</v>
      </c>
      <c r="D336" s="2085">
        <v>748754.95</v>
      </c>
      <c r="E336" s="2075">
        <v>2588038.2000000002</v>
      </c>
      <c r="F336" s="2075"/>
    </row>
    <row r="337" spans="1:6">
      <c r="A337" s="2074" t="s">
        <v>1761</v>
      </c>
      <c r="B337" s="2075">
        <v>2350396.91</v>
      </c>
      <c r="C337" s="2085">
        <v>2642330</v>
      </c>
      <c r="D337" s="2085">
        <v>3515476.19</v>
      </c>
      <c r="E337" s="2075">
        <v>3223543.1</v>
      </c>
      <c r="F337" s="2075"/>
    </row>
    <row r="338" spans="1:6">
      <c r="A338" s="2074" t="s">
        <v>1762</v>
      </c>
      <c r="B338" s="2075">
        <v>1774540.91</v>
      </c>
      <c r="C338" s="2085">
        <v>3180150</v>
      </c>
      <c r="D338" s="2085">
        <v>3515476.19</v>
      </c>
      <c r="E338" s="2075">
        <v>2109867.1</v>
      </c>
      <c r="F338" s="2075"/>
    </row>
    <row r="339" spans="1:6">
      <c r="A339" s="2074" t="s">
        <v>1763</v>
      </c>
      <c r="B339" s="2075">
        <v>1172240.1499999999</v>
      </c>
      <c r="C339" s="2085">
        <v>47570</v>
      </c>
      <c r="D339" s="2085">
        <v>31500</v>
      </c>
      <c r="E339" s="2075">
        <v>1156170.1499999999</v>
      </c>
      <c r="F339" s="2075"/>
    </row>
    <row r="340" spans="1:6">
      <c r="A340" s="2074" t="s">
        <v>1764</v>
      </c>
      <c r="B340" s="2075">
        <v>894994.15</v>
      </c>
      <c r="C340" s="2085">
        <v>149192</v>
      </c>
      <c r="D340" s="2085">
        <v>31500</v>
      </c>
      <c r="E340" s="2075">
        <v>777302.15</v>
      </c>
      <c r="F340" s="2075"/>
    </row>
    <row r="341" spans="1:6">
      <c r="A341" s="2074" t="s">
        <v>1765</v>
      </c>
      <c r="B341" s="2075">
        <v>275448.96999999997</v>
      </c>
      <c r="C341" s="2085">
        <v>10000</v>
      </c>
      <c r="D341" s="2076"/>
      <c r="E341" s="2075">
        <v>265448.96999999997</v>
      </c>
      <c r="F341" s="2075"/>
    </row>
    <row r="342" spans="1:6">
      <c r="A342" s="2074" t="s">
        <v>1766</v>
      </c>
      <c r="B342" s="2075">
        <v>170285.97</v>
      </c>
      <c r="C342" s="2085">
        <v>10000</v>
      </c>
      <c r="D342" s="2076"/>
      <c r="E342" s="2075">
        <v>160285.97</v>
      </c>
      <c r="F342" s="2075"/>
    </row>
    <row r="343" spans="1:6">
      <c r="A343" s="2089" t="s">
        <v>1767</v>
      </c>
      <c r="B343" s="2075">
        <v>1323834.8500000001</v>
      </c>
      <c r="C343" s="2085">
        <v>458362</v>
      </c>
      <c r="D343" s="2085">
        <v>328312.12</v>
      </c>
      <c r="E343" s="2075">
        <v>1193784.97</v>
      </c>
      <c r="F343" s="2075"/>
    </row>
    <row r="344" spans="1:6">
      <c r="A344" s="2089" t="s">
        <v>1768</v>
      </c>
      <c r="B344" s="2075">
        <v>950413.85</v>
      </c>
      <c r="C344" s="2085">
        <v>471873</v>
      </c>
      <c r="D344" s="2085">
        <v>328312.12</v>
      </c>
      <c r="E344" s="2075">
        <v>806852.97</v>
      </c>
      <c r="F344" s="2075"/>
    </row>
    <row r="345" spans="1:6">
      <c r="A345" s="2074" t="s">
        <v>2638</v>
      </c>
      <c r="B345" s="2075">
        <v>1516764.95</v>
      </c>
      <c r="C345" s="2085">
        <v>2140353</v>
      </c>
      <c r="D345" s="2085">
        <v>3260682.17</v>
      </c>
      <c r="E345" s="2075">
        <v>2637094.12</v>
      </c>
      <c r="F345" s="2075"/>
    </row>
    <row r="346" spans="1:6">
      <c r="A346" s="2074" t="s">
        <v>2639</v>
      </c>
      <c r="B346" s="2075">
        <v>1634418.95</v>
      </c>
      <c r="C346" s="2085">
        <v>4288296</v>
      </c>
      <c r="D346" s="2085">
        <v>3260982.17</v>
      </c>
      <c r="E346" s="2075">
        <v>607105.12</v>
      </c>
      <c r="F346" s="2075"/>
    </row>
    <row r="347" spans="1:6">
      <c r="A347" s="2074" t="s">
        <v>1769</v>
      </c>
      <c r="B347" s="2075">
        <v>1085764.1200000001</v>
      </c>
      <c r="C347" s="2085">
        <v>6499947</v>
      </c>
      <c r="D347" s="2085">
        <v>7338730.6500000004</v>
      </c>
      <c r="E347" s="2075">
        <v>1924547.77</v>
      </c>
      <c r="F347" s="2075"/>
    </row>
    <row r="348" spans="1:6">
      <c r="A348" s="2074" t="s">
        <v>1770</v>
      </c>
      <c r="B348" s="2075">
        <v>1055443.1200000001</v>
      </c>
      <c r="C348" s="2085">
        <v>6669959</v>
      </c>
      <c r="D348" s="2085">
        <v>7338730.6500000004</v>
      </c>
      <c r="E348" s="2075">
        <v>1724214.77</v>
      </c>
      <c r="F348" s="2075"/>
    </row>
    <row r="349" spans="1:6">
      <c r="A349" s="2074" t="s">
        <v>3864</v>
      </c>
      <c r="B349" s="2086"/>
      <c r="C349" s="2076"/>
      <c r="D349" s="2085">
        <v>563140</v>
      </c>
      <c r="E349" s="2075">
        <v>563140</v>
      </c>
      <c r="F349" s="2075"/>
    </row>
    <row r="350" spans="1:6">
      <c r="A350" s="2074" t="s">
        <v>1771</v>
      </c>
      <c r="B350" s="2075">
        <v>4497221.34</v>
      </c>
      <c r="C350" s="2085">
        <v>7121875</v>
      </c>
      <c r="D350" s="2085">
        <v>10204050.449999999</v>
      </c>
      <c r="E350" s="2075">
        <v>7579396.79</v>
      </c>
      <c r="F350" s="2075"/>
    </row>
    <row r="351" spans="1:6">
      <c r="A351" s="2074" t="s">
        <v>1772</v>
      </c>
      <c r="B351" s="2075">
        <v>4075317.34</v>
      </c>
      <c r="C351" s="2085">
        <v>8221178</v>
      </c>
      <c r="D351" s="2085">
        <v>10204050.449999999</v>
      </c>
      <c r="E351" s="2075">
        <v>6058189.79</v>
      </c>
      <c r="F351" s="2075"/>
    </row>
    <row r="352" spans="1:6">
      <c r="A352" s="2089" t="s">
        <v>1773</v>
      </c>
      <c r="B352" s="2075">
        <v>9682658.7799999993</v>
      </c>
      <c r="C352" s="2085">
        <v>3457605</v>
      </c>
      <c r="D352" s="2085">
        <v>12652948.310000001</v>
      </c>
      <c r="E352" s="2075">
        <v>18878002.09</v>
      </c>
      <c r="F352" s="2075"/>
    </row>
    <row r="353" spans="1:7">
      <c r="A353" s="2089" t="s">
        <v>1774</v>
      </c>
      <c r="B353" s="2075">
        <v>9907861.5399999991</v>
      </c>
      <c r="C353" s="2085">
        <v>6208000</v>
      </c>
      <c r="D353" s="2085">
        <v>12652948.310000001</v>
      </c>
      <c r="E353" s="2075">
        <v>16352809.85</v>
      </c>
      <c r="F353" s="2075"/>
    </row>
    <row r="354" spans="1:7">
      <c r="A354" s="2089" t="s">
        <v>1775</v>
      </c>
      <c r="B354" s="2075">
        <v>714303.22</v>
      </c>
      <c r="C354" s="2085">
        <v>144763</v>
      </c>
      <c r="D354" s="2076"/>
      <c r="E354" s="2075">
        <v>569540.22</v>
      </c>
      <c r="F354" s="2075"/>
    </row>
    <row r="355" spans="1:7">
      <c r="A355" s="2089" t="s">
        <v>1776</v>
      </c>
      <c r="B355" s="2075">
        <v>491869.22</v>
      </c>
      <c r="C355" s="2085">
        <v>142513</v>
      </c>
      <c r="D355" s="2076"/>
      <c r="E355" s="2075">
        <v>349356.22</v>
      </c>
      <c r="F355" s="2075"/>
    </row>
    <row r="356" spans="1:7">
      <c r="A356" s="2074" t="s">
        <v>2737</v>
      </c>
      <c r="B356" s="2075">
        <v>31601</v>
      </c>
      <c r="C356" s="2085">
        <v>39200</v>
      </c>
      <c r="D356" s="2085">
        <v>34200</v>
      </c>
      <c r="E356" s="2075">
        <v>26601</v>
      </c>
      <c r="F356" s="2075"/>
    </row>
    <row r="357" spans="1:7">
      <c r="A357" s="2074" t="s">
        <v>2739</v>
      </c>
      <c r="B357" s="2075">
        <v>31871</v>
      </c>
      <c r="C357" s="2085">
        <v>39200</v>
      </c>
      <c r="D357" s="2085">
        <v>34200</v>
      </c>
      <c r="E357" s="2075">
        <v>26871</v>
      </c>
      <c r="F357" s="2075"/>
    </row>
    <row r="358" spans="1:7">
      <c r="A358" s="2074" t="s">
        <v>2741</v>
      </c>
      <c r="B358" s="2075">
        <v>20964</v>
      </c>
      <c r="C358" s="2085">
        <v>9500</v>
      </c>
      <c r="D358" s="2085">
        <v>52.47</v>
      </c>
      <c r="E358" s="2075">
        <v>11516.47</v>
      </c>
      <c r="F358" s="2075"/>
    </row>
    <row r="359" spans="1:7">
      <c r="A359" s="2074" t="s">
        <v>2742</v>
      </c>
      <c r="B359" s="2075">
        <v>5333</v>
      </c>
      <c r="C359" s="2085">
        <v>9500</v>
      </c>
      <c r="D359" s="2085">
        <v>52.47</v>
      </c>
      <c r="E359" s="2088">
        <v>4114.53</v>
      </c>
      <c r="F359" s="2088"/>
    </row>
    <row r="360" spans="1:7">
      <c r="A360" s="2071" t="s">
        <v>137</v>
      </c>
      <c r="B360" s="2087">
        <v>91376462.400000006</v>
      </c>
      <c r="C360" s="2078">
        <v>43734711.899999999</v>
      </c>
      <c r="D360" s="2078">
        <v>43380191.200000003</v>
      </c>
      <c r="E360" s="2087">
        <v>91730983.099999994</v>
      </c>
      <c r="F360" s="2115"/>
    </row>
    <row r="361" spans="1:7">
      <c r="A361" s="2079" t="s">
        <v>29</v>
      </c>
      <c r="B361" s="2104">
        <v>68788803.650000006</v>
      </c>
      <c r="C361" s="2081">
        <v>24460582.899999999</v>
      </c>
      <c r="D361" s="2081">
        <v>20725958.199999999</v>
      </c>
      <c r="E361" s="2172">
        <v>72523428.349999994</v>
      </c>
      <c r="F361" s="2093"/>
      <c r="G361" s="2117" t="s">
        <v>243</v>
      </c>
    </row>
    <row r="362" spans="1:7">
      <c r="A362" s="2089" t="s">
        <v>906</v>
      </c>
      <c r="B362" s="2093">
        <v>68788803.650000006</v>
      </c>
      <c r="C362" s="2083">
        <v>24460582.899999999</v>
      </c>
      <c r="D362" s="2083">
        <v>20725958.199999999</v>
      </c>
      <c r="E362" s="2093">
        <v>72523428.349999994</v>
      </c>
      <c r="F362" s="2093"/>
    </row>
    <row r="363" spans="1:7">
      <c r="A363" s="2079" t="s">
        <v>138</v>
      </c>
      <c r="B363" s="2091">
        <v>10121472.4</v>
      </c>
      <c r="C363" s="2094">
        <v>9793006</v>
      </c>
      <c r="D363" s="2094">
        <v>7510150</v>
      </c>
      <c r="E363" s="2091">
        <v>12404328.4</v>
      </c>
      <c r="F363" s="2093"/>
    </row>
    <row r="364" spans="1:7">
      <c r="A364" s="2074" t="s">
        <v>921</v>
      </c>
      <c r="B364" s="2093">
        <v>10121472.4</v>
      </c>
      <c r="C364" s="2083">
        <v>9793006</v>
      </c>
      <c r="D364" s="2083">
        <v>7510150</v>
      </c>
      <c r="E364" s="2118">
        <v>12404328.4</v>
      </c>
      <c r="F364" s="2093"/>
      <c r="G364" s="2117" t="s">
        <v>1878</v>
      </c>
    </row>
    <row r="365" spans="1:7">
      <c r="A365" s="2074" t="s">
        <v>139</v>
      </c>
      <c r="B365" s="2088">
        <v>3616000</v>
      </c>
      <c r="C365" s="2085">
        <v>3800000</v>
      </c>
      <c r="D365" s="2085">
        <v>3616000</v>
      </c>
      <c r="E365" s="2111">
        <v>3800000</v>
      </c>
      <c r="F365" s="2088"/>
      <c r="G365" s="2117" t="s">
        <v>230</v>
      </c>
    </row>
    <row r="366" spans="1:7">
      <c r="A366" s="2074" t="s">
        <v>140</v>
      </c>
      <c r="B366" s="2088">
        <v>40000</v>
      </c>
      <c r="C366" s="2076"/>
      <c r="D366" s="2076"/>
      <c r="E366" s="129">
        <v>40000</v>
      </c>
      <c r="F366" s="2088"/>
      <c r="G366" s="2117" t="s">
        <v>243</v>
      </c>
    </row>
    <row r="367" spans="1:7">
      <c r="A367" s="2074" t="s">
        <v>923</v>
      </c>
      <c r="B367" s="2088">
        <v>48000</v>
      </c>
      <c r="C367" s="2076"/>
      <c r="D367" s="2076"/>
      <c r="E367" s="129">
        <v>48000</v>
      </c>
      <c r="F367" s="2088"/>
      <c r="G367" s="2117" t="s">
        <v>243</v>
      </c>
    </row>
    <row r="368" spans="1:7">
      <c r="A368" s="2074" t="s">
        <v>141</v>
      </c>
      <c r="B368" s="2088">
        <v>1885700</v>
      </c>
      <c r="C368" s="2076"/>
      <c r="D368" s="2085">
        <v>1470000</v>
      </c>
      <c r="E368" s="129">
        <v>415700</v>
      </c>
      <c r="F368" s="2088"/>
      <c r="G368" s="2117" t="s">
        <v>243</v>
      </c>
    </row>
    <row r="369" spans="1:7">
      <c r="A369" s="2074" t="s">
        <v>142</v>
      </c>
      <c r="B369" s="2088">
        <v>9530</v>
      </c>
      <c r="C369" s="2085">
        <v>2800</v>
      </c>
      <c r="D369" s="2076"/>
      <c r="E369" s="129">
        <v>12330</v>
      </c>
      <c r="F369" s="2088"/>
      <c r="G369" s="2117" t="s">
        <v>243</v>
      </c>
    </row>
    <row r="370" spans="1:7">
      <c r="A370" s="2074" t="s">
        <v>143</v>
      </c>
      <c r="B370" s="2088">
        <v>766744</v>
      </c>
      <c r="C370" s="2085">
        <v>323031</v>
      </c>
      <c r="D370" s="2085">
        <v>155500</v>
      </c>
      <c r="E370" s="129">
        <v>934275</v>
      </c>
      <c r="F370" s="2088"/>
      <c r="G370" s="2117" t="s">
        <v>243</v>
      </c>
    </row>
    <row r="371" spans="1:7">
      <c r="A371" s="2074" t="s">
        <v>144</v>
      </c>
      <c r="B371" s="2088">
        <v>5500</v>
      </c>
      <c r="C371" s="2085">
        <v>25000</v>
      </c>
      <c r="D371" s="2076"/>
      <c r="E371" s="129">
        <v>30500</v>
      </c>
      <c r="F371" s="2088"/>
      <c r="G371" s="2117" t="s">
        <v>243</v>
      </c>
    </row>
    <row r="372" spans="1:7">
      <c r="A372" s="2074" t="s">
        <v>3865</v>
      </c>
      <c r="B372" s="2088">
        <v>4861273</v>
      </c>
      <c r="C372" s="2085">
        <v>2487916</v>
      </c>
      <c r="D372" s="2085">
        <v>7349189</v>
      </c>
      <c r="E372" s="2086"/>
      <c r="F372" s="2086"/>
    </row>
    <row r="373" spans="1:7">
      <c r="A373" s="2074" t="s">
        <v>145</v>
      </c>
      <c r="B373" s="2088">
        <v>296213</v>
      </c>
      <c r="C373" s="2076"/>
      <c r="D373" s="2076"/>
      <c r="E373" s="129">
        <v>296213</v>
      </c>
      <c r="F373" s="2088"/>
      <c r="G373" s="2117" t="s">
        <v>243</v>
      </c>
    </row>
    <row r="374" spans="1:7">
      <c r="A374" s="2074" t="s">
        <v>146</v>
      </c>
      <c r="B374" s="2088">
        <v>13150</v>
      </c>
      <c r="C374" s="2076"/>
      <c r="D374" s="2076"/>
      <c r="E374" s="129">
        <v>13150</v>
      </c>
      <c r="F374" s="2088"/>
      <c r="G374" s="2117" t="s">
        <v>243</v>
      </c>
    </row>
    <row r="375" spans="1:7">
      <c r="A375" s="2074" t="s">
        <v>147</v>
      </c>
      <c r="B375" s="2088">
        <f>633587+20000</f>
        <v>653587</v>
      </c>
      <c r="C375" s="2085">
        <v>458000</v>
      </c>
      <c r="D375" s="2085">
        <v>385500</v>
      </c>
      <c r="E375" s="129">
        <f>B375+C375-D375</f>
        <v>726087</v>
      </c>
      <c r="F375" s="2088"/>
      <c r="G375" s="2117" t="s">
        <v>243</v>
      </c>
    </row>
    <row r="376" spans="1:7">
      <c r="A376" s="2074" t="s">
        <v>148</v>
      </c>
      <c r="B376" s="2088">
        <v>258600.35</v>
      </c>
      <c r="C376" s="2076"/>
      <c r="D376" s="2076"/>
      <c r="E376" s="129">
        <v>258600.35</v>
      </c>
      <c r="F376" s="2088"/>
      <c r="G376" s="2117" t="s">
        <v>243</v>
      </c>
    </row>
    <row r="377" spans="1:7">
      <c r="A377" s="2074" t="s">
        <v>149</v>
      </c>
      <c r="B377" s="2088">
        <v>3307</v>
      </c>
      <c r="C377" s="2085">
        <v>2384376</v>
      </c>
      <c r="D377" s="2085">
        <v>2167894</v>
      </c>
      <c r="E377" s="2111">
        <v>219789</v>
      </c>
      <c r="F377" s="2088"/>
      <c r="G377" s="2117" t="s">
        <v>541</v>
      </c>
    </row>
    <row r="378" spans="1:7">
      <c r="A378" s="2074" t="s">
        <v>150</v>
      </c>
      <c r="B378" s="2088">
        <v>28582</v>
      </c>
      <c r="C378" s="2076"/>
      <c r="D378" s="2076"/>
      <c r="E378" s="129">
        <v>28582</v>
      </c>
      <c r="F378" s="2088"/>
      <c r="G378" s="2117" t="s">
        <v>243</v>
      </c>
    </row>
    <row r="379" spans="1:7">
      <c r="A379" s="2071" t="s">
        <v>3433</v>
      </c>
      <c r="B379" s="2102"/>
      <c r="C379" s="2105"/>
      <c r="D379" s="2078">
        <v>548190</v>
      </c>
      <c r="E379" s="2077">
        <v>548190</v>
      </c>
      <c r="F379" s="2114"/>
    </row>
    <row r="380" spans="1:7">
      <c r="A380" s="2074" t="s">
        <v>3434</v>
      </c>
      <c r="B380" s="2086"/>
      <c r="C380" s="2076"/>
      <c r="D380" s="2085">
        <v>548190</v>
      </c>
      <c r="E380" s="2110">
        <v>548190</v>
      </c>
      <c r="F380" s="2075"/>
      <c r="G380" s="2117" t="s">
        <v>3595</v>
      </c>
    </row>
    <row r="381" spans="1:7">
      <c r="A381" s="2071" t="s">
        <v>151</v>
      </c>
      <c r="B381" s="2077">
        <v>286389156.44999999</v>
      </c>
      <c r="C381" s="2186">
        <v>5360596</v>
      </c>
      <c r="D381" s="2105"/>
      <c r="E381" s="2077">
        <v>281028560.44999999</v>
      </c>
      <c r="F381" s="2114"/>
      <c r="G381" s="2117" t="s">
        <v>2944</v>
      </c>
    </row>
    <row r="382" spans="1:7">
      <c r="A382" s="2074" t="s">
        <v>152</v>
      </c>
      <c r="B382" s="2088">
        <v>116146225</v>
      </c>
      <c r="C382" s="2085">
        <v>5360596</v>
      </c>
      <c r="D382" s="2076"/>
      <c r="E382" s="2088">
        <v>121506821</v>
      </c>
      <c r="F382" s="2088"/>
    </row>
    <row r="383" spans="1:7">
      <c r="A383" s="2074" t="s">
        <v>153</v>
      </c>
      <c r="B383" s="2088">
        <v>18382929</v>
      </c>
      <c r="C383" s="2076"/>
      <c r="D383" s="2076"/>
      <c r="E383" s="2088">
        <v>18382929</v>
      </c>
      <c r="F383" s="2088"/>
    </row>
    <row r="384" spans="1:7">
      <c r="A384" s="2074" t="s">
        <v>154</v>
      </c>
      <c r="B384" s="2075">
        <v>57181439</v>
      </c>
      <c r="C384" s="2076"/>
      <c r="D384" s="2076"/>
      <c r="E384" s="2075">
        <v>57181439</v>
      </c>
      <c r="F384" s="2075"/>
    </row>
    <row r="385" spans="1:7">
      <c r="A385" s="2074" t="s">
        <v>155</v>
      </c>
      <c r="B385" s="2075">
        <v>363736871.44999999</v>
      </c>
      <c r="C385" s="2076"/>
      <c r="D385" s="2076"/>
      <c r="E385" s="2075">
        <v>363736871.44999999</v>
      </c>
      <c r="F385" s="2075"/>
    </row>
    <row r="386" spans="1:7">
      <c r="A386" s="2071" t="s">
        <v>158</v>
      </c>
      <c r="B386" s="2102"/>
      <c r="C386" s="2078">
        <v>25840000</v>
      </c>
      <c r="D386" s="2078">
        <v>30000000</v>
      </c>
      <c r="E386" s="2077">
        <v>4160000</v>
      </c>
      <c r="F386" s="2114"/>
    </row>
    <row r="387" spans="1:7">
      <c r="A387" s="2089" t="s">
        <v>158</v>
      </c>
      <c r="B387" s="2086"/>
      <c r="C387" s="2085">
        <v>25840000</v>
      </c>
      <c r="D387" s="2085">
        <v>30000000</v>
      </c>
      <c r="E387" s="2110">
        <v>4160000</v>
      </c>
      <c r="F387" s="2075"/>
    </row>
    <row r="388" spans="1:7">
      <c r="A388" s="2071" t="s">
        <v>159</v>
      </c>
      <c r="B388" s="2087">
        <v>25840000</v>
      </c>
      <c r="C388" s="2078">
        <v>30000000</v>
      </c>
      <c r="D388" s="2078">
        <v>25840000</v>
      </c>
      <c r="E388" s="2087">
        <v>30000000</v>
      </c>
      <c r="F388" s="2115"/>
    </row>
    <row r="389" spans="1:7">
      <c r="A389" s="2074" t="s">
        <v>1223</v>
      </c>
      <c r="B389" s="2088">
        <v>25840000</v>
      </c>
      <c r="C389" s="2085">
        <v>30000000</v>
      </c>
      <c r="D389" s="2085">
        <v>25840000</v>
      </c>
      <c r="E389" s="2111">
        <v>30000000</v>
      </c>
      <c r="F389" s="2088"/>
    </row>
    <row r="390" spans="1:7">
      <c r="A390" s="2106" t="s">
        <v>74</v>
      </c>
      <c r="B390" s="2084">
        <v>271231107.18000001</v>
      </c>
      <c r="C390" s="2086"/>
      <c r="D390" s="2086"/>
      <c r="E390" s="2185">
        <v>271231107.18000001</v>
      </c>
      <c r="F390" s="2084"/>
      <c r="G390" s="2117" t="s">
        <v>4163</v>
      </c>
    </row>
    <row r="391" spans="1:7">
      <c r="A391" s="2107" t="s">
        <v>75</v>
      </c>
      <c r="B391" s="2108"/>
      <c r="C391" s="2109">
        <v>2812236361.0599999</v>
      </c>
      <c r="D391" s="2109">
        <v>2812236361.0599999</v>
      </c>
      <c r="E391" s="2108"/>
      <c r="F391" s="2116"/>
    </row>
  </sheetData>
  <autoFilter ref="G1:G391" xr:uid="{00000000-0001-0000-1500-000000000000}"/>
  <mergeCells count="10">
    <mergeCell ref="A7:C7"/>
    <mergeCell ref="B8:E8"/>
    <mergeCell ref="B9:E9"/>
    <mergeCell ref="C10:D10"/>
    <mergeCell ref="A1:C1"/>
    <mergeCell ref="A2:C2"/>
    <mergeCell ref="A3:C3"/>
    <mergeCell ref="A4:C4"/>
    <mergeCell ref="A5:C5"/>
    <mergeCell ref="A6:C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W246"/>
  <sheetViews>
    <sheetView workbookViewId="0">
      <pane xSplit="6" ySplit="2" topLeftCell="L132" activePane="bottomRight" state="frozen"/>
      <selection pane="topRight" activeCell="F1" sqref="F1"/>
      <selection pane="bottomLeft" activeCell="A4" sqref="A4"/>
      <selection pane="bottomRight" activeCell="O14" sqref="O14"/>
    </sheetView>
  </sheetViews>
  <sheetFormatPr defaultRowHeight="14.4"/>
  <cols>
    <col min="2" max="2" width="20.5546875" bestFit="1" customWidth="1"/>
    <col min="3" max="3" width="22.44140625" bestFit="1" customWidth="1"/>
    <col min="4" max="4" width="22.44140625" customWidth="1"/>
    <col min="5" max="5" width="15.5546875" bestFit="1" customWidth="1"/>
    <col min="6" max="6" width="18.5546875" style="1760" bestFit="1" customWidth="1"/>
    <col min="7" max="8" width="18.5546875" customWidth="1"/>
    <col min="9" max="9" width="20.5546875" bestFit="1" customWidth="1"/>
    <col min="10" max="10" width="20.5546875" style="1852" customWidth="1"/>
    <col min="11" max="11" width="24.44140625" bestFit="1" customWidth="1"/>
    <col min="12" max="12" width="20" bestFit="1" customWidth="1"/>
    <col min="13" max="13" width="14.5546875" bestFit="1" customWidth="1"/>
    <col min="14" max="14" width="26.44140625" style="1760" bestFit="1" customWidth="1"/>
    <col min="15" max="15" width="21" bestFit="1" customWidth="1"/>
    <col min="16" max="16" width="29.5546875" bestFit="1" customWidth="1"/>
    <col min="17" max="17" width="14.5546875" bestFit="1" customWidth="1"/>
    <col min="18" max="18" width="14.44140625" bestFit="1" customWidth="1"/>
    <col min="19" max="19" width="11.5546875" bestFit="1" customWidth="1"/>
    <col min="20" max="20" width="10" bestFit="1" customWidth="1"/>
    <col min="21" max="22" width="12.77734375" bestFit="1" customWidth="1"/>
    <col min="23" max="23" width="11.44140625" bestFit="1" customWidth="1"/>
  </cols>
  <sheetData>
    <row r="1" spans="2:23">
      <c r="F1"/>
      <c r="J1" s="371"/>
      <c r="M1" s="218">
        <v>45016</v>
      </c>
      <c r="N1"/>
      <c r="P1" s="218">
        <v>44832</v>
      </c>
      <c r="Q1" t="s">
        <v>4254</v>
      </c>
      <c r="R1" t="s">
        <v>4255</v>
      </c>
    </row>
    <row r="2" spans="2:23">
      <c r="B2" s="254" t="s">
        <v>3467</v>
      </c>
      <c r="C2" s="254" t="s">
        <v>3468</v>
      </c>
      <c r="D2" s="254" t="s">
        <v>4341</v>
      </c>
      <c r="E2" s="254" t="s">
        <v>3469</v>
      </c>
      <c r="F2" s="254" t="s">
        <v>3471</v>
      </c>
      <c r="G2" s="254" t="s">
        <v>1362</v>
      </c>
      <c r="H2" s="254" t="s">
        <v>3474</v>
      </c>
      <c r="I2" s="254" t="s">
        <v>3475</v>
      </c>
      <c r="J2" s="254" t="s">
        <v>3476</v>
      </c>
      <c r="K2" s="254" t="s">
        <v>3472</v>
      </c>
      <c r="L2" s="254" t="s">
        <v>3473</v>
      </c>
      <c r="M2" s="254" t="s">
        <v>2123</v>
      </c>
      <c r="N2" s="254" t="s">
        <v>3537</v>
      </c>
      <c r="O2" s="254" t="s">
        <v>4168</v>
      </c>
      <c r="P2" s="254" t="s">
        <v>3540</v>
      </c>
    </row>
    <row r="3" spans="2:23">
      <c r="C3" t="s">
        <v>4042</v>
      </c>
      <c r="D3" t="s">
        <v>4339</v>
      </c>
      <c r="E3" s="218">
        <v>44652</v>
      </c>
      <c r="F3" s="1760">
        <v>25000</v>
      </c>
      <c r="G3">
        <v>3</v>
      </c>
      <c r="H3" s="1760">
        <f t="shared" ref="H3:H8" si="0">F3*5%</f>
        <v>1250</v>
      </c>
      <c r="I3" s="1760">
        <f>F3-H3</f>
        <v>23750</v>
      </c>
      <c r="J3" s="1852">
        <v>0.31669999999999998</v>
      </c>
      <c r="K3">
        <f>$M$1-E3</f>
        <v>364</v>
      </c>
      <c r="L3" s="1760">
        <f t="shared" ref="L3:L8" si="1">F3*J3*K3/365</f>
        <v>7895.8082191780813</v>
      </c>
      <c r="M3" s="1760">
        <f t="shared" ref="M3:M8" si="2">F3-L3</f>
        <v>17104.191780821919</v>
      </c>
      <c r="N3"/>
      <c r="P3" t="s">
        <v>4254</v>
      </c>
      <c r="R3" s="2147"/>
      <c r="S3" s="2147">
        <v>4500</v>
      </c>
    </row>
    <row r="4" spans="2:23">
      <c r="C4" t="s">
        <v>4043</v>
      </c>
      <c r="D4" t="s">
        <v>4339</v>
      </c>
      <c r="E4" s="218">
        <v>44655</v>
      </c>
      <c r="F4" s="1760">
        <v>43711.864406779656</v>
      </c>
      <c r="G4">
        <v>3</v>
      </c>
      <c r="H4" s="1760">
        <f t="shared" si="0"/>
        <v>2185.593220338983</v>
      </c>
      <c r="I4" s="1760">
        <f t="shared" ref="I3:I8" si="3">F4-H4</f>
        <v>41526.271186440674</v>
      </c>
      <c r="J4" s="1852">
        <v>0.31669999999999998</v>
      </c>
      <c r="K4">
        <f t="shared" ref="K3:K8" si="4">$M$1-E4</f>
        <v>361</v>
      </c>
      <c r="L4" s="1760">
        <f t="shared" si="1"/>
        <v>13691.837348502435</v>
      </c>
      <c r="M4" s="1760">
        <f t="shared" si="2"/>
        <v>30020.027058277221</v>
      </c>
      <c r="N4"/>
      <c r="P4" t="s">
        <v>4254</v>
      </c>
      <c r="R4" s="2147"/>
      <c r="S4" s="2147">
        <v>7868.1355932203442</v>
      </c>
    </row>
    <row r="5" spans="2:23">
      <c r="C5" t="s">
        <v>4045</v>
      </c>
      <c r="D5" t="s">
        <v>4339</v>
      </c>
      <c r="E5" s="218">
        <v>44692</v>
      </c>
      <c r="F5" s="1760">
        <v>29027.966101694918</v>
      </c>
      <c r="G5">
        <v>3</v>
      </c>
      <c r="H5" s="1760">
        <f t="shared" si="0"/>
        <v>1451.398305084746</v>
      </c>
      <c r="I5" s="1760">
        <f t="shared" si="3"/>
        <v>27576.567796610172</v>
      </c>
      <c r="J5" s="1852">
        <v>0.31669999999999998</v>
      </c>
      <c r="K5">
        <f t="shared" si="4"/>
        <v>324</v>
      </c>
      <c r="L5" s="1760">
        <f t="shared" si="1"/>
        <v>8160.500887856977</v>
      </c>
      <c r="M5" s="1760">
        <f t="shared" si="2"/>
        <v>20867.465213837939</v>
      </c>
      <c r="N5"/>
      <c r="P5" t="s">
        <v>4254</v>
      </c>
      <c r="R5" s="2147"/>
      <c r="S5" s="2147">
        <v>5225.0338983050824</v>
      </c>
    </row>
    <row r="6" spans="2:23">
      <c r="C6" t="s">
        <v>4046</v>
      </c>
      <c r="D6" t="s">
        <v>4339</v>
      </c>
      <c r="E6" s="218">
        <v>44803</v>
      </c>
      <c r="F6" s="1760">
        <v>50847.457627118638</v>
      </c>
      <c r="G6">
        <v>3</v>
      </c>
      <c r="H6" s="1760">
        <f t="shared" si="0"/>
        <v>2542.3728813559319</v>
      </c>
      <c r="I6" s="1760">
        <f t="shared" si="3"/>
        <v>48305.08474576271</v>
      </c>
      <c r="J6" s="1852">
        <v>0.31669999999999998</v>
      </c>
      <c r="K6">
        <f t="shared" si="4"/>
        <v>213</v>
      </c>
      <c r="L6" s="1760">
        <f t="shared" si="1"/>
        <v>9397.3206408172719</v>
      </c>
      <c r="M6" s="1760">
        <f t="shared" si="2"/>
        <v>41450.136986301368</v>
      </c>
      <c r="N6"/>
      <c r="P6" t="s">
        <v>4254</v>
      </c>
      <c r="R6" s="2147"/>
      <c r="S6" s="2147">
        <v>9152.5423728813621</v>
      </c>
    </row>
    <row r="7" spans="2:23">
      <c r="C7" t="s">
        <v>4047</v>
      </c>
      <c r="D7" t="s">
        <v>4339</v>
      </c>
      <c r="E7" s="218">
        <v>44882</v>
      </c>
      <c r="F7" s="1760">
        <v>41445.762711864401</v>
      </c>
      <c r="G7">
        <v>3</v>
      </c>
      <c r="H7" s="1760">
        <f t="shared" si="0"/>
        <v>2072.28813559322</v>
      </c>
      <c r="I7" s="1760">
        <f t="shared" si="3"/>
        <v>39373.474576271183</v>
      </c>
      <c r="J7" s="1852">
        <v>0.31669999999999998</v>
      </c>
      <c r="K7">
        <f t="shared" si="4"/>
        <v>134</v>
      </c>
      <c r="L7" s="1760">
        <f t="shared" si="1"/>
        <v>4818.8136679823529</v>
      </c>
      <c r="M7" s="1760">
        <f t="shared" si="2"/>
        <v>36626.94904388205</v>
      </c>
      <c r="N7"/>
      <c r="P7" t="s">
        <v>4255</v>
      </c>
      <c r="R7" s="2147"/>
      <c r="S7" s="2147">
        <v>7460.2372881355986</v>
      </c>
    </row>
    <row r="8" spans="2:23">
      <c r="C8" t="s">
        <v>4049</v>
      </c>
      <c r="D8" t="s">
        <v>4339</v>
      </c>
      <c r="E8" s="218">
        <v>44947</v>
      </c>
      <c r="F8" s="1760">
        <v>57203.389830508473</v>
      </c>
      <c r="G8">
        <v>3</v>
      </c>
      <c r="H8" s="1760">
        <f t="shared" si="0"/>
        <v>2860.1694915254238</v>
      </c>
      <c r="I8" s="1760">
        <f t="shared" si="3"/>
        <v>54343.220338983047</v>
      </c>
      <c r="J8" s="1852">
        <v>0.31669999999999998</v>
      </c>
      <c r="K8">
        <f t="shared" si="4"/>
        <v>69</v>
      </c>
      <c r="L8" s="1760">
        <f>F8*J8*K8/365</f>
        <v>3424.7277687485484</v>
      </c>
      <c r="M8" s="1760">
        <f t="shared" si="2"/>
        <v>53778.662061759926</v>
      </c>
      <c r="N8"/>
      <c r="P8" t="s">
        <v>4255</v>
      </c>
      <c r="R8" s="2147"/>
      <c r="S8" s="2147">
        <v>10296.610169491527</v>
      </c>
      <c r="T8" s="523">
        <f>SUM(S3:S8)</f>
        <v>44502.559322033914</v>
      </c>
      <c r="U8" s="219">
        <v>291739</v>
      </c>
      <c r="V8" s="219">
        <v>247236.44</v>
      </c>
      <c r="W8" s="219">
        <f>U8-V8</f>
        <v>44502.559999999998</v>
      </c>
    </row>
    <row r="9" spans="2:23">
      <c r="E9" s="218"/>
      <c r="H9" s="1760"/>
      <c r="I9" s="1760"/>
      <c r="L9" s="1760"/>
      <c r="M9" s="1760"/>
      <c r="N9"/>
      <c r="R9" s="2147"/>
      <c r="S9" s="2147"/>
    </row>
    <row r="10" spans="2:23">
      <c r="C10" t="s">
        <v>4050</v>
      </c>
      <c r="D10" t="s">
        <v>4340</v>
      </c>
      <c r="E10" s="218">
        <v>44656</v>
      </c>
      <c r="F10" s="1760">
        <v>369100</v>
      </c>
      <c r="G10">
        <v>15</v>
      </c>
      <c r="H10" s="1760">
        <f t="shared" ref="H10:H73" si="5">F10*5%</f>
        <v>18455</v>
      </c>
      <c r="I10" s="1760">
        <f t="shared" ref="I10:I73" si="6">F10-H10</f>
        <v>350645</v>
      </c>
      <c r="J10" s="1852">
        <v>6.3299999999999995E-2</v>
      </c>
      <c r="K10">
        <f t="shared" ref="K10:K73" si="7">$M$1-E10</f>
        <v>360</v>
      </c>
      <c r="L10" s="1760">
        <f t="shared" ref="L10:L73" si="8">F10*J10*K10/365</f>
        <v>23043.974794520545</v>
      </c>
      <c r="M10" s="1760">
        <f t="shared" ref="M10:M73" si="9">F10-L10</f>
        <v>346056.02520547947</v>
      </c>
      <c r="N10"/>
      <c r="P10" t="s">
        <v>4254</v>
      </c>
      <c r="R10" s="2147"/>
      <c r="S10" s="2147">
        <v>66438</v>
      </c>
    </row>
    <row r="11" spans="2:23">
      <c r="C11" t="s">
        <v>4051</v>
      </c>
      <c r="D11" t="s">
        <v>4340</v>
      </c>
      <c r="E11" s="218">
        <v>44659</v>
      </c>
      <c r="F11" s="1760">
        <v>40500</v>
      </c>
      <c r="G11">
        <v>15</v>
      </c>
      <c r="H11" s="1760">
        <f t="shared" si="5"/>
        <v>2025</v>
      </c>
      <c r="I11" s="1760">
        <f t="shared" si="6"/>
        <v>38475</v>
      </c>
      <c r="J11" s="1852">
        <v>6.3299999999999995E-2</v>
      </c>
      <c r="K11">
        <f t="shared" si="7"/>
        <v>357</v>
      </c>
      <c r="L11" s="1760">
        <f t="shared" si="8"/>
        <v>2507.4604109589036</v>
      </c>
      <c r="M11" s="1760">
        <f t="shared" si="9"/>
        <v>37992.539589041095</v>
      </c>
      <c r="N11"/>
      <c r="P11" t="s">
        <v>4254</v>
      </c>
      <c r="R11" s="2147"/>
      <c r="S11" s="2147">
        <v>7290</v>
      </c>
    </row>
    <row r="12" spans="2:23">
      <c r="C12" t="s">
        <v>4052</v>
      </c>
      <c r="D12" t="s">
        <v>4340</v>
      </c>
      <c r="E12" s="218">
        <v>44662</v>
      </c>
      <c r="F12" s="1760">
        <v>580226.27118644072</v>
      </c>
      <c r="G12">
        <v>15</v>
      </c>
      <c r="H12" s="1760">
        <f t="shared" si="5"/>
        <v>29011.313559322036</v>
      </c>
      <c r="I12" s="1760">
        <f t="shared" si="6"/>
        <v>551214.95762711868</v>
      </c>
      <c r="J12" s="1852">
        <v>6.3299999999999995E-2</v>
      </c>
      <c r="K12">
        <f t="shared" si="7"/>
        <v>354</v>
      </c>
      <c r="L12" s="1760">
        <f t="shared" si="8"/>
        <v>35621.442000000003</v>
      </c>
      <c r="M12" s="1760">
        <f t="shared" si="9"/>
        <v>544604.82918644068</v>
      </c>
      <c r="N12"/>
      <c r="P12" t="s">
        <v>4254</v>
      </c>
      <c r="R12" s="2147"/>
      <c r="S12" s="2147">
        <v>104440.72881355928</v>
      </c>
    </row>
    <row r="13" spans="2:23">
      <c r="C13" t="s">
        <v>4053</v>
      </c>
      <c r="D13" t="s">
        <v>4340</v>
      </c>
      <c r="E13" s="218">
        <v>44663</v>
      </c>
      <c r="F13" s="1760">
        <v>215000</v>
      </c>
      <c r="G13">
        <v>15</v>
      </c>
      <c r="H13" s="1760">
        <f t="shared" si="5"/>
        <v>10750</v>
      </c>
      <c r="I13" s="1760">
        <f t="shared" si="6"/>
        <v>204250</v>
      </c>
      <c r="J13" s="1852">
        <v>6.3299999999999995E-2</v>
      </c>
      <c r="K13">
        <f t="shared" si="7"/>
        <v>353</v>
      </c>
      <c r="L13" s="1760">
        <f t="shared" si="8"/>
        <v>13162.064383561641</v>
      </c>
      <c r="M13" s="1760">
        <f t="shared" si="9"/>
        <v>201837.93561643836</v>
      </c>
      <c r="N13"/>
      <c r="P13" t="s">
        <v>4254</v>
      </c>
      <c r="R13" s="2147"/>
      <c r="S13" s="2147">
        <v>38700</v>
      </c>
    </row>
    <row r="14" spans="2:23">
      <c r="C14" t="s">
        <v>4054</v>
      </c>
      <c r="D14" t="s">
        <v>4340</v>
      </c>
      <c r="E14" s="218">
        <v>44664</v>
      </c>
      <c r="F14" s="1760">
        <v>172870.33898305084</v>
      </c>
      <c r="G14">
        <v>15</v>
      </c>
      <c r="H14" s="1760">
        <f t="shared" si="5"/>
        <v>8643.516949152543</v>
      </c>
      <c r="I14" s="1760">
        <f t="shared" si="6"/>
        <v>164226.82203389829</v>
      </c>
      <c r="J14" s="1852">
        <v>6.3299999999999995E-2</v>
      </c>
      <c r="K14">
        <f t="shared" si="7"/>
        <v>352</v>
      </c>
      <c r="L14" s="1760">
        <f t="shared" si="8"/>
        <v>10552.952726259577</v>
      </c>
      <c r="M14" s="1760">
        <f t="shared" si="9"/>
        <v>162317.38625679127</v>
      </c>
      <c r="N14"/>
      <c r="P14" t="s">
        <v>4254</v>
      </c>
      <c r="R14" s="2147"/>
      <c r="S14" s="2147">
        <v>31116.661016949161</v>
      </c>
    </row>
    <row r="15" spans="2:23">
      <c r="C15" t="s">
        <v>4055</v>
      </c>
      <c r="D15" t="s">
        <v>4340</v>
      </c>
      <c r="E15" s="218">
        <v>44666</v>
      </c>
      <c r="F15" s="1760">
        <v>385858.4745762712</v>
      </c>
      <c r="G15">
        <v>15</v>
      </c>
      <c r="H15" s="1760">
        <f t="shared" si="5"/>
        <v>19292.923728813559</v>
      </c>
      <c r="I15" s="1760">
        <f t="shared" si="6"/>
        <v>366565.55084745766</v>
      </c>
      <c r="J15" s="1852">
        <v>6.3299999999999995E-2</v>
      </c>
      <c r="K15">
        <f t="shared" si="7"/>
        <v>350</v>
      </c>
      <c r="L15" s="1760">
        <f t="shared" si="8"/>
        <v>23421.080833526819</v>
      </c>
      <c r="M15" s="1760">
        <f t="shared" si="9"/>
        <v>362437.3937427444</v>
      </c>
      <c r="N15"/>
      <c r="P15" t="s">
        <v>4254</v>
      </c>
      <c r="R15" s="2147"/>
      <c r="S15" s="2147">
        <v>69454.525423728803</v>
      </c>
    </row>
    <row r="16" spans="2:23">
      <c r="C16" t="s">
        <v>4056</v>
      </c>
      <c r="D16" t="s">
        <v>4340</v>
      </c>
      <c r="E16" s="218">
        <v>44666</v>
      </c>
      <c r="F16" s="1760">
        <v>1853980.5084745763</v>
      </c>
      <c r="G16">
        <v>15</v>
      </c>
      <c r="H16" s="1760">
        <f t="shared" si="5"/>
        <v>92699.025423728817</v>
      </c>
      <c r="I16" s="1760">
        <f t="shared" si="6"/>
        <v>1761281.4830508474</v>
      </c>
      <c r="J16" s="1852">
        <v>6.3299999999999995E-2</v>
      </c>
      <c r="K16">
        <f t="shared" si="7"/>
        <v>350</v>
      </c>
      <c r="L16" s="1760">
        <f t="shared" si="8"/>
        <v>112534.0771650801</v>
      </c>
      <c r="M16" s="1760">
        <f t="shared" si="9"/>
        <v>1741446.4313094963</v>
      </c>
      <c r="N16"/>
      <c r="P16" t="s">
        <v>4254</v>
      </c>
      <c r="R16" s="2147"/>
      <c r="S16" s="2147">
        <v>333716.49152542371</v>
      </c>
    </row>
    <row r="17" spans="3:19">
      <c r="C17" t="s">
        <v>4057</v>
      </c>
      <c r="D17" t="s">
        <v>4340</v>
      </c>
      <c r="E17" s="218">
        <v>44669</v>
      </c>
      <c r="F17" s="1760">
        <v>176453.3898305085</v>
      </c>
      <c r="G17">
        <v>15</v>
      </c>
      <c r="H17" s="1760">
        <f t="shared" si="5"/>
        <v>8822.6694915254247</v>
      </c>
      <c r="I17" s="1760">
        <f t="shared" si="6"/>
        <v>167630.72033898308</v>
      </c>
      <c r="J17" s="1852">
        <v>6.3299999999999995E-2</v>
      </c>
      <c r="K17">
        <f t="shared" si="7"/>
        <v>347</v>
      </c>
      <c r="L17" s="1760">
        <f t="shared" si="8"/>
        <v>10618.674939633156</v>
      </c>
      <c r="M17" s="1760">
        <f t="shared" si="9"/>
        <v>165834.71489087536</v>
      </c>
      <c r="N17"/>
      <c r="P17" t="s">
        <v>4254</v>
      </c>
      <c r="R17" s="2147"/>
      <c r="S17" s="2147">
        <v>31761.610169491498</v>
      </c>
    </row>
    <row r="18" spans="3:19">
      <c r="C18" t="s">
        <v>4058</v>
      </c>
      <c r="D18" t="s">
        <v>4340</v>
      </c>
      <c r="E18" s="218">
        <v>44672</v>
      </c>
      <c r="F18" s="1760">
        <v>1215244.9152542374</v>
      </c>
      <c r="G18">
        <v>15</v>
      </c>
      <c r="H18" s="1760">
        <f t="shared" si="5"/>
        <v>60762.245762711871</v>
      </c>
      <c r="I18" s="1760">
        <f t="shared" si="6"/>
        <v>1154482.6694915255</v>
      </c>
      <c r="J18" s="1852">
        <v>6.3299999999999995E-2</v>
      </c>
      <c r="K18">
        <f t="shared" si="7"/>
        <v>344</v>
      </c>
      <c r="L18" s="1760">
        <f t="shared" si="8"/>
        <v>72499.181037381</v>
      </c>
      <c r="M18" s="1760">
        <f t="shared" si="9"/>
        <v>1142745.7342168563</v>
      </c>
      <c r="N18"/>
      <c r="P18" t="s">
        <v>4254</v>
      </c>
      <c r="R18" s="2147"/>
      <c r="S18" s="2147">
        <v>218744.08474576264</v>
      </c>
    </row>
    <row r="19" spans="3:19">
      <c r="C19" t="s">
        <v>4059</v>
      </c>
      <c r="D19" t="s">
        <v>4340</v>
      </c>
      <c r="E19" s="218">
        <v>44672</v>
      </c>
      <c r="F19" s="1760">
        <v>240130.50847457629</v>
      </c>
      <c r="G19">
        <v>15</v>
      </c>
      <c r="H19" s="1760">
        <f t="shared" si="5"/>
        <v>12006.525423728815</v>
      </c>
      <c r="I19" s="1760">
        <f t="shared" si="6"/>
        <v>228123.98305084748</v>
      </c>
      <c r="J19" s="1852">
        <v>6.3299999999999995E-2</v>
      </c>
      <c r="K19">
        <f t="shared" si="7"/>
        <v>344</v>
      </c>
      <c r="L19" s="1760">
        <f t="shared" si="8"/>
        <v>14325.725611330392</v>
      </c>
      <c r="M19" s="1760">
        <f t="shared" si="9"/>
        <v>225804.7828632459</v>
      </c>
      <c r="N19"/>
      <c r="P19" t="s">
        <v>4254</v>
      </c>
      <c r="R19" s="2147"/>
      <c r="S19" s="2147">
        <v>43223.491525423713</v>
      </c>
    </row>
    <row r="20" spans="3:19">
      <c r="C20" t="s">
        <v>4060</v>
      </c>
      <c r="D20" t="s">
        <v>4340</v>
      </c>
      <c r="E20" s="218">
        <v>44673</v>
      </c>
      <c r="F20" s="1760">
        <v>67500</v>
      </c>
      <c r="G20">
        <v>15</v>
      </c>
      <c r="H20" s="1760">
        <f t="shared" si="5"/>
        <v>3375</v>
      </c>
      <c r="I20" s="1760">
        <f t="shared" si="6"/>
        <v>64125</v>
      </c>
      <c r="J20" s="1852">
        <v>6.3299999999999995E-2</v>
      </c>
      <c r="K20">
        <f t="shared" si="7"/>
        <v>343</v>
      </c>
      <c r="L20" s="1760">
        <f t="shared" si="8"/>
        <v>4015.2143835616439</v>
      </c>
      <c r="M20" s="1760">
        <f t="shared" si="9"/>
        <v>63484.785616438356</v>
      </c>
      <c r="N20"/>
      <c r="P20" t="s">
        <v>4254</v>
      </c>
      <c r="R20" s="2147"/>
      <c r="S20" s="2147">
        <v>12150</v>
      </c>
    </row>
    <row r="21" spans="3:19">
      <c r="C21" t="s">
        <v>4061</v>
      </c>
      <c r="D21" t="s">
        <v>4340</v>
      </c>
      <c r="E21" s="218">
        <v>44674</v>
      </c>
      <c r="F21" s="1760">
        <v>165000</v>
      </c>
      <c r="G21">
        <v>15</v>
      </c>
      <c r="H21" s="1760">
        <f t="shared" si="5"/>
        <v>8250</v>
      </c>
      <c r="I21" s="1760">
        <f t="shared" si="6"/>
        <v>156750</v>
      </c>
      <c r="J21" s="1852">
        <v>6.3299999999999995E-2</v>
      </c>
      <c r="K21">
        <f t="shared" si="7"/>
        <v>342</v>
      </c>
      <c r="L21" s="1760">
        <f t="shared" si="8"/>
        <v>9786.3534246575346</v>
      </c>
      <c r="M21" s="1760">
        <f t="shared" si="9"/>
        <v>155213.64657534246</v>
      </c>
      <c r="N21"/>
      <c r="P21" t="s">
        <v>4254</v>
      </c>
      <c r="R21" s="2147"/>
      <c r="S21" s="2147">
        <v>29700</v>
      </c>
    </row>
    <row r="22" spans="3:19">
      <c r="C22" t="s">
        <v>4062</v>
      </c>
      <c r="D22" t="s">
        <v>4340</v>
      </c>
      <c r="E22" s="218">
        <v>44680</v>
      </c>
      <c r="F22" s="1760">
        <v>2796.6101694915251</v>
      </c>
      <c r="G22">
        <v>15</v>
      </c>
      <c r="H22" s="1760">
        <f t="shared" si="5"/>
        <v>139.83050847457625</v>
      </c>
      <c r="I22" s="1760">
        <f t="shared" si="6"/>
        <v>2656.7796610169489</v>
      </c>
      <c r="J22" s="1852">
        <v>6.3299999999999995E-2</v>
      </c>
      <c r="K22">
        <f t="shared" si="7"/>
        <v>336</v>
      </c>
      <c r="L22" s="1760">
        <f t="shared" si="8"/>
        <v>162.96039006268862</v>
      </c>
      <c r="M22" s="1760">
        <f t="shared" si="9"/>
        <v>2633.6497794288366</v>
      </c>
      <c r="N22"/>
      <c r="P22" t="s">
        <v>4254</v>
      </c>
      <c r="R22" s="2147"/>
      <c r="S22" s="2147">
        <v>503.38983050847492</v>
      </c>
    </row>
    <row r="23" spans="3:19">
      <c r="C23" t="s">
        <v>4063</v>
      </c>
      <c r="D23" t="s">
        <v>4340</v>
      </c>
      <c r="E23" s="218">
        <v>44680</v>
      </c>
      <c r="F23" s="1760">
        <v>55000</v>
      </c>
      <c r="G23">
        <v>15</v>
      </c>
      <c r="H23" s="1760">
        <f t="shared" si="5"/>
        <v>2750</v>
      </c>
      <c r="I23" s="1760">
        <f t="shared" si="6"/>
        <v>52250</v>
      </c>
      <c r="J23" s="1852">
        <v>6.3299999999999995E-2</v>
      </c>
      <c r="K23">
        <f t="shared" si="7"/>
        <v>336</v>
      </c>
      <c r="L23" s="1760">
        <f t="shared" si="8"/>
        <v>3204.8876712328761</v>
      </c>
      <c r="M23" s="1760">
        <f t="shared" si="9"/>
        <v>51795.112328767122</v>
      </c>
      <c r="N23"/>
      <c r="P23" t="s">
        <v>4254</v>
      </c>
      <c r="R23" s="2147"/>
      <c r="S23" s="2147">
        <v>6600</v>
      </c>
    </row>
    <row r="24" spans="3:19">
      <c r="C24" t="s">
        <v>4064</v>
      </c>
      <c r="D24" t="s">
        <v>4340</v>
      </c>
      <c r="E24" s="218">
        <v>44681</v>
      </c>
      <c r="F24" s="1760">
        <v>163000</v>
      </c>
      <c r="G24">
        <v>15</v>
      </c>
      <c r="H24" s="1760">
        <f t="shared" si="5"/>
        <v>8150</v>
      </c>
      <c r="I24" s="1760">
        <f t="shared" si="6"/>
        <v>154850</v>
      </c>
      <c r="J24" s="1852">
        <v>6.3299999999999995E-2</v>
      </c>
      <c r="K24">
        <f t="shared" si="7"/>
        <v>335</v>
      </c>
      <c r="L24" s="1760">
        <f t="shared" si="8"/>
        <v>9469.8534246575346</v>
      </c>
      <c r="M24" s="1760">
        <f t="shared" si="9"/>
        <v>153530.14657534246</v>
      </c>
      <c r="N24"/>
      <c r="P24" t="s">
        <v>4254</v>
      </c>
      <c r="R24" s="2147"/>
      <c r="S24" s="2147">
        <v>29340</v>
      </c>
    </row>
    <row r="25" spans="3:19">
      <c r="C25" t="s">
        <v>4065</v>
      </c>
      <c r="D25" t="s">
        <v>4340</v>
      </c>
      <c r="E25" s="218">
        <v>44687</v>
      </c>
      <c r="F25" s="1760">
        <v>102483.05084745763</v>
      </c>
      <c r="G25">
        <v>15</v>
      </c>
      <c r="H25" s="1760">
        <f t="shared" si="5"/>
        <v>5124.1525423728817</v>
      </c>
      <c r="I25" s="1760">
        <f t="shared" si="6"/>
        <v>97358.89830508476</v>
      </c>
      <c r="J25" s="1852">
        <v>6.3299999999999995E-2</v>
      </c>
      <c r="K25">
        <f t="shared" si="7"/>
        <v>329</v>
      </c>
      <c r="L25" s="1760">
        <f t="shared" si="8"/>
        <v>5847.3459507778034</v>
      </c>
      <c r="M25" s="1760">
        <f t="shared" si="9"/>
        <v>96635.704896679832</v>
      </c>
      <c r="N25"/>
      <c r="P25" t="s">
        <v>4254</v>
      </c>
      <c r="R25" s="2147"/>
      <c r="S25" s="2147">
        <v>18446.949152542365</v>
      </c>
    </row>
    <row r="26" spans="3:19">
      <c r="C26" t="s">
        <v>4066</v>
      </c>
      <c r="D26" t="s">
        <v>4340</v>
      </c>
      <c r="E26" s="218">
        <v>44688</v>
      </c>
      <c r="F26" s="1760">
        <v>181300</v>
      </c>
      <c r="G26">
        <v>15</v>
      </c>
      <c r="H26" s="1760">
        <f t="shared" si="5"/>
        <v>9065</v>
      </c>
      <c r="I26" s="1760">
        <f t="shared" si="6"/>
        <v>172235</v>
      </c>
      <c r="J26" s="1852">
        <v>6.3299999999999995E-2</v>
      </c>
      <c r="K26">
        <f t="shared" si="7"/>
        <v>328</v>
      </c>
      <c r="L26" s="1760">
        <f t="shared" si="8"/>
        <v>10312.940054794519</v>
      </c>
      <c r="M26" s="1760">
        <f t="shared" si="9"/>
        <v>170987.05994520549</v>
      </c>
      <c r="N26"/>
      <c r="P26" t="s">
        <v>4254</v>
      </c>
      <c r="R26" s="2147"/>
      <c r="S26" s="2147">
        <v>32634</v>
      </c>
    </row>
    <row r="27" spans="3:19">
      <c r="C27" t="s">
        <v>4067</v>
      </c>
      <c r="D27" t="s">
        <v>4340</v>
      </c>
      <c r="E27" s="218">
        <v>44690</v>
      </c>
      <c r="F27" s="1760">
        <v>24800</v>
      </c>
      <c r="G27">
        <v>15</v>
      </c>
      <c r="H27" s="1760">
        <f t="shared" si="5"/>
        <v>1240</v>
      </c>
      <c r="I27" s="1760">
        <f t="shared" si="6"/>
        <v>23560</v>
      </c>
      <c r="J27" s="1852">
        <v>6.3299999999999995E-2</v>
      </c>
      <c r="K27">
        <f t="shared" si="7"/>
        <v>326</v>
      </c>
      <c r="L27" s="1760">
        <f t="shared" si="8"/>
        <v>1402.1036712328766</v>
      </c>
      <c r="M27" s="1760">
        <f t="shared" si="9"/>
        <v>23397.896328767125</v>
      </c>
      <c r="N27"/>
      <c r="P27" t="s">
        <v>4254</v>
      </c>
      <c r="R27" s="2147"/>
      <c r="S27" s="2147">
        <v>0</v>
      </c>
    </row>
    <row r="28" spans="3:19">
      <c r="C28" t="s">
        <v>4068</v>
      </c>
      <c r="D28" t="s">
        <v>4340</v>
      </c>
      <c r="E28" s="218">
        <v>44690</v>
      </c>
      <c r="F28" s="1760">
        <v>3280</v>
      </c>
      <c r="G28">
        <v>15</v>
      </c>
      <c r="H28" s="1760">
        <f t="shared" si="5"/>
        <v>164</v>
      </c>
      <c r="I28" s="1760">
        <f t="shared" si="6"/>
        <v>3116</v>
      </c>
      <c r="J28" s="1852">
        <v>6.3299999999999995E-2</v>
      </c>
      <c r="K28">
        <f t="shared" si="7"/>
        <v>326</v>
      </c>
      <c r="L28" s="1760">
        <f t="shared" si="8"/>
        <v>185.43951780821916</v>
      </c>
      <c r="M28" s="1760">
        <f t="shared" si="9"/>
        <v>3094.5604821917809</v>
      </c>
      <c r="N28"/>
      <c r="P28" t="s">
        <v>4254</v>
      </c>
      <c r="R28" s="2147"/>
      <c r="S28" s="2147">
        <v>0</v>
      </c>
    </row>
    <row r="29" spans="3:19">
      <c r="C29" t="s">
        <v>4069</v>
      </c>
      <c r="D29" t="s">
        <v>4340</v>
      </c>
      <c r="E29" s="218">
        <v>44691</v>
      </c>
      <c r="F29" s="1760">
        <v>113300</v>
      </c>
      <c r="G29">
        <v>15</v>
      </c>
      <c r="H29" s="1760">
        <f t="shared" si="5"/>
        <v>5665</v>
      </c>
      <c r="I29" s="1760">
        <f t="shared" si="6"/>
        <v>107635</v>
      </c>
      <c r="J29" s="1852">
        <v>6.3299999999999995E-2</v>
      </c>
      <c r="K29">
        <f t="shared" si="7"/>
        <v>325</v>
      </c>
      <c r="L29" s="1760">
        <f t="shared" si="8"/>
        <v>6385.9294520547946</v>
      </c>
      <c r="M29" s="1760">
        <f t="shared" si="9"/>
        <v>106914.0705479452</v>
      </c>
      <c r="N29"/>
      <c r="P29" t="s">
        <v>4254</v>
      </c>
      <c r="R29" s="2147"/>
      <c r="S29" s="2147">
        <v>0</v>
      </c>
    </row>
    <row r="30" spans="3:19">
      <c r="C30" t="s">
        <v>4070</v>
      </c>
      <c r="D30" t="s">
        <v>4340</v>
      </c>
      <c r="E30" s="218">
        <v>44692</v>
      </c>
      <c r="F30" s="1760">
        <v>6800</v>
      </c>
      <c r="G30">
        <v>15</v>
      </c>
      <c r="H30" s="1760">
        <f t="shared" si="5"/>
        <v>340</v>
      </c>
      <c r="I30" s="1760">
        <f t="shared" si="6"/>
        <v>6460</v>
      </c>
      <c r="J30" s="1852">
        <v>6.3299999999999995E-2</v>
      </c>
      <c r="K30">
        <f t="shared" si="7"/>
        <v>324</v>
      </c>
      <c r="L30" s="1760">
        <f t="shared" si="8"/>
        <v>382.08920547945195</v>
      </c>
      <c r="M30" s="1760">
        <f t="shared" si="9"/>
        <v>6417.9107945205478</v>
      </c>
      <c r="N30"/>
      <c r="P30" t="s">
        <v>4254</v>
      </c>
      <c r="R30" s="2147"/>
      <c r="S30" s="2147">
        <v>0</v>
      </c>
    </row>
    <row r="31" spans="3:19">
      <c r="C31" t="s">
        <v>4071</v>
      </c>
      <c r="D31" t="s">
        <v>4340</v>
      </c>
      <c r="E31" s="218">
        <v>44696</v>
      </c>
      <c r="F31" s="1760">
        <v>113300</v>
      </c>
      <c r="G31">
        <v>15</v>
      </c>
      <c r="H31" s="1760">
        <f t="shared" si="5"/>
        <v>5665</v>
      </c>
      <c r="I31" s="1760">
        <f t="shared" si="6"/>
        <v>107635</v>
      </c>
      <c r="J31" s="1852">
        <v>6.3299999999999995E-2</v>
      </c>
      <c r="K31">
        <f t="shared" si="7"/>
        <v>320</v>
      </c>
      <c r="L31" s="1760">
        <f t="shared" si="8"/>
        <v>6287.6843835616437</v>
      </c>
      <c r="M31" s="1760">
        <f t="shared" si="9"/>
        <v>107012.31561643835</v>
      </c>
      <c r="N31"/>
      <c r="P31" t="s">
        <v>4254</v>
      </c>
      <c r="R31" s="2147"/>
      <c r="S31" s="2147">
        <v>0</v>
      </c>
    </row>
    <row r="32" spans="3:19">
      <c r="C32" t="s">
        <v>4072</v>
      </c>
      <c r="D32" t="s">
        <v>4340</v>
      </c>
      <c r="E32" s="218">
        <v>44699</v>
      </c>
      <c r="F32" s="1760">
        <v>263179.6610169491</v>
      </c>
      <c r="G32">
        <v>15</v>
      </c>
      <c r="H32" s="1760">
        <f t="shared" si="5"/>
        <v>13158.983050847455</v>
      </c>
      <c r="I32" s="1760">
        <f t="shared" si="6"/>
        <v>250020.67796610165</v>
      </c>
      <c r="J32" s="1852">
        <v>6.3299999999999995E-2</v>
      </c>
      <c r="K32">
        <f t="shared" si="7"/>
        <v>317</v>
      </c>
      <c r="L32" s="1760">
        <f t="shared" si="8"/>
        <v>14468.46409844439</v>
      </c>
      <c r="M32" s="1760">
        <f t="shared" si="9"/>
        <v>248711.19691850472</v>
      </c>
      <c r="N32"/>
      <c r="P32" t="s">
        <v>4254</v>
      </c>
      <c r="R32" s="2147"/>
      <c r="S32" s="2147">
        <v>47372.338983050897</v>
      </c>
    </row>
    <row r="33" spans="3:19">
      <c r="C33" t="s">
        <v>4073</v>
      </c>
      <c r="D33" t="s">
        <v>4340</v>
      </c>
      <c r="E33" s="218">
        <v>44701</v>
      </c>
      <c r="F33" s="1760">
        <v>54912</v>
      </c>
      <c r="G33">
        <v>15</v>
      </c>
      <c r="H33" s="1760">
        <f t="shared" si="5"/>
        <v>2745.6000000000004</v>
      </c>
      <c r="I33" s="1760">
        <f t="shared" si="6"/>
        <v>52166.400000000001</v>
      </c>
      <c r="J33" s="1852">
        <v>6.3299999999999995E-2</v>
      </c>
      <c r="K33">
        <f t="shared" si="7"/>
        <v>315</v>
      </c>
      <c r="L33" s="1760">
        <f t="shared" si="8"/>
        <v>2999.7748602739725</v>
      </c>
      <c r="M33" s="1760">
        <f t="shared" si="9"/>
        <v>51912.225139726026</v>
      </c>
      <c r="N33"/>
      <c r="P33" t="s">
        <v>4254</v>
      </c>
      <c r="R33" s="2147"/>
      <c r="S33" s="2147">
        <v>0</v>
      </c>
    </row>
    <row r="34" spans="3:19">
      <c r="C34" t="s">
        <v>4074</v>
      </c>
      <c r="D34" t="s">
        <v>4340</v>
      </c>
      <c r="E34" s="218">
        <v>44706</v>
      </c>
      <c r="F34" s="1760">
        <v>246781.35593220335</v>
      </c>
      <c r="G34">
        <v>15</v>
      </c>
      <c r="H34" s="1760">
        <f t="shared" si="5"/>
        <v>12339.067796610168</v>
      </c>
      <c r="I34" s="1760">
        <f t="shared" si="6"/>
        <v>234442.28813559317</v>
      </c>
      <c r="J34" s="1852">
        <v>6.3299999999999995E-2</v>
      </c>
      <c r="K34">
        <f t="shared" si="7"/>
        <v>310</v>
      </c>
      <c r="L34" s="1760">
        <f t="shared" si="8"/>
        <v>13267.371362897606</v>
      </c>
      <c r="M34" s="1760">
        <f t="shared" si="9"/>
        <v>233513.98456930576</v>
      </c>
      <c r="N34"/>
      <c r="P34" t="s">
        <v>4254</v>
      </c>
      <c r="R34" s="2147"/>
      <c r="S34" s="2147">
        <v>44420.644067796646</v>
      </c>
    </row>
    <row r="35" spans="3:19">
      <c r="C35" t="s">
        <v>4075</v>
      </c>
      <c r="D35" t="s">
        <v>4340</v>
      </c>
      <c r="E35" s="218">
        <v>44715</v>
      </c>
      <c r="F35" s="1760">
        <v>69550</v>
      </c>
      <c r="G35">
        <v>15</v>
      </c>
      <c r="H35" s="1760">
        <f t="shared" si="5"/>
        <v>3477.5</v>
      </c>
      <c r="I35" s="1760">
        <f t="shared" si="6"/>
        <v>66072.5</v>
      </c>
      <c r="J35" s="1852">
        <v>6.3299999999999995E-2</v>
      </c>
      <c r="K35">
        <f t="shared" si="7"/>
        <v>301</v>
      </c>
      <c r="L35" s="1760">
        <f t="shared" si="8"/>
        <v>3630.5671643835612</v>
      </c>
      <c r="M35" s="1760">
        <f t="shared" si="9"/>
        <v>65919.432835616433</v>
      </c>
      <c r="N35"/>
      <c r="P35" t="s">
        <v>4254</v>
      </c>
      <c r="R35" s="2147"/>
      <c r="S35" s="2147">
        <v>0</v>
      </c>
    </row>
    <row r="36" spans="3:19">
      <c r="C36" t="s">
        <v>4076</v>
      </c>
      <c r="D36" t="s">
        <v>4340</v>
      </c>
      <c r="E36" s="218">
        <v>44725</v>
      </c>
      <c r="F36" s="1760">
        <v>210000</v>
      </c>
      <c r="G36">
        <v>15</v>
      </c>
      <c r="H36" s="1760">
        <f t="shared" si="5"/>
        <v>10500</v>
      </c>
      <c r="I36" s="1760">
        <f t="shared" si="6"/>
        <v>199500</v>
      </c>
      <c r="J36" s="1852">
        <v>6.3299999999999995E-2</v>
      </c>
      <c r="K36">
        <f t="shared" si="7"/>
        <v>291</v>
      </c>
      <c r="L36" s="1760">
        <f t="shared" si="8"/>
        <v>10597.980821917807</v>
      </c>
      <c r="M36" s="1760">
        <f t="shared" si="9"/>
        <v>199402.01917808221</v>
      </c>
      <c r="N36"/>
      <c r="P36" t="s">
        <v>4254</v>
      </c>
      <c r="R36" s="2147"/>
      <c r="S36" s="2147">
        <v>37800</v>
      </c>
    </row>
    <row r="37" spans="3:19">
      <c r="C37" t="s">
        <v>4077</v>
      </c>
      <c r="D37" t="s">
        <v>4340</v>
      </c>
      <c r="E37" s="218">
        <v>44728</v>
      </c>
      <c r="F37" s="1760">
        <v>118450</v>
      </c>
      <c r="G37">
        <v>15</v>
      </c>
      <c r="H37" s="1760">
        <f t="shared" si="5"/>
        <v>5922.5</v>
      </c>
      <c r="I37" s="1760">
        <f t="shared" si="6"/>
        <v>112527.5</v>
      </c>
      <c r="J37" s="1852">
        <v>6.3299999999999995E-2</v>
      </c>
      <c r="K37">
        <f t="shared" si="7"/>
        <v>288</v>
      </c>
      <c r="L37" s="1760">
        <f t="shared" si="8"/>
        <v>5916.1393972602737</v>
      </c>
      <c r="M37" s="1760">
        <f t="shared" si="9"/>
        <v>112533.86060273973</v>
      </c>
      <c r="N37"/>
      <c r="P37" t="s">
        <v>4254</v>
      </c>
      <c r="R37" s="2147"/>
      <c r="S37" s="2147">
        <v>0</v>
      </c>
    </row>
    <row r="38" spans="3:19">
      <c r="C38" t="s">
        <v>4078</v>
      </c>
      <c r="D38" t="s">
        <v>4340</v>
      </c>
      <c r="E38" s="218">
        <v>44732</v>
      </c>
      <c r="F38" s="1760">
        <v>101320.33898305084</v>
      </c>
      <c r="G38">
        <v>15</v>
      </c>
      <c r="H38" s="1760">
        <f t="shared" si="5"/>
        <v>5066.0169491525421</v>
      </c>
      <c r="I38" s="1760">
        <f t="shared" si="6"/>
        <v>96254.322033898294</v>
      </c>
      <c r="J38" s="1852">
        <v>6.3299999999999995E-2</v>
      </c>
      <c r="K38">
        <f t="shared" si="7"/>
        <v>284</v>
      </c>
      <c r="L38" s="1760">
        <f t="shared" si="8"/>
        <v>4990.2904053865796</v>
      </c>
      <c r="M38" s="1760">
        <f t="shared" si="9"/>
        <v>96330.04857766426</v>
      </c>
      <c r="N38"/>
      <c r="P38" t="s">
        <v>4254</v>
      </c>
      <c r="R38" s="2147"/>
      <c r="S38" s="2147">
        <v>18237.661016949161</v>
      </c>
    </row>
    <row r="39" spans="3:19">
      <c r="C39" t="s">
        <v>4079</v>
      </c>
      <c r="D39" t="s">
        <v>4340</v>
      </c>
      <c r="E39" s="218">
        <v>44733</v>
      </c>
      <c r="F39" s="1760">
        <v>217060.16949152545</v>
      </c>
      <c r="G39">
        <v>15</v>
      </c>
      <c r="H39" s="1760">
        <f t="shared" si="5"/>
        <v>10853.008474576272</v>
      </c>
      <c r="I39" s="1760">
        <f t="shared" si="6"/>
        <v>206207.16101694916</v>
      </c>
      <c r="J39" s="1852">
        <v>6.3299999999999995E-2</v>
      </c>
      <c r="K39">
        <f t="shared" si="7"/>
        <v>283</v>
      </c>
      <c r="L39" s="1760">
        <f t="shared" si="8"/>
        <v>10653.134713025309</v>
      </c>
      <c r="M39" s="1760">
        <f t="shared" si="9"/>
        <v>206407.03477850015</v>
      </c>
      <c r="N39"/>
      <c r="P39" t="s">
        <v>4254</v>
      </c>
      <c r="R39" s="2147"/>
      <c r="S39" s="2147">
        <v>39070.830508474552</v>
      </c>
    </row>
    <row r="40" spans="3:19">
      <c r="C40" t="s">
        <v>4080</v>
      </c>
      <c r="D40" t="s">
        <v>4340</v>
      </c>
      <c r="E40" s="218">
        <v>44733</v>
      </c>
      <c r="F40" s="1760">
        <v>234988.98305084748</v>
      </c>
      <c r="G40">
        <v>15</v>
      </c>
      <c r="H40" s="1760">
        <f t="shared" si="5"/>
        <v>11749.449152542375</v>
      </c>
      <c r="I40" s="1760">
        <f t="shared" si="6"/>
        <v>223239.53389830512</v>
      </c>
      <c r="J40" s="1852">
        <v>6.3299999999999995E-2</v>
      </c>
      <c r="K40">
        <f t="shared" si="7"/>
        <v>283</v>
      </c>
      <c r="L40" s="1760">
        <f t="shared" si="8"/>
        <v>11533.066146505687</v>
      </c>
      <c r="M40" s="1760">
        <f t="shared" si="9"/>
        <v>223455.91690434181</v>
      </c>
      <c r="N40"/>
      <c r="P40" t="s">
        <v>4254</v>
      </c>
      <c r="R40" s="2147"/>
      <c r="S40" s="2147">
        <v>42298.016949152516</v>
      </c>
    </row>
    <row r="41" spans="3:19">
      <c r="C41" t="s">
        <v>4081</v>
      </c>
      <c r="D41" t="s">
        <v>4340</v>
      </c>
      <c r="E41" s="218">
        <v>44734</v>
      </c>
      <c r="F41" s="1760">
        <v>22330</v>
      </c>
      <c r="G41">
        <v>15</v>
      </c>
      <c r="H41" s="1760">
        <f t="shared" si="5"/>
        <v>1116.5</v>
      </c>
      <c r="I41" s="1760">
        <f t="shared" si="6"/>
        <v>21213.5</v>
      </c>
      <c r="J41" s="1852">
        <v>6.3299999999999995E-2</v>
      </c>
      <c r="K41">
        <f t="shared" si="7"/>
        <v>282</v>
      </c>
      <c r="L41" s="1760">
        <f t="shared" si="8"/>
        <v>1092.0654739726026</v>
      </c>
      <c r="M41" s="1760">
        <f t="shared" si="9"/>
        <v>21237.934526027399</v>
      </c>
      <c r="N41"/>
      <c r="P41" t="s">
        <v>4254</v>
      </c>
      <c r="R41" s="2147"/>
      <c r="S41" s="2147">
        <v>0</v>
      </c>
    </row>
    <row r="42" spans="3:19">
      <c r="C42" t="s">
        <v>4082</v>
      </c>
      <c r="D42" t="s">
        <v>4340</v>
      </c>
      <c r="E42" s="218">
        <v>44742</v>
      </c>
      <c r="F42" s="1760">
        <v>14250</v>
      </c>
      <c r="G42">
        <v>15</v>
      </c>
      <c r="H42" s="1760">
        <f t="shared" si="5"/>
        <v>712.5</v>
      </c>
      <c r="I42" s="1760">
        <f t="shared" si="6"/>
        <v>13537.5</v>
      </c>
      <c r="J42" s="1852">
        <v>6.3299999999999995E-2</v>
      </c>
      <c r="K42">
        <f t="shared" si="7"/>
        <v>274</v>
      </c>
      <c r="L42" s="1760">
        <f t="shared" si="8"/>
        <v>677.13657534246579</v>
      </c>
      <c r="M42" s="1760">
        <f t="shared" si="9"/>
        <v>13572.863424657535</v>
      </c>
      <c r="N42"/>
      <c r="P42" t="s">
        <v>4254</v>
      </c>
      <c r="R42" s="2147"/>
      <c r="S42" s="2147">
        <v>0</v>
      </c>
    </row>
    <row r="43" spans="3:19">
      <c r="C43" t="s">
        <v>4083</v>
      </c>
      <c r="D43" t="s">
        <v>4340</v>
      </c>
      <c r="E43" s="218">
        <v>44756</v>
      </c>
      <c r="F43" s="1760">
        <v>82500</v>
      </c>
      <c r="G43">
        <v>15</v>
      </c>
      <c r="H43" s="1760">
        <f t="shared" si="5"/>
        <v>4125</v>
      </c>
      <c r="I43" s="1760">
        <f t="shared" si="6"/>
        <v>78375</v>
      </c>
      <c r="J43" s="1852">
        <v>6.3299999999999995E-2</v>
      </c>
      <c r="K43">
        <f t="shared" si="7"/>
        <v>260</v>
      </c>
      <c r="L43" s="1760">
        <f t="shared" si="8"/>
        <v>3719.9589041095892</v>
      </c>
      <c r="M43" s="1760">
        <f t="shared" si="9"/>
        <v>78780.04109589041</v>
      </c>
      <c r="N43"/>
      <c r="P43" t="s">
        <v>4254</v>
      </c>
      <c r="R43" s="2147"/>
      <c r="S43" s="2147">
        <v>14850</v>
      </c>
    </row>
    <row r="44" spans="3:19">
      <c r="C44" t="s">
        <v>4084</v>
      </c>
      <c r="D44" t="s">
        <v>4340</v>
      </c>
      <c r="E44" s="218">
        <v>44756</v>
      </c>
      <c r="F44" s="1760">
        <v>52440</v>
      </c>
      <c r="G44">
        <v>15</v>
      </c>
      <c r="H44" s="1760">
        <f t="shared" si="5"/>
        <v>2622</v>
      </c>
      <c r="I44" s="1760">
        <f t="shared" si="6"/>
        <v>49818</v>
      </c>
      <c r="J44" s="1852">
        <v>6.3299999999999995E-2</v>
      </c>
      <c r="K44">
        <f t="shared" si="7"/>
        <v>260</v>
      </c>
      <c r="L44" s="1760">
        <f t="shared" si="8"/>
        <v>2364.5411506849314</v>
      </c>
      <c r="M44" s="1760">
        <f t="shared" si="9"/>
        <v>50075.458849315066</v>
      </c>
      <c r="N44"/>
      <c r="P44" t="s">
        <v>4254</v>
      </c>
      <c r="R44" s="2147"/>
      <c r="S44" s="2147">
        <v>0</v>
      </c>
    </row>
    <row r="45" spans="3:19">
      <c r="C45" t="s">
        <v>4085</v>
      </c>
      <c r="D45" t="s">
        <v>4340</v>
      </c>
      <c r="E45" s="218">
        <v>44756</v>
      </c>
      <c r="F45" s="1760">
        <v>16800</v>
      </c>
      <c r="G45">
        <v>15</v>
      </c>
      <c r="H45" s="1760">
        <f t="shared" si="5"/>
        <v>840</v>
      </c>
      <c r="I45" s="1760">
        <f t="shared" si="6"/>
        <v>15960</v>
      </c>
      <c r="J45" s="1852">
        <v>6.3299999999999995E-2</v>
      </c>
      <c r="K45">
        <f t="shared" si="7"/>
        <v>260</v>
      </c>
      <c r="L45" s="1760">
        <f t="shared" si="8"/>
        <v>757.5189041095889</v>
      </c>
      <c r="M45" s="1760">
        <f t="shared" si="9"/>
        <v>16042.481095890411</v>
      </c>
      <c r="N45"/>
      <c r="P45" t="s">
        <v>4254</v>
      </c>
      <c r="R45" s="2147"/>
      <c r="S45" s="2147">
        <v>0</v>
      </c>
    </row>
    <row r="46" spans="3:19">
      <c r="C46" t="s">
        <v>4086</v>
      </c>
      <c r="D46" t="s">
        <v>4340</v>
      </c>
      <c r="E46" s="218">
        <v>44757</v>
      </c>
      <c r="F46" s="1760">
        <v>502382.20338983048</v>
      </c>
      <c r="G46">
        <v>15</v>
      </c>
      <c r="H46" s="1760">
        <f t="shared" si="5"/>
        <v>25119.110169491527</v>
      </c>
      <c r="I46" s="1760">
        <f t="shared" si="6"/>
        <v>477263.09322033892</v>
      </c>
      <c r="J46" s="1852">
        <v>6.3299999999999995E-2</v>
      </c>
      <c r="K46">
        <f t="shared" si="7"/>
        <v>259</v>
      </c>
      <c r="L46" s="1760">
        <f t="shared" si="8"/>
        <v>22565.494547713024</v>
      </c>
      <c r="M46" s="1760">
        <f t="shared" si="9"/>
        <v>479816.70884211746</v>
      </c>
      <c r="N46"/>
      <c r="P46" t="s">
        <v>4254</v>
      </c>
      <c r="R46" s="2147"/>
      <c r="S46" s="2147">
        <v>90428.79661016952</v>
      </c>
    </row>
    <row r="47" spans="3:19">
      <c r="C47" t="s">
        <v>4087</v>
      </c>
      <c r="D47" t="s">
        <v>4340</v>
      </c>
      <c r="E47" s="218">
        <v>44758</v>
      </c>
      <c r="F47" s="1760">
        <v>164850</v>
      </c>
      <c r="G47">
        <v>15</v>
      </c>
      <c r="H47" s="1760">
        <f t="shared" si="5"/>
        <v>8242.5</v>
      </c>
      <c r="I47" s="1760">
        <f t="shared" si="6"/>
        <v>156607.5</v>
      </c>
      <c r="J47" s="1852">
        <v>6.3299999999999995E-2</v>
      </c>
      <c r="K47">
        <f t="shared" si="7"/>
        <v>258</v>
      </c>
      <c r="L47" s="1760">
        <f t="shared" si="8"/>
        <v>7375.9761369862999</v>
      </c>
      <c r="M47" s="1760">
        <f t="shared" si="9"/>
        <v>157474.02386301369</v>
      </c>
      <c r="N47"/>
      <c r="P47" t="s">
        <v>4254</v>
      </c>
      <c r="R47" s="2147"/>
      <c r="S47" s="2147">
        <v>29673</v>
      </c>
    </row>
    <row r="48" spans="3:19">
      <c r="C48" t="s">
        <v>4088</v>
      </c>
      <c r="D48" t="s">
        <v>4340</v>
      </c>
      <c r="E48" s="218">
        <v>44761</v>
      </c>
      <c r="F48" s="1760">
        <v>1076910.1694915253</v>
      </c>
      <c r="G48">
        <v>15</v>
      </c>
      <c r="H48" s="1760">
        <f t="shared" si="5"/>
        <v>53845.508474576265</v>
      </c>
      <c r="I48" s="1760">
        <f t="shared" si="6"/>
        <v>1023064.661016949</v>
      </c>
      <c r="J48" s="1852">
        <v>6.3299999999999995E-2</v>
      </c>
      <c r="K48">
        <f t="shared" si="7"/>
        <v>255</v>
      </c>
      <c r="L48" s="1760">
        <f t="shared" si="8"/>
        <v>47624.508221499869</v>
      </c>
      <c r="M48" s="1760">
        <f t="shared" si="9"/>
        <v>1029285.6612700254</v>
      </c>
      <c r="N48"/>
      <c r="P48" t="s">
        <v>4254</v>
      </c>
      <c r="R48" s="2147"/>
      <c r="S48" s="2147">
        <v>193843.83050847473</v>
      </c>
    </row>
    <row r="49" spans="3:19">
      <c r="C49" t="s">
        <v>4089</v>
      </c>
      <c r="D49" t="s">
        <v>4340</v>
      </c>
      <c r="E49" s="218">
        <v>44761</v>
      </c>
      <c r="F49" s="1760">
        <v>1158055.0847457629</v>
      </c>
      <c r="G49">
        <v>15</v>
      </c>
      <c r="H49" s="1760">
        <f t="shared" si="5"/>
        <v>57902.754237288143</v>
      </c>
      <c r="I49" s="1760">
        <f t="shared" si="6"/>
        <v>1100152.3305084747</v>
      </c>
      <c r="J49" s="1852">
        <v>6.3299999999999995E-2</v>
      </c>
      <c r="K49">
        <f t="shared" si="7"/>
        <v>255</v>
      </c>
      <c r="L49" s="1760">
        <f t="shared" si="8"/>
        <v>51213.003151845842</v>
      </c>
      <c r="M49" s="1760">
        <f t="shared" si="9"/>
        <v>1106842.081593917</v>
      </c>
      <c r="N49"/>
      <c r="P49" t="s">
        <v>4254</v>
      </c>
      <c r="R49" s="2147"/>
      <c r="S49" s="2147">
        <v>208449.91525423713</v>
      </c>
    </row>
    <row r="50" spans="3:19">
      <c r="C50" t="s">
        <v>4090</v>
      </c>
      <c r="D50" t="s">
        <v>4340</v>
      </c>
      <c r="E50" s="218">
        <v>44762</v>
      </c>
      <c r="F50" s="1760">
        <v>874128.81355932215</v>
      </c>
      <c r="G50">
        <v>15</v>
      </c>
      <c r="H50" s="1760">
        <f t="shared" si="5"/>
        <v>43706.440677966108</v>
      </c>
      <c r="I50" s="1760">
        <f t="shared" si="6"/>
        <v>830422.37288135604</v>
      </c>
      <c r="J50" s="1852">
        <v>6.3299999999999995E-2</v>
      </c>
      <c r="K50">
        <f t="shared" si="7"/>
        <v>254</v>
      </c>
      <c r="L50" s="1760">
        <f t="shared" si="8"/>
        <v>38505.254493615044</v>
      </c>
      <c r="M50" s="1760">
        <f t="shared" si="9"/>
        <v>835623.55906570714</v>
      </c>
      <c r="N50"/>
      <c r="P50" t="s">
        <v>4254</v>
      </c>
      <c r="R50" s="2147"/>
      <c r="S50" s="2147">
        <v>157343.18644067785</v>
      </c>
    </row>
    <row r="51" spans="3:19">
      <c r="C51" t="s">
        <v>4091</v>
      </c>
      <c r="D51" t="s">
        <v>4340</v>
      </c>
      <c r="E51" s="218">
        <v>44764</v>
      </c>
      <c r="F51" s="1760">
        <v>447040.67796610168</v>
      </c>
      <c r="G51">
        <v>15</v>
      </c>
      <c r="H51" s="1760">
        <f t="shared" si="5"/>
        <v>22352.033898305086</v>
      </c>
      <c r="I51" s="1760">
        <f t="shared" si="6"/>
        <v>424688.64406779659</v>
      </c>
      <c r="J51" s="1852">
        <v>6.3299999999999995E-2</v>
      </c>
      <c r="K51">
        <f t="shared" si="7"/>
        <v>252</v>
      </c>
      <c r="L51" s="1760">
        <f t="shared" si="8"/>
        <v>19537.024872997445</v>
      </c>
      <c r="M51" s="1760">
        <f t="shared" si="9"/>
        <v>427503.65309310425</v>
      </c>
      <c r="N51"/>
      <c r="P51" t="s">
        <v>4254</v>
      </c>
      <c r="R51" s="2147"/>
      <c r="S51" s="2147">
        <v>80467.322033898323</v>
      </c>
    </row>
    <row r="52" spans="3:19">
      <c r="C52" t="s">
        <v>4092</v>
      </c>
      <c r="D52" t="s">
        <v>4340</v>
      </c>
      <c r="E52" s="218">
        <v>44764</v>
      </c>
      <c r="F52" s="1760">
        <v>28428</v>
      </c>
      <c r="G52">
        <v>15</v>
      </c>
      <c r="H52" s="1760">
        <f t="shared" si="5"/>
        <v>1421.4</v>
      </c>
      <c r="I52" s="1760">
        <f t="shared" si="6"/>
        <v>27006.6</v>
      </c>
      <c r="J52" s="1852">
        <v>6.3299999999999995E-2</v>
      </c>
      <c r="K52">
        <f t="shared" si="7"/>
        <v>252</v>
      </c>
      <c r="L52" s="1760">
        <f t="shared" si="8"/>
        <v>1242.3892734246574</v>
      </c>
      <c r="M52" s="1760">
        <f t="shared" si="9"/>
        <v>27185.610726575342</v>
      </c>
      <c r="N52"/>
      <c r="P52" t="s">
        <v>4254</v>
      </c>
      <c r="R52" s="2147"/>
      <c r="S52" s="2147">
        <v>0</v>
      </c>
    </row>
    <row r="53" spans="3:19">
      <c r="C53" t="s">
        <v>4093</v>
      </c>
      <c r="D53" t="s">
        <v>4340</v>
      </c>
      <c r="E53" s="218">
        <v>44764</v>
      </c>
      <c r="F53" s="1760">
        <v>25000</v>
      </c>
      <c r="G53">
        <v>15</v>
      </c>
      <c r="H53" s="1760">
        <f t="shared" si="5"/>
        <v>1250</v>
      </c>
      <c r="I53" s="1760">
        <f t="shared" si="6"/>
        <v>23750</v>
      </c>
      <c r="J53" s="1852">
        <v>6.3299999999999995E-2</v>
      </c>
      <c r="K53">
        <f t="shared" si="7"/>
        <v>252</v>
      </c>
      <c r="L53" s="1760">
        <f t="shared" si="8"/>
        <v>1092.5753424657532</v>
      </c>
      <c r="M53" s="1760">
        <f t="shared" si="9"/>
        <v>23907.424657534248</v>
      </c>
      <c r="N53"/>
      <c r="P53" t="s">
        <v>4254</v>
      </c>
      <c r="R53" s="2147"/>
      <c r="S53" s="2147">
        <v>0</v>
      </c>
    </row>
    <row r="54" spans="3:19">
      <c r="C54" t="s">
        <v>4094</v>
      </c>
      <c r="D54" t="s">
        <v>4340</v>
      </c>
      <c r="E54" s="218">
        <v>44769</v>
      </c>
      <c r="F54" s="1760">
        <v>210596.6101694915</v>
      </c>
      <c r="G54">
        <v>15</v>
      </c>
      <c r="H54" s="1760">
        <f t="shared" si="5"/>
        <v>10529.830508474575</v>
      </c>
      <c r="I54" s="1760">
        <f t="shared" si="6"/>
        <v>200066.77966101692</v>
      </c>
      <c r="J54" s="1852">
        <v>6.3299999999999995E-2</v>
      </c>
      <c r="K54">
        <f t="shared" si="7"/>
        <v>247</v>
      </c>
      <c r="L54" s="1760">
        <f t="shared" si="8"/>
        <v>9021.0933141397709</v>
      </c>
      <c r="M54" s="1760">
        <f t="shared" si="9"/>
        <v>201575.51685535171</v>
      </c>
      <c r="N54"/>
      <c r="P54" t="s">
        <v>4254</v>
      </c>
      <c r="R54" s="2147"/>
      <c r="S54" s="2147">
        <v>37907.389830508502</v>
      </c>
    </row>
    <row r="55" spans="3:19">
      <c r="C55" t="s">
        <v>4095</v>
      </c>
      <c r="D55" t="s">
        <v>4340</v>
      </c>
      <c r="E55" s="218">
        <v>44769</v>
      </c>
      <c r="F55" s="1760">
        <v>318348.30508474575</v>
      </c>
      <c r="G55">
        <v>15</v>
      </c>
      <c r="H55" s="1760">
        <f t="shared" si="5"/>
        <v>15917.415254237289</v>
      </c>
      <c r="I55" s="1760">
        <f t="shared" si="6"/>
        <v>302430.88983050844</v>
      </c>
      <c r="J55" s="1852">
        <v>6.3299999999999995E-2</v>
      </c>
      <c r="K55">
        <f t="shared" si="7"/>
        <v>247</v>
      </c>
      <c r="L55" s="1760">
        <f t="shared" si="8"/>
        <v>13636.733109124678</v>
      </c>
      <c r="M55" s="1760">
        <f t="shared" si="9"/>
        <v>304711.57197562105</v>
      </c>
      <c r="N55"/>
      <c r="P55" t="s">
        <v>4254</v>
      </c>
      <c r="R55" s="2147"/>
      <c r="S55" s="2147">
        <v>57302.694915254251</v>
      </c>
    </row>
    <row r="56" spans="3:19">
      <c r="C56" t="s">
        <v>4096</v>
      </c>
      <c r="D56" t="s">
        <v>4340</v>
      </c>
      <c r="E56" s="218">
        <v>44769</v>
      </c>
      <c r="F56" s="1760">
        <v>20500</v>
      </c>
      <c r="G56">
        <v>15</v>
      </c>
      <c r="H56" s="1760">
        <f t="shared" si="5"/>
        <v>1025</v>
      </c>
      <c r="I56" s="1760">
        <f t="shared" si="6"/>
        <v>19475</v>
      </c>
      <c r="J56" s="1852">
        <v>6.3299999999999995E-2</v>
      </c>
      <c r="K56">
        <f t="shared" si="7"/>
        <v>247</v>
      </c>
      <c r="L56" s="1760">
        <f t="shared" si="8"/>
        <v>878.13575342465754</v>
      </c>
      <c r="M56" s="1760">
        <f t="shared" si="9"/>
        <v>19621.864246575344</v>
      </c>
      <c r="N56"/>
      <c r="P56" t="s">
        <v>4254</v>
      </c>
      <c r="R56" s="2147"/>
      <c r="S56" s="2147">
        <v>0</v>
      </c>
    </row>
    <row r="57" spans="3:19">
      <c r="C57" t="s">
        <v>4097</v>
      </c>
      <c r="D57" t="s">
        <v>4340</v>
      </c>
      <c r="E57" s="218">
        <v>44771</v>
      </c>
      <c r="F57" s="1760">
        <v>341736.44067796611</v>
      </c>
      <c r="G57">
        <v>15</v>
      </c>
      <c r="H57" s="1760">
        <f t="shared" si="5"/>
        <v>17086.822033898305</v>
      </c>
      <c r="I57" s="1760">
        <f t="shared" si="6"/>
        <v>324649.61864406778</v>
      </c>
      <c r="J57" s="1852">
        <v>6.3299999999999995E-2</v>
      </c>
      <c r="K57">
        <f t="shared" si="7"/>
        <v>245</v>
      </c>
      <c r="L57" s="1760">
        <f t="shared" si="8"/>
        <v>14520.053671929416</v>
      </c>
      <c r="M57" s="1760">
        <f t="shared" si="9"/>
        <v>327216.3870060367</v>
      </c>
      <c r="N57"/>
      <c r="P57" t="s">
        <v>4254</v>
      </c>
      <c r="R57" s="2147"/>
      <c r="S57" s="2147">
        <v>61512.559322033892</v>
      </c>
    </row>
    <row r="58" spans="3:19">
      <c r="C58" t="s">
        <v>4098</v>
      </c>
      <c r="D58" t="s">
        <v>4340</v>
      </c>
      <c r="E58" s="218">
        <v>44771</v>
      </c>
      <c r="F58" s="1760">
        <v>18176</v>
      </c>
      <c r="G58">
        <v>15</v>
      </c>
      <c r="H58" s="1760">
        <f t="shared" si="5"/>
        <v>908.80000000000007</v>
      </c>
      <c r="I58" s="1760">
        <f t="shared" si="6"/>
        <v>17267.2</v>
      </c>
      <c r="J58" s="1852">
        <v>6.3299999999999995E-2</v>
      </c>
      <c r="K58">
        <f t="shared" si="7"/>
        <v>245</v>
      </c>
      <c r="L58" s="1760">
        <f t="shared" si="8"/>
        <v>772.28081095890411</v>
      </c>
      <c r="M58" s="1760">
        <f t="shared" si="9"/>
        <v>17403.719189041098</v>
      </c>
      <c r="N58"/>
      <c r="P58" t="s">
        <v>4254</v>
      </c>
      <c r="R58" s="2147"/>
      <c r="S58" s="2147">
        <v>0</v>
      </c>
    </row>
    <row r="59" spans="3:19">
      <c r="C59" t="s">
        <v>4099</v>
      </c>
      <c r="D59" t="s">
        <v>4340</v>
      </c>
      <c r="E59" s="218">
        <v>44772</v>
      </c>
      <c r="F59" s="1760">
        <v>197788.98305084746</v>
      </c>
      <c r="G59">
        <v>15</v>
      </c>
      <c r="H59" s="1760">
        <f t="shared" si="5"/>
        <v>9889.4491525423728</v>
      </c>
      <c r="I59" s="1760">
        <f t="shared" si="6"/>
        <v>187899.53389830509</v>
      </c>
      <c r="J59" s="1852">
        <v>6.3299999999999995E-2</v>
      </c>
      <c r="K59">
        <f t="shared" si="7"/>
        <v>244</v>
      </c>
      <c r="L59" s="1760">
        <f t="shared" si="8"/>
        <v>8369.5627425121875</v>
      </c>
      <c r="M59" s="1760">
        <f t="shared" si="9"/>
        <v>189419.42030833528</v>
      </c>
      <c r="N59"/>
      <c r="P59" t="s">
        <v>4254</v>
      </c>
      <c r="R59" s="2147"/>
      <c r="S59" s="2147">
        <v>35602.016949152545</v>
      </c>
    </row>
    <row r="60" spans="3:19">
      <c r="C60" t="s">
        <v>4100</v>
      </c>
      <c r="D60" t="s">
        <v>4340</v>
      </c>
      <c r="E60" s="218">
        <v>44774</v>
      </c>
      <c r="F60" s="1760">
        <v>9661.0169491525412</v>
      </c>
      <c r="G60">
        <v>15</v>
      </c>
      <c r="H60" s="1760">
        <f t="shared" si="5"/>
        <v>483.05084745762707</v>
      </c>
      <c r="I60" s="1760">
        <f t="shared" si="6"/>
        <v>9177.966101694914</v>
      </c>
      <c r="J60" s="1852">
        <v>6.3299999999999995E-2</v>
      </c>
      <c r="K60">
        <f t="shared" si="7"/>
        <v>242</v>
      </c>
      <c r="L60" s="1760">
        <f t="shared" si="8"/>
        <v>405.46097051311813</v>
      </c>
      <c r="M60" s="1760">
        <f t="shared" si="9"/>
        <v>9255.5559786394224</v>
      </c>
      <c r="N60"/>
      <c r="P60" t="s">
        <v>4254</v>
      </c>
      <c r="R60" s="2147"/>
      <c r="S60" s="2147">
        <v>1738.9830508474588</v>
      </c>
    </row>
    <row r="61" spans="3:19">
      <c r="C61" t="s">
        <v>4101</v>
      </c>
      <c r="D61" t="s">
        <v>4340</v>
      </c>
      <c r="E61" s="218">
        <v>44774</v>
      </c>
      <c r="F61" s="1760">
        <v>33474.576271186437</v>
      </c>
      <c r="G61">
        <v>15</v>
      </c>
      <c r="H61" s="1760">
        <f t="shared" si="5"/>
        <v>1673.7288135593219</v>
      </c>
      <c r="I61" s="1760">
        <f t="shared" si="6"/>
        <v>31800.847457627115</v>
      </c>
      <c r="J61" s="1852">
        <v>6.3299999999999995E-2</v>
      </c>
      <c r="K61">
        <f t="shared" si="7"/>
        <v>242</v>
      </c>
      <c r="L61" s="1760">
        <f t="shared" si="8"/>
        <v>1404.886696076155</v>
      </c>
      <c r="M61" s="1760">
        <f t="shared" si="9"/>
        <v>32069.689575110282</v>
      </c>
      <c r="N61"/>
      <c r="P61" t="s">
        <v>4254</v>
      </c>
      <c r="R61" s="2147"/>
      <c r="S61" s="2147">
        <v>6025.4237288135628</v>
      </c>
    </row>
    <row r="62" spans="3:19">
      <c r="C62" t="s">
        <v>4102</v>
      </c>
      <c r="D62" t="s">
        <v>4340</v>
      </c>
      <c r="E62" s="218">
        <v>44774</v>
      </c>
      <c r="F62" s="1760">
        <v>189000</v>
      </c>
      <c r="G62">
        <v>15</v>
      </c>
      <c r="H62" s="1760">
        <f t="shared" si="5"/>
        <v>9450</v>
      </c>
      <c r="I62" s="1760">
        <f t="shared" si="6"/>
        <v>179550</v>
      </c>
      <c r="J62" s="1852">
        <v>6.3299999999999995E-2</v>
      </c>
      <c r="K62">
        <f t="shared" si="7"/>
        <v>242</v>
      </c>
      <c r="L62" s="1760">
        <f t="shared" si="8"/>
        <v>7932.0969863013697</v>
      </c>
      <c r="M62" s="1760">
        <f t="shared" si="9"/>
        <v>181067.90301369864</v>
      </c>
      <c r="N62"/>
      <c r="P62" t="s">
        <v>4254</v>
      </c>
      <c r="R62" s="2147"/>
      <c r="S62" s="2147">
        <v>34020</v>
      </c>
    </row>
    <row r="63" spans="3:19">
      <c r="C63" t="s">
        <v>4103</v>
      </c>
      <c r="D63" t="s">
        <v>4340</v>
      </c>
      <c r="E63" s="218">
        <v>44774</v>
      </c>
      <c r="F63" s="1760">
        <v>44275</v>
      </c>
      <c r="G63">
        <v>15</v>
      </c>
      <c r="H63" s="1760">
        <f t="shared" si="5"/>
        <v>2213.75</v>
      </c>
      <c r="I63" s="1760">
        <f t="shared" si="6"/>
        <v>42061.25</v>
      </c>
      <c r="J63" s="1852">
        <v>6.3299999999999995E-2</v>
      </c>
      <c r="K63">
        <f t="shared" si="7"/>
        <v>242</v>
      </c>
      <c r="L63" s="1760">
        <f t="shared" si="8"/>
        <v>1858.1671643835614</v>
      </c>
      <c r="M63" s="1760">
        <f t="shared" si="9"/>
        <v>42416.832835616442</v>
      </c>
      <c r="N63"/>
      <c r="P63" t="s">
        <v>4254</v>
      </c>
      <c r="R63" s="2147"/>
      <c r="S63" s="2147">
        <v>0</v>
      </c>
    </row>
    <row r="64" spans="3:19">
      <c r="C64" t="s">
        <v>4104</v>
      </c>
      <c r="D64" t="s">
        <v>4340</v>
      </c>
      <c r="E64" s="218">
        <v>44776</v>
      </c>
      <c r="F64" s="1760">
        <v>149800</v>
      </c>
      <c r="G64">
        <v>15</v>
      </c>
      <c r="H64" s="1760">
        <f t="shared" si="5"/>
        <v>7490</v>
      </c>
      <c r="I64" s="1760">
        <f t="shared" si="6"/>
        <v>142310</v>
      </c>
      <c r="J64" s="1852">
        <v>6.3299999999999995E-2</v>
      </c>
      <c r="K64">
        <f t="shared" si="7"/>
        <v>240</v>
      </c>
      <c r="L64" s="1760">
        <f t="shared" si="8"/>
        <v>6234.963287671233</v>
      </c>
      <c r="M64" s="1760">
        <f t="shared" si="9"/>
        <v>143565.03671232876</v>
      </c>
      <c r="N64"/>
      <c r="P64" t="s">
        <v>4254</v>
      </c>
      <c r="R64" s="2147"/>
      <c r="S64" s="2147">
        <v>26964</v>
      </c>
    </row>
    <row r="65" spans="3:19">
      <c r="C65" t="s">
        <v>4105</v>
      </c>
      <c r="D65" t="s">
        <v>4340</v>
      </c>
      <c r="E65" s="218">
        <v>44776</v>
      </c>
      <c r="F65" s="1760">
        <v>47385.593220338982</v>
      </c>
      <c r="G65">
        <v>15</v>
      </c>
      <c r="H65" s="1760">
        <f t="shared" si="5"/>
        <v>2369.2796610169494</v>
      </c>
      <c r="I65" s="1760">
        <f t="shared" si="6"/>
        <v>45016.313559322036</v>
      </c>
      <c r="J65" s="1852">
        <v>6.3299999999999995E-2</v>
      </c>
      <c r="K65">
        <f t="shared" si="7"/>
        <v>240</v>
      </c>
      <c r="L65" s="1760">
        <f t="shared" si="8"/>
        <v>1972.279266310657</v>
      </c>
      <c r="M65" s="1760">
        <f t="shared" si="9"/>
        <v>45413.313954028323</v>
      </c>
      <c r="N65"/>
      <c r="P65" t="s">
        <v>4254</v>
      </c>
      <c r="R65" s="2147"/>
      <c r="S65" s="2147">
        <v>8529.4067796610179</v>
      </c>
    </row>
    <row r="66" spans="3:19">
      <c r="C66" t="s">
        <v>4106</v>
      </c>
      <c r="D66" t="s">
        <v>4340</v>
      </c>
      <c r="E66" s="218">
        <v>44778</v>
      </c>
      <c r="F66" s="1760">
        <v>177128.81355932204</v>
      </c>
      <c r="G66">
        <v>15</v>
      </c>
      <c r="H66" s="1760">
        <f t="shared" si="5"/>
        <v>8856.4406779661022</v>
      </c>
      <c r="I66" s="1760">
        <f t="shared" si="6"/>
        <v>168272.37288135593</v>
      </c>
      <c r="J66" s="1852">
        <v>6.3299999999999995E-2</v>
      </c>
      <c r="K66">
        <f t="shared" si="7"/>
        <v>238</v>
      </c>
      <c r="L66" s="1760">
        <f t="shared" si="8"/>
        <v>7311.0039117715332</v>
      </c>
      <c r="M66" s="1760">
        <f t="shared" si="9"/>
        <v>169817.80964755052</v>
      </c>
      <c r="N66"/>
      <c r="P66" t="s">
        <v>4254</v>
      </c>
      <c r="R66" s="2147"/>
      <c r="S66" s="2147">
        <v>31883.186440677964</v>
      </c>
    </row>
    <row r="67" spans="3:19">
      <c r="C67" t="s">
        <v>4107</v>
      </c>
      <c r="D67" t="s">
        <v>4340</v>
      </c>
      <c r="E67" s="218">
        <v>44778</v>
      </c>
      <c r="F67" s="1760">
        <v>21475</v>
      </c>
      <c r="G67">
        <v>15</v>
      </c>
      <c r="H67" s="1760">
        <f t="shared" si="5"/>
        <v>1073.75</v>
      </c>
      <c r="I67" s="1760">
        <f t="shared" si="6"/>
        <v>20401.25</v>
      </c>
      <c r="J67" s="1852">
        <v>6.3299999999999995E-2</v>
      </c>
      <c r="K67">
        <f t="shared" si="7"/>
        <v>238</v>
      </c>
      <c r="L67" s="1760">
        <f t="shared" si="8"/>
        <v>886.38209589041082</v>
      </c>
      <c r="M67" s="1760">
        <f t="shared" si="9"/>
        <v>20588.617904109589</v>
      </c>
      <c r="N67"/>
      <c r="P67" t="s">
        <v>4254</v>
      </c>
      <c r="R67" s="2147"/>
      <c r="S67" s="2147">
        <v>0</v>
      </c>
    </row>
    <row r="68" spans="3:19">
      <c r="C68" t="s">
        <v>4108</v>
      </c>
      <c r="D68" t="s">
        <v>4340</v>
      </c>
      <c r="E68" s="218">
        <v>44783</v>
      </c>
      <c r="F68" s="1760">
        <v>286000</v>
      </c>
      <c r="G68">
        <v>15</v>
      </c>
      <c r="H68" s="1760">
        <f t="shared" si="5"/>
        <v>14300</v>
      </c>
      <c r="I68" s="1760">
        <f t="shared" si="6"/>
        <v>271700</v>
      </c>
      <c r="J68" s="1852">
        <v>6.3299999999999995E-2</v>
      </c>
      <c r="K68">
        <f t="shared" si="7"/>
        <v>233</v>
      </c>
      <c r="L68" s="1760">
        <f t="shared" si="8"/>
        <v>11556.672328767121</v>
      </c>
      <c r="M68" s="1760">
        <f t="shared" si="9"/>
        <v>274443.32767123287</v>
      </c>
      <c r="N68"/>
      <c r="P68" t="s">
        <v>4254</v>
      </c>
      <c r="R68" s="2147"/>
      <c r="S68" s="2147">
        <v>51480</v>
      </c>
    </row>
    <row r="69" spans="3:19">
      <c r="C69" t="s">
        <v>4109</v>
      </c>
      <c r="D69" t="s">
        <v>4340</v>
      </c>
      <c r="E69" s="218">
        <v>44785</v>
      </c>
      <c r="F69" s="1760">
        <v>212600</v>
      </c>
      <c r="G69">
        <v>15</v>
      </c>
      <c r="H69" s="1760">
        <f t="shared" si="5"/>
        <v>10630</v>
      </c>
      <c r="I69" s="1760">
        <f t="shared" si="6"/>
        <v>201970</v>
      </c>
      <c r="J69" s="1852">
        <v>6.3299999999999995E-2</v>
      </c>
      <c r="K69">
        <f t="shared" si="7"/>
        <v>231</v>
      </c>
      <c r="L69" s="1760">
        <f t="shared" si="8"/>
        <v>8516.9889863013686</v>
      </c>
      <c r="M69" s="1760">
        <f t="shared" si="9"/>
        <v>204083.01101369862</v>
      </c>
      <c r="N69"/>
      <c r="P69" t="s">
        <v>4254</v>
      </c>
      <c r="R69" s="2147"/>
      <c r="S69" s="2147">
        <v>38268</v>
      </c>
    </row>
    <row r="70" spans="3:19">
      <c r="C70" t="s">
        <v>4110</v>
      </c>
      <c r="D70" t="s">
        <v>4340</v>
      </c>
      <c r="E70" s="218">
        <v>44786</v>
      </c>
      <c r="F70" s="1760">
        <v>101842</v>
      </c>
      <c r="G70">
        <v>15</v>
      </c>
      <c r="H70" s="1760">
        <f t="shared" si="5"/>
        <v>5092.1000000000004</v>
      </c>
      <c r="I70" s="1760">
        <f t="shared" si="6"/>
        <v>96749.9</v>
      </c>
      <c r="J70" s="1852">
        <v>6.3299999999999995E-2</v>
      </c>
      <c r="K70">
        <f t="shared" si="7"/>
        <v>230</v>
      </c>
      <c r="L70" s="1760">
        <f t="shared" si="8"/>
        <v>4062.2402136986298</v>
      </c>
      <c r="M70" s="1760">
        <f t="shared" si="9"/>
        <v>97779.759786301365</v>
      </c>
      <c r="N70"/>
      <c r="P70" t="s">
        <v>4254</v>
      </c>
      <c r="R70" s="2147"/>
      <c r="S70" s="2147">
        <v>17342</v>
      </c>
    </row>
    <row r="71" spans="3:19">
      <c r="C71" t="s">
        <v>4111</v>
      </c>
      <c r="D71" t="s">
        <v>4340</v>
      </c>
      <c r="E71" s="218">
        <v>44786</v>
      </c>
      <c r="F71" s="1760">
        <v>165000</v>
      </c>
      <c r="G71">
        <v>15</v>
      </c>
      <c r="H71" s="1760">
        <f t="shared" si="5"/>
        <v>8250</v>
      </c>
      <c r="I71" s="1760">
        <f t="shared" si="6"/>
        <v>156750</v>
      </c>
      <c r="J71" s="1852">
        <v>6.3299999999999995E-2</v>
      </c>
      <c r="K71">
        <f t="shared" si="7"/>
        <v>230</v>
      </c>
      <c r="L71" s="1760">
        <f t="shared" si="8"/>
        <v>6581.4657534246571</v>
      </c>
      <c r="M71" s="1760">
        <f t="shared" si="9"/>
        <v>158418.53424657535</v>
      </c>
      <c r="N71"/>
      <c r="P71" t="s">
        <v>4254</v>
      </c>
      <c r="R71" s="2147"/>
      <c r="S71" s="2147">
        <v>29700</v>
      </c>
    </row>
    <row r="72" spans="3:19">
      <c r="C72" t="s">
        <v>4112</v>
      </c>
      <c r="D72" t="s">
        <v>4340</v>
      </c>
      <c r="E72" s="218">
        <v>44789</v>
      </c>
      <c r="F72" s="1760">
        <v>86811.016949152545</v>
      </c>
      <c r="G72">
        <v>15</v>
      </c>
      <c r="H72" s="1760">
        <f t="shared" si="5"/>
        <v>4340.5508474576272</v>
      </c>
      <c r="I72" s="1760">
        <f t="shared" si="6"/>
        <v>82470.46610169491</v>
      </c>
      <c r="J72" s="1852">
        <v>6.3299999999999995E-2</v>
      </c>
      <c r="K72">
        <f t="shared" si="7"/>
        <v>227</v>
      </c>
      <c r="L72" s="1760">
        <f t="shared" si="8"/>
        <v>3417.5237908056652</v>
      </c>
      <c r="M72" s="1760">
        <f t="shared" si="9"/>
        <v>83393.493158346886</v>
      </c>
      <c r="N72"/>
      <c r="P72" t="s">
        <v>4254</v>
      </c>
      <c r="R72" s="2147"/>
      <c r="S72" s="2147">
        <v>15625.983050847455</v>
      </c>
    </row>
    <row r="73" spans="3:19">
      <c r="C73" t="s">
        <v>4113</v>
      </c>
      <c r="D73" t="s">
        <v>4340</v>
      </c>
      <c r="E73" s="218">
        <v>44789</v>
      </c>
      <c r="F73" s="1760">
        <v>25000</v>
      </c>
      <c r="G73">
        <v>15</v>
      </c>
      <c r="H73" s="1760">
        <f t="shared" si="5"/>
        <v>1250</v>
      </c>
      <c r="I73" s="1760">
        <f t="shared" si="6"/>
        <v>23750</v>
      </c>
      <c r="J73" s="1852">
        <v>6.3299999999999995E-2</v>
      </c>
      <c r="K73">
        <f t="shared" si="7"/>
        <v>227</v>
      </c>
      <c r="L73" s="1760">
        <f t="shared" si="8"/>
        <v>984.18493150684913</v>
      </c>
      <c r="M73" s="1760">
        <f t="shared" si="9"/>
        <v>24015.81506849315</v>
      </c>
      <c r="N73"/>
      <c r="P73" t="s">
        <v>4254</v>
      </c>
      <c r="R73" s="2147"/>
      <c r="S73" s="2147">
        <v>0</v>
      </c>
    </row>
    <row r="74" spans="3:19">
      <c r="C74" t="s">
        <v>4114</v>
      </c>
      <c r="D74" t="s">
        <v>4340</v>
      </c>
      <c r="E74" s="218">
        <v>44790</v>
      </c>
      <c r="F74" s="1760">
        <v>118450</v>
      </c>
      <c r="G74">
        <v>15</v>
      </c>
      <c r="H74" s="1760">
        <f t="shared" ref="H74:H113" si="10">F74*5%</f>
        <v>5922.5</v>
      </c>
      <c r="I74" s="1760">
        <f t="shared" ref="I74:I113" si="11">F74-H74</f>
        <v>112527.5</v>
      </c>
      <c r="J74" s="1852">
        <v>6.3299999999999995E-2</v>
      </c>
      <c r="K74">
        <f t="shared" ref="K74:K113" si="12">$M$1-E74</f>
        <v>226</v>
      </c>
      <c r="L74" s="1760">
        <f t="shared" ref="L74:L113" si="13">F74*J74*K74/365</f>
        <v>4642.52605479452</v>
      </c>
      <c r="M74" s="1760">
        <f t="shared" ref="M74:M113" si="14">F74-L74</f>
        <v>113807.47394520548</v>
      </c>
      <c r="N74"/>
      <c r="P74" t="s">
        <v>4254</v>
      </c>
      <c r="R74" s="2147"/>
      <c r="S74" s="2147">
        <v>0</v>
      </c>
    </row>
    <row r="75" spans="3:19">
      <c r="C75" t="s">
        <v>4115</v>
      </c>
      <c r="D75" t="s">
        <v>4340</v>
      </c>
      <c r="E75" s="218">
        <v>44790</v>
      </c>
      <c r="F75" s="1760">
        <v>209000</v>
      </c>
      <c r="G75">
        <v>15</v>
      </c>
      <c r="H75" s="1760">
        <f t="shared" si="10"/>
        <v>10450</v>
      </c>
      <c r="I75" s="1760">
        <f t="shared" si="11"/>
        <v>198550</v>
      </c>
      <c r="J75" s="1852">
        <v>6.3299999999999995E-2</v>
      </c>
      <c r="K75">
        <f t="shared" si="12"/>
        <v>226</v>
      </c>
      <c r="L75" s="1760">
        <f t="shared" si="13"/>
        <v>8191.5402739726023</v>
      </c>
      <c r="M75" s="1760">
        <f t="shared" si="14"/>
        <v>200808.45972602739</v>
      </c>
      <c r="N75"/>
      <c r="P75" t="s">
        <v>4254</v>
      </c>
      <c r="R75" s="2147"/>
      <c r="S75" s="2147">
        <v>37620</v>
      </c>
    </row>
    <row r="76" spans="3:19">
      <c r="C76" t="s">
        <v>4116</v>
      </c>
      <c r="D76" t="s">
        <v>4340</v>
      </c>
      <c r="E76" s="218">
        <v>44793</v>
      </c>
      <c r="F76" s="1760">
        <v>4108.4745762711864</v>
      </c>
      <c r="G76">
        <v>15</v>
      </c>
      <c r="H76" s="1760">
        <f t="shared" si="10"/>
        <v>205.42372881355934</v>
      </c>
      <c r="I76" s="1760">
        <f t="shared" si="11"/>
        <v>3903.0508474576272</v>
      </c>
      <c r="J76" s="1852">
        <v>6.3299999999999995E-2</v>
      </c>
      <c r="K76">
        <f t="shared" si="12"/>
        <v>223</v>
      </c>
      <c r="L76" s="1760">
        <f t="shared" si="13"/>
        <v>158.88990759229159</v>
      </c>
      <c r="M76" s="1760">
        <f t="shared" si="14"/>
        <v>3949.5846686788946</v>
      </c>
      <c r="N76"/>
      <c r="P76" t="s">
        <v>4254</v>
      </c>
      <c r="R76" s="2147"/>
      <c r="S76" s="2147">
        <v>739.52542372881362</v>
      </c>
    </row>
    <row r="77" spans="3:19">
      <c r="C77" t="s">
        <v>4117</v>
      </c>
      <c r="D77" t="s">
        <v>4340</v>
      </c>
      <c r="E77" s="218">
        <v>44795</v>
      </c>
      <c r="F77" s="1760">
        <v>118450</v>
      </c>
      <c r="G77">
        <v>15</v>
      </c>
      <c r="H77" s="1760">
        <f t="shared" si="10"/>
        <v>5922.5</v>
      </c>
      <c r="I77" s="1760">
        <f t="shared" si="11"/>
        <v>112527.5</v>
      </c>
      <c r="J77" s="1852">
        <v>6.3299999999999995E-2</v>
      </c>
      <c r="K77">
        <f t="shared" si="12"/>
        <v>221</v>
      </c>
      <c r="L77" s="1760">
        <f t="shared" si="13"/>
        <v>4539.8153013698629</v>
      </c>
      <c r="M77" s="1760">
        <f t="shared" si="14"/>
        <v>113910.18469863014</v>
      </c>
      <c r="N77"/>
      <c r="P77" t="s">
        <v>4254</v>
      </c>
      <c r="R77" s="2147"/>
      <c r="S77" s="2147">
        <v>0</v>
      </c>
    </row>
    <row r="78" spans="3:19">
      <c r="C78" t="s">
        <v>4118</v>
      </c>
      <c r="D78" t="s">
        <v>4340</v>
      </c>
      <c r="E78" s="218">
        <v>44795</v>
      </c>
      <c r="F78" s="1760">
        <v>94450</v>
      </c>
      <c r="G78">
        <v>15</v>
      </c>
      <c r="H78" s="1760">
        <f t="shared" si="10"/>
        <v>4722.5</v>
      </c>
      <c r="I78" s="1760">
        <f t="shared" si="11"/>
        <v>89727.5</v>
      </c>
      <c r="J78" s="1852">
        <v>6.3299999999999995E-2</v>
      </c>
      <c r="K78">
        <f t="shared" si="12"/>
        <v>221</v>
      </c>
      <c r="L78" s="1760">
        <f t="shared" si="13"/>
        <v>3619.9709178082185</v>
      </c>
      <c r="M78" s="1760">
        <f t="shared" si="14"/>
        <v>90830.029082191788</v>
      </c>
      <c r="N78"/>
      <c r="P78" t="s">
        <v>4254</v>
      </c>
      <c r="R78" s="2147"/>
      <c r="S78" s="2147">
        <v>17001</v>
      </c>
    </row>
    <row r="79" spans="3:19">
      <c r="C79" t="s">
        <v>4119</v>
      </c>
      <c r="D79" t="s">
        <v>4340</v>
      </c>
      <c r="E79" s="218">
        <v>44797</v>
      </c>
      <c r="F79" s="1760">
        <v>983135.59322033892</v>
      </c>
      <c r="G79">
        <v>15</v>
      </c>
      <c r="H79" s="1760">
        <f t="shared" si="10"/>
        <v>49156.779661016946</v>
      </c>
      <c r="I79" s="1760">
        <f t="shared" si="11"/>
        <v>933978.81355932192</v>
      </c>
      <c r="J79" s="1852">
        <v>6.3299999999999995E-2</v>
      </c>
      <c r="K79">
        <f t="shared" si="12"/>
        <v>219</v>
      </c>
      <c r="L79" s="1760">
        <f t="shared" si="13"/>
        <v>37339.489830508472</v>
      </c>
      <c r="M79" s="1760">
        <f t="shared" si="14"/>
        <v>945796.10338983044</v>
      </c>
      <c r="N79"/>
      <c r="P79" t="s">
        <v>4254</v>
      </c>
      <c r="R79" s="2147"/>
      <c r="S79" s="2147">
        <v>176964.40677966108</v>
      </c>
    </row>
    <row r="80" spans="3:19">
      <c r="C80" t="s">
        <v>4120</v>
      </c>
      <c r="D80" t="s">
        <v>4340</v>
      </c>
      <c r="E80" s="218">
        <v>44806</v>
      </c>
      <c r="F80" s="1760">
        <v>367500</v>
      </c>
      <c r="G80">
        <v>15</v>
      </c>
      <c r="H80" s="1760">
        <f t="shared" si="10"/>
        <v>18375</v>
      </c>
      <c r="I80" s="1760">
        <f t="shared" si="11"/>
        <v>349125</v>
      </c>
      <c r="J80" s="1852">
        <v>6.3299999999999995E-2</v>
      </c>
      <c r="K80">
        <f t="shared" si="12"/>
        <v>210</v>
      </c>
      <c r="L80" s="1760">
        <f t="shared" si="13"/>
        <v>13384.047945205479</v>
      </c>
      <c r="M80" s="1760">
        <f t="shared" si="14"/>
        <v>354115.95205479453</v>
      </c>
      <c r="N80"/>
      <c r="P80" t="s">
        <v>4254</v>
      </c>
      <c r="R80" s="2147"/>
      <c r="S80" s="2147">
        <v>66150</v>
      </c>
    </row>
    <row r="81" spans="3:19">
      <c r="C81" t="s">
        <v>4121</v>
      </c>
      <c r="D81" t="s">
        <v>4340</v>
      </c>
      <c r="E81" s="218">
        <v>44813</v>
      </c>
      <c r="F81" s="1760">
        <v>22500</v>
      </c>
      <c r="G81">
        <v>15</v>
      </c>
      <c r="H81" s="1760">
        <f t="shared" si="10"/>
        <v>1125</v>
      </c>
      <c r="I81" s="1760">
        <f t="shared" si="11"/>
        <v>21375</v>
      </c>
      <c r="J81" s="1852">
        <v>6.3299999999999995E-2</v>
      </c>
      <c r="K81">
        <f t="shared" si="12"/>
        <v>203</v>
      </c>
      <c r="L81" s="1760">
        <f t="shared" si="13"/>
        <v>792.11712328767123</v>
      </c>
      <c r="M81" s="1760">
        <f t="shared" si="14"/>
        <v>21707.88287671233</v>
      </c>
      <c r="N81"/>
      <c r="P81" t="s">
        <v>4254</v>
      </c>
      <c r="R81" s="2147"/>
      <c r="S81" s="2147">
        <v>0</v>
      </c>
    </row>
    <row r="82" spans="3:19">
      <c r="C82" t="s">
        <v>4122</v>
      </c>
      <c r="D82" t="s">
        <v>4340</v>
      </c>
      <c r="E82" s="218">
        <v>44814</v>
      </c>
      <c r="F82" s="1760">
        <v>54912</v>
      </c>
      <c r="G82">
        <v>15</v>
      </c>
      <c r="H82" s="1760">
        <f t="shared" si="10"/>
        <v>2745.6000000000004</v>
      </c>
      <c r="I82" s="1760">
        <f t="shared" si="11"/>
        <v>52166.400000000001</v>
      </c>
      <c r="J82" s="1852">
        <v>6.3299999999999995E-2</v>
      </c>
      <c r="K82">
        <f t="shared" si="12"/>
        <v>202</v>
      </c>
      <c r="L82" s="1760">
        <f t="shared" si="13"/>
        <v>1923.6651484931506</v>
      </c>
      <c r="M82" s="1760">
        <f t="shared" si="14"/>
        <v>52988.33485150685</v>
      </c>
      <c r="N82"/>
      <c r="P82" t="s">
        <v>4254</v>
      </c>
      <c r="R82" s="2147"/>
      <c r="S82" s="2147">
        <v>0</v>
      </c>
    </row>
    <row r="83" spans="3:19">
      <c r="C83" t="s">
        <v>4123</v>
      </c>
      <c r="D83" t="s">
        <v>4340</v>
      </c>
      <c r="E83" s="218">
        <v>44816</v>
      </c>
      <c r="F83" s="1760">
        <v>539000</v>
      </c>
      <c r="G83">
        <v>15</v>
      </c>
      <c r="H83" s="1760">
        <f t="shared" si="10"/>
        <v>26950</v>
      </c>
      <c r="I83" s="1760">
        <f t="shared" si="11"/>
        <v>512050</v>
      </c>
      <c r="J83" s="1852">
        <v>6.3299999999999995E-2</v>
      </c>
      <c r="K83">
        <f t="shared" si="12"/>
        <v>200</v>
      </c>
      <c r="L83" s="1760">
        <f t="shared" si="13"/>
        <v>18695.178082191778</v>
      </c>
      <c r="M83" s="1760">
        <f t="shared" si="14"/>
        <v>520304.82191780821</v>
      </c>
      <c r="N83"/>
      <c r="P83" t="s">
        <v>4254</v>
      </c>
      <c r="R83" s="2147"/>
      <c r="S83" s="2147">
        <v>97020</v>
      </c>
    </row>
    <row r="84" spans="3:19">
      <c r="C84" t="s">
        <v>4124</v>
      </c>
      <c r="D84" t="s">
        <v>4340</v>
      </c>
      <c r="E84" s="218">
        <v>44818</v>
      </c>
      <c r="F84" s="1760">
        <v>125953.38983050847</v>
      </c>
      <c r="G84">
        <v>15</v>
      </c>
      <c r="H84" s="1760">
        <f t="shared" si="10"/>
        <v>6297.6694915254238</v>
      </c>
      <c r="I84" s="1760">
        <f t="shared" si="11"/>
        <v>119655.72033898305</v>
      </c>
      <c r="J84" s="1852">
        <v>6.3299999999999995E-2</v>
      </c>
      <c r="K84">
        <f t="shared" si="12"/>
        <v>198</v>
      </c>
      <c r="L84" s="1760">
        <f t="shared" si="13"/>
        <v>4324.9978523334103</v>
      </c>
      <c r="M84" s="1760">
        <f t="shared" si="14"/>
        <v>121628.39197817506</v>
      </c>
      <c r="N84"/>
      <c r="P84" t="s">
        <v>4254</v>
      </c>
      <c r="R84" s="2147"/>
      <c r="S84" s="2147">
        <v>22671.610169491527</v>
      </c>
    </row>
    <row r="85" spans="3:19">
      <c r="C85" t="s">
        <v>4125</v>
      </c>
      <c r="D85" t="s">
        <v>4340</v>
      </c>
      <c r="E85" s="218">
        <v>44823</v>
      </c>
      <c r="F85" s="1760">
        <v>27200</v>
      </c>
      <c r="G85">
        <v>15</v>
      </c>
      <c r="H85" s="1760">
        <f t="shared" si="10"/>
        <v>1360</v>
      </c>
      <c r="I85" s="1760">
        <f t="shared" si="11"/>
        <v>25840</v>
      </c>
      <c r="J85" s="1852">
        <v>6.3299999999999995E-2</v>
      </c>
      <c r="K85">
        <f t="shared" si="12"/>
        <v>193</v>
      </c>
      <c r="L85" s="1760">
        <f t="shared" si="13"/>
        <v>910.41008219178059</v>
      </c>
      <c r="M85" s="1760">
        <f t="shared" si="14"/>
        <v>26289.589917808218</v>
      </c>
      <c r="N85"/>
      <c r="P85" t="s">
        <v>4254</v>
      </c>
      <c r="R85" s="2147"/>
      <c r="S85" s="2147">
        <v>4896</v>
      </c>
    </row>
    <row r="86" spans="3:19">
      <c r="C86" t="s">
        <v>4126</v>
      </c>
      <c r="D86" t="s">
        <v>4340</v>
      </c>
      <c r="E86" s="218">
        <v>44832</v>
      </c>
      <c r="F86" s="1760">
        <v>276335.59322033898</v>
      </c>
      <c r="G86">
        <v>15</v>
      </c>
      <c r="H86" s="1760">
        <f t="shared" si="10"/>
        <v>13816.77966101695</v>
      </c>
      <c r="I86" s="1760">
        <f t="shared" si="11"/>
        <v>262518.81355932204</v>
      </c>
      <c r="J86" s="1852">
        <v>6.3299999999999995E-2</v>
      </c>
      <c r="K86">
        <f t="shared" si="12"/>
        <v>184</v>
      </c>
      <c r="L86" s="1760">
        <f t="shared" si="13"/>
        <v>8817.9066338518678</v>
      </c>
      <c r="M86" s="1760">
        <f t="shared" si="14"/>
        <v>267517.68658648711</v>
      </c>
      <c r="N86"/>
      <c r="P86" t="s">
        <v>4254</v>
      </c>
      <c r="R86" s="2147"/>
      <c r="S86" s="2147">
        <v>49740.406779661018</v>
      </c>
    </row>
    <row r="87" spans="3:19">
      <c r="C87" t="s">
        <v>4127</v>
      </c>
      <c r="D87" t="s">
        <v>4340</v>
      </c>
      <c r="E87" s="218">
        <v>44842</v>
      </c>
      <c r="F87" s="1760">
        <v>118450</v>
      </c>
      <c r="G87">
        <v>15</v>
      </c>
      <c r="H87" s="1760">
        <f t="shared" si="10"/>
        <v>5922.5</v>
      </c>
      <c r="I87" s="1760">
        <f t="shared" si="11"/>
        <v>112527.5</v>
      </c>
      <c r="J87" s="1852">
        <v>6.3299999999999995E-2</v>
      </c>
      <c r="K87">
        <f t="shared" si="12"/>
        <v>174</v>
      </c>
      <c r="L87" s="1760">
        <f t="shared" si="13"/>
        <v>3574.3342191780821</v>
      </c>
      <c r="M87" s="1760">
        <f t="shared" si="14"/>
        <v>114875.66578082192</v>
      </c>
      <c r="N87"/>
      <c r="P87" t="s">
        <v>4255</v>
      </c>
      <c r="R87" s="2147"/>
      <c r="S87" s="2147">
        <v>0</v>
      </c>
    </row>
    <row r="88" spans="3:19">
      <c r="C88" t="s">
        <v>4128</v>
      </c>
      <c r="D88" t="s">
        <v>4340</v>
      </c>
      <c r="E88" s="218">
        <v>44844</v>
      </c>
      <c r="F88" s="1760">
        <v>118450</v>
      </c>
      <c r="G88">
        <v>15</v>
      </c>
      <c r="H88" s="1760">
        <f t="shared" si="10"/>
        <v>5922.5</v>
      </c>
      <c r="I88" s="1760">
        <f t="shared" si="11"/>
        <v>112527.5</v>
      </c>
      <c r="J88" s="1852">
        <v>6.3299999999999995E-2</v>
      </c>
      <c r="K88">
        <f t="shared" si="12"/>
        <v>172</v>
      </c>
      <c r="L88" s="1760">
        <f t="shared" si="13"/>
        <v>3533.2499178082189</v>
      </c>
      <c r="M88" s="1760">
        <f t="shared" si="14"/>
        <v>114916.75008219178</v>
      </c>
      <c r="N88"/>
      <c r="P88" t="s">
        <v>4255</v>
      </c>
      <c r="R88" s="2147"/>
      <c r="S88" s="2147">
        <v>0</v>
      </c>
    </row>
    <row r="89" spans="3:19">
      <c r="C89" t="s">
        <v>4129</v>
      </c>
      <c r="D89" t="s">
        <v>4340</v>
      </c>
      <c r="E89" s="218">
        <v>44854</v>
      </c>
      <c r="F89" s="1760">
        <v>119700</v>
      </c>
      <c r="G89">
        <v>15</v>
      </c>
      <c r="H89" s="1760">
        <f t="shared" si="10"/>
        <v>5985</v>
      </c>
      <c r="I89" s="1760">
        <f t="shared" si="11"/>
        <v>113715</v>
      </c>
      <c r="J89" s="1852">
        <v>6.3299999999999995E-2</v>
      </c>
      <c r="K89">
        <f t="shared" si="12"/>
        <v>162</v>
      </c>
      <c r="L89" s="1760">
        <f t="shared" si="13"/>
        <v>3362.9469041095886</v>
      </c>
      <c r="M89" s="1760">
        <f t="shared" si="14"/>
        <v>116337.05309589041</v>
      </c>
      <c r="N89"/>
      <c r="P89" t="s">
        <v>4255</v>
      </c>
      <c r="R89" s="2147"/>
      <c r="S89" s="2147">
        <v>21546</v>
      </c>
    </row>
    <row r="90" spans="3:19">
      <c r="C90" t="s">
        <v>4130</v>
      </c>
      <c r="D90" t="s">
        <v>4340</v>
      </c>
      <c r="E90" s="218">
        <v>44883</v>
      </c>
      <c r="F90" s="1760">
        <v>2025000</v>
      </c>
      <c r="G90">
        <v>15</v>
      </c>
      <c r="H90" s="1760">
        <f t="shared" si="10"/>
        <v>101250</v>
      </c>
      <c r="I90" s="1760">
        <f t="shared" si="11"/>
        <v>1923750</v>
      </c>
      <c r="J90" s="1852">
        <v>6.3299999999999995E-2</v>
      </c>
      <c r="K90">
        <f t="shared" si="12"/>
        <v>133</v>
      </c>
      <c r="L90" s="1760">
        <f t="shared" si="13"/>
        <v>46707.59589041095</v>
      </c>
      <c r="M90" s="1760">
        <f t="shared" si="14"/>
        <v>1978292.4041095891</v>
      </c>
      <c r="N90"/>
      <c r="P90" t="s">
        <v>4255</v>
      </c>
      <c r="R90" s="2147"/>
      <c r="S90" s="2147">
        <v>364500</v>
      </c>
    </row>
    <row r="91" spans="3:19">
      <c r="C91" t="s">
        <v>4131</v>
      </c>
      <c r="D91" t="s">
        <v>4340</v>
      </c>
      <c r="E91" s="218">
        <v>44900</v>
      </c>
      <c r="F91" s="1760">
        <v>82964.406779661018</v>
      </c>
      <c r="G91">
        <v>15</v>
      </c>
      <c r="H91" s="1760">
        <f t="shared" si="10"/>
        <v>4148.2203389830511</v>
      </c>
      <c r="I91" s="1760">
        <f t="shared" si="11"/>
        <v>78816.186440677964</v>
      </c>
      <c r="J91" s="1852">
        <v>6.3299999999999995E-2</v>
      </c>
      <c r="K91">
        <f t="shared" si="12"/>
        <v>116</v>
      </c>
      <c r="L91" s="1760">
        <f t="shared" si="13"/>
        <v>1669.0165646621779</v>
      </c>
      <c r="M91" s="1760">
        <f t="shared" si="14"/>
        <v>81295.390214998843</v>
      </c>
      <c r="N91"/>
      <c r="P91" t="s">
        <v>4255</v>
      </c>
      <c r="R91" s="2147"/>
      <c r="S91" s="2147">
        <v>14933.593220338982</v>
      </c>
    </row>
    <row r="92" spans="3:19">
      <c r="C92" t="s">
        <v>4132</v>
      </c>
      <c r="D92" t="s">
        <v>4340</v>
      </c>
      <c r="E92" s="218">
        <v>44902</v>
      </c>
      <c r="F92" s="1760">
        <v>203820.33898305084</v>
      </c>
      <c r="G92">
        <v>15</v>
      </c>
      <c r="H92" s="1760">
        <f t="shared" si="10"/>
        <v>10191.016949152543</v>
      </c>
      <c r="I92" s="1760">
        <f t="shared" si="11"/>
        <v>193629.32203389829</v>
      </c>
      <c r="J92" s="1852">
        <v>6.3299999999999995E-2</v>
      </c>
      <c r="K92">
        <f t="shared" si="12"/>
        <v>114</v>
      </c>
      <c r="L92" s="1760">
        <f t="shared" si="13"/>
        <v>4029.6118634780587</v>
      </c>
      <c r="M92" s="1760">
        <f t="shared" si="14"/>
        <v>199790.72711957278</v>
      </c>
      <c r="N92"/>
      <c r="P92" t="s">
        <v>4255</v>
      </c>
      <c r="R92" s="2147"/>
      <c r="S92" s="2147">
        <v>36687.661016949161</v>
      </c>
    </row>
    <row r="93" spans="3:19">
      <c r="C93" t="s">
        <v>4133</v>
      </c>
      <c r="D93" t="s">
        <v>4340</v>
      </c>
      <c r="E93" s="218">
        <v>44905</v>
      </c>
      <c r="F93" s="1760">
        <v>26800</v>
      </c>
      <c r="G93">
        <v>15</v>
      </c>
      <c r="H93" s="1760">
        <f t="shared" si="10"/>
        <v>1340</v>
      </c>
      <c r="I93" s="1760">
        <f t="shared" si="11"/>
        <v>25460</v>
      </c>
      <c r="J93" s="1852">
        <v>6.3299999999999995E-2</v>
      </c>
      <c r="K93">
        <f t="shared" si="12"/>
        <v>111</v>
      </c>
      <c r="L93" s="1760">
        <f t="shared" si="13"/>
        <v>515.9036712328766</v>
      </c>
      <c r="M93" s="1760">
        <f t="shared" si="14"/>
        <v>26284.096328767122</v>
      </c>
      <c r="N93"/>
      <c r="P93" t="s">
        <v>4255</v>
      </c>
      <c r="R93" s="2147"/>
      <c r="S93" s="2147">
        <v>4824</v>
      </c>
    </row>
    <row r="94" spans="3:19">
      <c r="C94" t="s">
        <v>4134</v>
      </c>
      <c r="D94" t="s">
        <v>4340</v>
      </c>
      <c r="E94" s="218">
        <v>44907</v>
      </c>
      <c r="F94" s="1760">
        <v>308150</v>
      </c>
      <c r="G94">
        <v>15</v>
      </c>
      <c r="H94" s="1760">
        <f t="shared" si="10"/>
        <v>15407.5</v>
      </c>
      <c r="I94" s="1760">
        <f t="shared" si="11"/>
        <v>292742.5</v>
      </c>
      <c r="J94" s="1852">
        <v>6.3299999999999995E-2</v>
      </c>
      <c r="K94">
        <f t="shared" si="12"/>
        <v>109</v>
      </c>
      <c r="L94" s="1760">
        <f t="shared" si="13"/>
        <v>5825.04809589041</v>
      </c>
      <c r="M94" s="1760">
        <f t="shared" si="14"/>
        <v>302324.95190410956</v>
      </c>
      <c r="N94"/>
      <c r="P94" t="s">
        <v>4255</v>
      </c>
      <c r="R94" s="2147"/>
      <c r="S94" s="2147">
        <v>55467</v>
      </c>
    </row>
    <row r="95" spans="3:19">
      <c r="C95" t="s">
        <v>4135</v>
      </c>
      <c r="D95" t="s">
        <v>4340</v>
      </c>
      <c r="E95" s="218">
        <v>44909</v>
      </c>
      <c r="F95" s="1760">
        <v>520000</v>
      </c>
      <c r="G95">
        <v>15</v>
      </c>
      <c r="H95" s="1760">
        <f t="shared" si="10"/>
        <v>26000</v>
      </c>
      <c r="I95" s="1760">
        <f t="shared" si="11"/>
        <v>494000</v>
      </c>
      <c r="J95" s="1852">
        <v>6.3299999999999995E-2</v>
      </c>
      <c r="K95">
        <f t="shared" si="12"/>
        <v>107</v>
      </c>
      <c r="L95" s="1760">
        <f t="shared" si="13"/>
        <v>9649.3479452054798</v>
      </c>
      <c r="M95" s="1760">
        <f t="shared" si="14"/>
        <v>510350.65205479454</v>
      </c>
      <c r="N95"/>
      <c r="P95" t="s">
        <v>4255</v>
      </c>
      <c r="R95" s="2147"/>
      <c r="S95" s="2147">
        <v>93600</v>
      </c>
    </row>
    <row r="96" spans="3:19">
      <c r="C96" t="s">
        <v>4136</v>
      </c>
      <c r="D96" t="s">
        <v>4340</v>
      </c>
      <c r="E96" s="218">
        <v>44910</v>
      </c>
      <c r="F96" s="1760">
        <v>44654</v>
      </c>
      <c r="G96">
        <v>15</v>
      </c>
      <c r="H96" s="1760">
        <f t="shared" si="10"/>
        <v>2232.7000000000003</v>
      </c>
      <c r="I96" s="1760">
        <f t="shared" si="11"/>
        <v>42421.3</v>
      </c>
      <c r="J96" s="1852">
        <v>6.3299999999999995E-2</v>
      </c>
      <c r="K96">
        <f t="shared" si="12"/>
        <v>106</v>
      </c>
      <c r="L96" s="1760">
        <f t="shared" si="13"/>
        <v>820.87509369863017</v>
      </c>
      <c r="M96" s="1760">
        <f t="shared" si="14"/>
        <v>43833.124906301367</v>
      </c>
      <c r="N96"/>
      <c r="P96" t="s">
        <v>4255</v>
      </c>
      <c r="R96" s="2147"/>
      <c r="S96" s="2147">
        <v>0</v>
      </c>
    </row>
    <row r="97" spans="3:19">
      <c r="C97" t="s">
        <v>4137</v>
      </c>
      <c r="D97" t="s">
        <v>4340</v>
      </c>
      <c r="E97" s="218">
        <v>44911</v>
      </c>
      <c r="F97" s="1760">
        <v>9500</v>
      </c>
      <c r="G97">
        <v>15</v>
      </c>
      <c r="H97" s="1760">
        <f t="shared" si="10"/>
        <v>475</v>
      </c>
      <c r="I97" s="1760">
        <f t="shared" si="11"/>
        <v>9025</v>
      </c>
      <c r="J97" s="1852">
        <v>6.3299999999999995E-2</v>
      </c>
      <c r="K97">
        <f t="shared" si="12"/>
        <v>105</v>
      </c>
      <c r="L97" s="1760">
        <f t="shared" si="13"/>
        <v>172.99109589041095</v>
      </c>
      <c r="M97" s="1760">
        <f t="shared" si="14"/>
        <v>9327.0089041095889</v>
      </c>
      <c r="N97"/>
      <c r="P97" t="s">
        <v>4255</v>
      </c>
      <c r="R97" s="2147"/>
      <c r="S97" s="2147">
        <v>1710</v>
      </c>
    </row>
    <row r="98" spans="3:19">
      <c r="C98" t="s">
        <v>4138</v>
      </c>
      <c r="D98" t="s">
        <v>4340</v>
      </c>
      <c r="E98" s="218">
        <v>44915</v>
      </c>
      <c r="F98" s="1760">
        <v>291722.88135593222</v>
      </c>
      <c r="G98">
        <v>15</v>
      </c>
      <c r="H98" s="1760">
        <f t="shared" si="10"/>
        <v>14586.144067796611</v>
      </c>
      <c r="I98" s="1760">
        <f t="shared" si="11"/>
        <v>277136.73728813563</v>
      </c>
      <c r="J98" s="1852">
        <v>6.3299999999999995E-2</v>
      </c>
      <c r="K98">
        <f t="shared" si="12"/>
        <v>101</v>
      </c>
      <c r="L98" s="1760">
        <f t="shared" si="13"/>
        <v>5109.7860201996755</v>
      </c>
      <c r="M98" s="1760">
        <f t="shared" si="14"/>
        <v>286613.09533573256</v>
      </c>
      <c r="N98"/>
      <c r="P98" t="s">
        <v>4255</v>
      </c>
      <c r="R98" s="2147"/>
      <c r="S98" s="2147">
        <v>52510.118644067785</v>
      </c>
    </row>
    <row r="99" spans="3:19">
      <c r="C99" t="s">
        <v>4139</v>
      </c>
      <c r="D99" t="s">
        <v>4340</v>
      </c>
      <c r="E99" s="218">
        <v>44916</v>
      </c>
      <c r="F99" s="1760">
        <v>70528.813559322036</v>
      </c>
      <c r="G99">
        <v>15</v>
      </c>
      <c r="H99" s="1760">
        <f t="shared" si="10"/>
        <v>3526.4406779661022</v>
      </c>
      <c r="I99" s="1760">
        <f t="shared" si="11"/>
        <v>67002.372881355928</v>
      </c>
      <c r="J99" s="1852">
        <v>6.3299999999999995E-2</v>
      </c>
      <c r="K99">
        <f t="shared" si="12"/>
        <v>100</v>
      </c>
      <c r="L99" s="1760">
        <f t="shared" si="13"/>
        <v>1223.1435337822152</v>
      </c>
      <c r="M99" s="1760">
        <f t="shared" si="14"/>
        <v>69305.670025539817</v>
      </c>
      <c r="N99"/>
      <c r="P99" t="s">
        <v>4255</v>
      </c>
      <c r="R99" s="2147"/>
      <c r="S99" s="2147">
        <v>12695.186440677964</v>
      </c>
    </row>
    <row r="100" spans="3:19">
      <c r="C100" t="s">
        <v>4140</v>
      </c>
      <c r="D100" t="s">
        <v>4340</v>
      </c>
      <c r="E100" s="218">
        <v>44919</v>
      </c>
      <c r="F100" s="1760">
        <v>62500</v>
      </c>
      <c r="G100">
        <v>15</v>
      </c>
      <c r="H100" s="1760">
        <f t="shared" si="10"/>
        <v>3125</v>
      </c>
      <c r="I100" s="1760">
        <f t="shared" si="11"/>
        <v>59375</v>
      </c>
      <c r="J100" s="1852">
        <v>6.3299999999999995E-2</v>
      </c>
      <c r="K100">
        <f t="shared" si="12"/>
        <v>97</v>
      </c>
      <c r="L100" s="1760">
        <f t="shared" si="13"/>
        <v>1051.3869863013697</v>
      </c>
      <c r="M100" s="1760">
        <f t="shared" si="14"/>
        <v>61448.613013698632</v>
      </c>
      <c r="N100"/>
      <c r="P100" t="s">
        <v>4255</v>
      </c>
      <c r="R100" s="2147"/>
      <c r="S100" s="2147">
        <v>11250</v>
      </c>
    </row>
    <row r="101" spans="3:19">
      <c r="C101" t="s">
        <v>4141</v>
      </c>
      <c r="D101" t="s">
        <v>4340</v>
      </c>
      <c r="E101" s="218">
        <v>44922</v>
      </c>
      <c r="F101" s="1760">
        <v>101429.66101694916</v>
      </c>
      <c r="G101">
        <v>15</v>
      </c>
      <c r="H101" s="1760">
        <f t="shared" si="10"/>
        <v>5071.4830508474588</v>
      </c>
      <c r="I101" s="1760">
        <f t="shared" si="11"/>
        <v>96358.177966101706</v>
      </c>
      <c r="J101" s="1852">
        <v>6.3299999999999995E-2</v>
      </c>
      <c r="K101">
        <f t="shared" si="12"/>
        <v>94</v>
      </c>
      <c r="L101" s="1760">
        <f t="shared" si="13"/>
        <v>1653.4979972138378</v>
      </c>
      <c r="M101" s="1760">
        <f t="shared" si="14"/>
        <v>99776.163019735322</v>
      </c>
      <c r="N101"/>
      <c r="P101" t="s">
        <v>4255</v>
      </c>
      <c r="R101" s="2147"/>
      <c r="S101" s="2147">
        <v>18257.338983050839</v>
      </c>
    </row>
    <row r="102" spans="3:19">
      <c r="C102" t="s">
        <v>4142</v>
      </c>
      <c r="D102" t="s">
        <v>4340</v>
      </c>
      <c r="E102" s="218">
        <v>44946</v>
      </c>
      <c r="F102" s="1760">
        <v>25180</v>
      </c>
      <c r="G102">
        <v>15</v>
      </c>
      <c r="H102" s="1760">
        <f t="shared" si="10"/>
        <v>1259</v>
      </c>
      <c r="I102" s="1760">
        <f t="shared" si="11"/>
        <v>23921</v>
      </c>
      <c r="J102" s="1852">
        <v>6.3299999999999995E-2</v>
      </c>
      <c r="K102">
        <f t="shared" si="12"/>
        <v>70</v>
      </c>
      <c r="L102" s="1760">
        <f t="shared" si="13"/>
        <v>305.67830136986299</v>
      </c>
      <c r="M102" s="1760">
        <f t="shared" si="14"/>
        <v>24874.321698630138</v>
      </c>
      <c r="N102"/>
      <c r="P102" t="s">
        <v>4255</v>
      </c>
      <c r="R102" s="2147"/>
      <c r="S102" s="2147">
        <v>0</v>
      </c>
    </row>
    <row r="103" spans="3:19">
      <c r="C103" t="s">
        <v>4143</v>
      </c>
      <c r="D103" t="s">
        <v>4340</v>
      </c>
      <c r="E103" s="218">
        <v>44949</v>
      </c>
      <c r="F103" s="1760">
        <v>7720</v>
      </c>
      <c r="G103">
        <v>15</v>
      </c>
      <c r="H103" s="1760">
        <f t="shared" si="10"/>
        <v>386</v>
      </c>
      <c r="I103" s="1760">
        <f t="shared" si="11"/>
        <v>7334</v>
      </c>
      <c r="J103" s="1852">
        <v>6.3299999999999995E-2</v>
      </c>
      <c r="K103">
        <f t="shared" si="12"/>
        <v>67</v>
      </c>
      <c r="L103" s="1760">
        <f t="shared" si="13"/>
        <v>89.702169863013694</v>
      </c>
      <c r="M103" s="1760">
        <f t="shared" si="14"/>
        <v>7630.2978301369867</v>
      </c>
      <c r="N103"/>
      <c r="P103" t="s">
        <v>4255</v>
      </c>
      <c r="R103" s="2147"/>
      <c r="S103" s="2147">
        <v>0</v>
      </c>
    </row>
    <row r="104" spans="3:19">
      <c r="C104" t="s">
        <v>4144</v>
      </c>
      <c r="D104" t="s">
        <v>4340</v>
      </c>
      <c r="E104" s="218">
        <v>44949</v>
      </c>
      <c r="F104" s="1760">
        <v>110815.25423728814</v>
      </c>
      <c r="G104">
        <v>15</v>
      </c>
      <c r="H104" s="1760">
        <f t="shared" si="10"/>
        <v>5540.7627118644077</v>
      </c>
      <c r="I104" s="1760">
        <f t="shared" si="11"/>
        <v>105274.49152542374</v>
      </c>
      <c r="J104" s="1852">
        <v>6.3299999999999995E-2</v>
      </c>
      <c r="K104">
        <f t="shared" si="12"/>
        <v>67</v>
      </c>
      <c r="L104" s="1760">
        <f t="shared" si="13"/>
        <v>1287.6125335500349</v>
      </c>
      <c r="M104" s="1760">
        <f t="shared" si="14"/>
        <v>109527.6417037381</v>
      </c>
      <c r="N104"/>
      <c r="P104" t="s">
        <v>4255</v>
      </c>
      <c r="R104" s="2147"/>
      <c r="S104" s="2147">
        <v>19946.745762711857</v>
      </c>
    </row>
    <row r="105" spans="3:19">
      <c r="C105" t="s">
        <v>4145</v>
      </c>
      <c r="D105" t="s">
        <v>4340</v>
      </c>
      <c r="E105" s="218">
        <v>44951</v>
      </c>
      <c r="F105" s="1760">
        <v>100000</v>
      </c>
      <c r="G105">
        <v>15</v>
      </c>
      <c r="H105" s="1760">
        <f t="shared" si="10"/>
        <v>5000</v>
      </c>
      <c r="I105" s="1760">
        <f t="shared" si="11"/>
        <v>95000</v>
      </c>
      <c r="J105" s="1852">
        <v>6.3299999999999995E-2</v>
      </c>
      <c r="K105">
        <f t="shared" si="12"/>
        <v>65</v>
      </c>
      <c r="L105" s="1760">
        <f t="shared" si="13"/>
        <v>1127.2602739726026</v>
      </c>
      <c r="M105" s="1760">
        <f t="shared" si="14"/>
        <v>98872.739726027401</v>
      </c>
      <c r="N105"/>
      <c r="P105" t="s">
        <v>4255</v>
      </c>
      <c r="R105" s="2147"/>
      <c r="S105" s="2147">
        <v>18000</v>
      </c>
    </row>
    <row r="106" spans="3:19">
      <c r="C106" t="s">
        <v>4146</v>
      </c>
      <c r="D106" t="s">
        <v>4340</v>
      </c>
      <c r="E106" s="218">
        <v>44951</v>
      </c>
      <c r="F106" s="1760">
        <v>69250</v>
      </c>
      <c r="G106">
        <v>15</v>
      </c>
      <c r="H106" s="1760">
        <f t="shared" si="10"/>
        <v>3462.5</v>
      </c>
      <c r="I106" s="1760">
        <f t="shared" si="11"/>
        <v>65787.5</v>
      </c>
      <c r="J106" s="1852">
        <v>6.3299999999999995E-2</v>
      </c>
      <c r="K106">
        <f t="shared" si="12"/>
        <v>65</v>
      </c>
      <c r="L106" s="1760">
        <f t="shared" si="13"/>
        <v>780.62773972602736</v>
      </c>
      <c r="M106" s="1760">
        <f t="shared" si="14"/>
        <v>68469.372260273973</v>
      </c>
      <c r="N106"/>
      <c r="P106" t="s">
        <v>4255</v>
      </c>
      <c r="R106" s="2147"/>
      <c r="S106" s="2147">
        <v>12465</v>
      </c>
    </row>
    <row r="107" spans="3:19">
      <c r="C107" t="s">
        <v>4147</v>
      </c>
      <c r="D107" t="s">
        <v>4340</v>
      </c>
      <c r="E107" s="218">
        <v>44960</v>
      </c>
      <c r="F107" s="1760">
        <v>1900000</v>
      </c>
      <c r="G107">
        <v>15</v>
      </c>
      <c r="H107" s="1760">
        <f t="shared" si="10"/>
        <v>95000</v>
      </c>
      <c r="I107" s="1760">
        <f t="shared" si="11"/>
        <v>1805000</v>
      </c>
      <c r="J107" s="1852">
        <v>6.3299999999999995E-2</v>
      </c>
      <c r="K107">
        <f t="shared" si="12"/>
        <v>56</v>
      </c>
      <c r="L107" s="1760">
        <f t="shared" si="13"/>
        <v>18452.383561643834</v>
      </c>
      <c r="M107" s="1760">
        <f t="shared" si="14"/>
        <v>1881547.6164383562</v>
      </c>
      <c r="N107"/>
      <c r="P107" t="s">
        <v>4255</v>
      </c>
      <c r="R107" s="2147"/>
      <c r="S107" s="2147">
        <v>342000</v>
      </c>
    </row>
    <row r="108" spans="3:19">
      <c r="C108" t="s">
        <v>4148</v>
      </c>
      <c r="D108" t="s">
        <v>4340</v>
      </c>
      <c r="E108" s="218">
        <v>44965</v>
      </c>
      <c r="F108" s="1760">
        <v>800000</v>
      </c>
      <c r="G108">
        <v>15</v>
      </c>
      <c r="H108" s="1760">
        <f t="shared" si="10"/>
        <v>40000</v>
      </c>
      <c r="I108" s="1760">
        <f t="shared" si="11"/>
        <v>760000</v>
      </c>
      <c r="J108" s="1852">
        <v>6.3299999999999995E-2</v>
      </c>
      <c r="K108">
        <f t="shared" si="12"/>
        <v>51</v>
      </c>
      <c r="L108" s="1760">
        <f t="shared" si="13"/>
        <v>7075.7260273972588</v>
      </c>
      <c r="M108" s="1760">
        <f t="shared" si="14"/>
        <v>792924.27397260279</v>
      </c>
      <c r="N108"/>
      <c r="P108" t="s">
        <v>4255</v>
      </c>
      <c r="R108" s="2147"/>
      <c r="S108" s="2147">
        <v>144000</v>
      </c>
    </row>
    <row r="109" spans="3:19">
      <c r="C109" t="s">
        <v>4149</v>
      </c>
      <c r="D109" t="s">
        <v>4340</v>
      </c>
      <c r="E109" s="218">
        <v>44966</v>
      </c>
      <c r="F109" s="1760">
        <v>10972</v>
      </c>
      <c r="G109">
        <v>15</v>
      </c>
      <c r="H109" s="1760">
        <f t="shared" si="10"/>
        <v>548.6</v>
      </c>
      <c r="I109" s="1760">
        <f t="shared" si="11"/>
        <v>10423.4</v>
      </c>
      <c r="J109" s="1852">
        <v>6.3299999999999995E-2</v>
      </c>
      <c r="K109">
        <f t="shared" si="12"/>
        <v>50</v>
      </c>
      <c r="L109" s="1760">
        <f t="shared" si="13"/>
        <v>95.14076712328766</v>
      </c>
      <c r="M109" s="1760">
        <f t="shared" si="14"/>
        <v>10876.859232876712</v>
      </c>
      <c r="N109"/>
      <c r="P109" t="s">
        <v>4255</v>
      </c>
      <c r="R109" s="2147"/>
      <c r="S109" s="2147">
        <v>0</v>
      </c>
    </row>
    <row r="110" spans="3:19">
      <c r="C110" t="s">
        <v>4150</v>
      </c>
      <c r="D110" t="s">
        <v>4340</v>
      </c>
      <c r="E110" s="218">
        <v>44970</v>
      </c>
      <c r="F110" s="1760">
        <v>287300</v>
      </c>
      <c r="G110">
        <v>15</v>
      </c>
      <c r="H110" s="1760">
        <f t="shared" si="10"/>
        <v>14365</v>
      </c>
      <c r="I110" s="1760">
        <f t="shared" si="11"/>
        <v>272935</v>
      </c>
      <c r="J110" s="1852">
        <v>6.3299999999999995E-2</v>
      </c>
      <c r="K110">
        <f t="shared" si="12"/>
        <v>46</v>
      </c>
      <c r="L110" s="1760">
        <f t="shared" si="13"/>
        <v>2291.9455890410959</v>
      </c>
      <c r="M110" s="1760">
        <f t="shared" si="14"/>
        <v>285008.0544109589</v>
      </c>
      <c r="N110"/>
      <c r="P110" t="s">
        <v>4255</v>
      </c>
      <c r="R110" s="2147"/>
      <c r="S110" s="2147">
        <v>51714</v>
      </c>
    </row>
    <row r="111" spans="3:19">
      <c r="C111" t="s">
        <v>4151</v>
      </c>
      <c r="D111" t="s">
        <v>4340</v>
      </c>
      <c r="E111" s="218">
        <v>44973</v>
      </c>
      <c r="F111" s="1760">
        <v>520000</v>
      </c>
      <c r="G111">
        <v>15</v>
      </c>
      <c r="H111" s="1760">
        <f t="shared" si="10"/>
        <v>26000</v>
      </c>
      <c r="I111" s="1760">
        <f t="shared" si="11"/>
        <v>494000</v>
      </c>
      <c r="J111" s="1852">
        <v>6.3299999999999995E-2</v>
      </c>
      <c r="K111">
        <f t="shared" si="12"/>
        <v>43</v>
      </c>
      <c r="L111" s="1760">
        <f t="shared" si="13"/>
        <v>3877.7753424657535</v>
      </c>
      <c r="M111" s="1760">
        <f t="shared" si="14"/>
        <v>516122.22465753427</v>
      </c>
      <c r="N111"/>
      <c r="P111" t="s">
        <v>4255</v>
      </c>
      <c r="R111" s="2147"/>
      <c r="S111" s="2147">
        <v>93600</v>
      </c>
    </row>
    <row r="112" spans="3:19">
      <c r="C112" t="s">
        <v>4152</v>
      </c>
      <c r="D112" t="s">
        <v>4340</v>
      </c>
      <c r="E112" s="218">
        <v>44975</v>
      </c>
      <c r="F112" s="1760">
        <v>280000</v>
      </c>
      <c r="G112">
        <v>15</v>
      </c>
      <c r="H112" s="1760">
        <f t="shared" si="10"/>
        <v>14000</v>
      </c>
      <c r="I112" s="1760">
        <f t="shared" si="11"/>
        <v>266000</v>
      </c>
      <c r="J112" s="1852">
        <v>6.3299999999999995E-2</v>
      </c>
      <c r="K112">
        <f t="shared" si="12"/>
        <v>41</v>
      </c>
      <c r="L112" s="1760">
        <f t="shared" si="13"/>
        <v>1990.9150684931508</v>
      </c>
      <c r="M112" s="1760">
        <f t="shared" si="14"/>
        <v>278009.08493150683</v>
      </c>
      <c r="N112"/>
      <c r="P112" t="s">
        <v>4255</v>
      </c>
      <c r="R112" s="2147"/>
      <c r="S112" s="2147">
        <v>50400</v>
      </c>
    </row>
    <row r="113" spans="3:23">
      <c r="C113" t="s">
        <v>4153</v>
      </c>
      <c r="D113" t="s">
        <v>4340</v>
      </c>
      <c r="E113" s="218">
        <v>44999</v>
      </c>
      <c r="F113" s="1760">
        <v>121000</v>
      </c>
      <c r="G113">
        <v>15</v>
      </c>
      <c r="H113" s="1760">
        <f t="shared" si="10"/>
        <v>6050</v>
      </c>
      <c r="I113" s="1760">
        <f t="shared" si="11"/>
        <v>114950</v>
      </c>
      <c r="J113" s="1852">
        <v>6.3299999999999995E-2</v>
      </c>
      <c r="K113">
        <f t="shared" si="12"/>
        <v>17</v>
      </c>
      <c r="L113" s="1760">
        <f t="shared" si="13"/>
        <v>356.73452054794518</v>
      </c>
      <c r="M113" s="1760">
        <f t="shared" si="14"/>
        <v>120643.26547945205</v>
      </c>
      <c r="N113"/>
      <c r="P113" t="s">
        <v>4255</v>
      </c>
      <c r="R113" s="2147"/>
      <c r="S113" s="2147">
        <v>21780</v>
      </c>
      <c r="T113" s="523">
        <f>SUM(S10:S113)</f>
        <v>4447106.7118644062</v>
      </c>
      <c r="U113" s="219">
        <v>30609890</v>
      </c>
      <c r="V113" s="219">
        <v>26162783.289999999</v>
      </c>
      <c r="W113" s="219">
        <f>U113-V113</f>
        <v>4447106.7100000009</v>
      </c>
    </row>
    <row r="114" spans="3:23">
      <c r="C114" t="s">
        <v>83</v>
      </c>
      <c r="D114" t="s">
        <v>4340</v>
      </c>
      <c r="E114" s="218">
        <v>44990</v>
      </c>
      <c r="F114" s="1760">
        <f>'Sheet1 (2)'!M5</f>
        <v>361397.78</v>
      </c>
      <c r="G114">
        <v>15</v>
      </c>
      <c r="H114" s="1760">
        <f t="shared" ref="H114:H143" si="15">F114*5%</f>
        <v>18069.889000000003</v>
      </c>
      <c r="I114" s="1760">
        <f t="shared" ref="I114:I143" si="16">F114-H114</f>
        <v>343327.891</v>
      </c>
      <c r="J114" s="1852">
        <v>6.3299999999999995E-2</v>
      </c>
      <c r="K114">
        <f t="shared" ref="K114:K143" si="17">$M$1-E114</f>
        <v>26</v>
      </c>
      <c r="L114" s="1760">
        <f t="shared" ref="L114:L143" si="18">F114*J114*K114/365</f>
        <v>1629.5574419835618</v>
      </c>
      <c r="M114" s="1760">
        <f t="shared" ref="M114:M143" si="19">F114-L114</f>
        <v>359768.22255801648</v>
      </c>
      <c r="N114"/>
      <c r="P114" t="s">
        <v>4255</v>
      </c>
      <c r="R114" s="2147"/>
      <c r="S114" s="2147"/>
      <c r="T114" s="523"/>
      <c r="U114" s="219"/>
      <c r="V114" s="219"/>
      <c r="W114" s="219"/>
    </row>
    <row r="115" spans="3:23">
      <c r="C115" t="s">
        <v>83</v>
      </c>
      <c r="D115" t="s">
        <v>4340</v>
      </c>
      <c r="E115" s="218">
        <v>44988</v>
      </c>
      <c r="F115" s="1760">
        <f>'Sheet1 (2)'!M6</f>
        <v>437556.1</v>
      </c>
      <c r="G115">
        <v>15</v>
      </c>
      <c r="H115" s="1760">
        <f t="shared" si="15"/>
        <v>21877.805</v>
      </c>
      <c r="I115" s="1760">
        <f t="shared" si="16"/>
        <v>415678.29499999998</v>
      </c>
      <c r="J115" s="1852">
        <v>6.3299999999999995E-2</v>
      </c>
      <c r="K115">
        <f t="shared" si="17"/>
        <v>28</v>
      </c>
      <c r="L115" s="1760">
        <f t="shared" si="18"/>
        <v>2124.724470246575</v>
      </c>
      <c r="M115" s="1760">
        <f t="shared" si="19"/>
        <v>435431.37552975339</v>
      </c>
      <c r="N115"/>
      <c r="P115" t="s">
        <v>4255</v>
      </c>
      <c r="R115" s="2147"/>
      <c r="S115" s="2147"/>
      <c r="T115" s="523"/>
      <c r="U115" s="219"/>
      <c r="V115" s="219"/>
      <c r="W115" s="219"/>
    </row>
    <row r="116" spans="3:23">
      <c r="C116" t="s">
        <v>83</v>
      </c>
      <c r="D116" t="s">
        <v>4340</v>
      </c>
      <c r="E116" s="218">
        <v>44979</v>
      </c>
      <c r="F116" s="1760">
        <f>'Sheet1 (2)'!M7</f>
        <v>99589</v>
      </c>
      <c r="G116">
        <v>15</v>
      </c>
      <c r="H116" s="1760">
        <f t="shared" si="15"/>
        <v>4979.4500000000007</v>
      </c>
      <c r="I116" s="1760">
        <f t="shared" si="16"/>
        <v>94609.55</v>
      </c>
      <c r="J116" s="1852">
        <v>6.3299999999999995E-2</v>
      </c>
      <c r="K116">
        <f t="shared" si="17"/>
        <v>37</v>
      </c>
      <c r="L116" s="1760">
        <f t="shared" si="18"/>
        <v>639.03396410958896</v>
      </c>
      <c r="M116" s="1760">
        <f t="shared" si="19"/>
        <v>98949.966035890408</v>
      </c>
      <c r="N116"/>
      <c r="P116" t="s">
        <v>4255</v>
      </c>
      <c r="R116" s="2147"/>
      <c r="S116" s="2147"/>
      <c r="T116" s="523"/>
      <c r="U116" s="219"/>
      <c r="V116" s="219"/>
      <c r="W116" s="219"/>
    </row>
    <row r="117" spans="3:23">
      <c r="C117" t="s">
        <v>83</v>
      </c>
      <c r="D117" t="s">
        <v>4340</v>
      </c>
      <c r="E117" s="218">
        <v>44950</v>
      </c>
      <c r="F117" s="1760">
        <f>'Sheet1 (2)'!M8</f>
        <v>209912.62</v>
      </c>
      <c r="G117">
        <v>15</v>
      </c>
      <c r="H117" s="1760">
        <f t="shared" si="15"/>
        <v>10495.631000000001</v>
      </c>
      <c r="I117" s="1760">
        <f t="shared" si="16"/>
        <v>199416.989</v>
      </c>
      <c r="J117" s="1852">
        <v>6.3299999999999995E-2</v>
      </c>
      <c r="K117">
        <f t="shared" si="17"/>
        <v>66</v>
      </c>
      <c r="L117" s="1760">
        <f t="shared" si="18"/>
        <v>2402.6655995506844</v>
      </c>
      <c r="M117" s="1760">
        <f t="shared" si="19"/>
        <v>207509.95440044932</v>
      </c>
      <c r="N117"/>
      <c r="P117" t="s">
        <v>4255</v>
      </c>
      <c r="R117" s="2147"/>
      <c r="S117" s="2147"/>
      <c r="T117" s="523"/>
      <c r="U117" s="219"/>
      <c r="V117" s="219"/>
      <c r="W117" s="219"/>
    </row>
    <row r="118" spans="3:23">
      <c r="C118" t="s">
        <v>83</v>
      </c>
      <c r="D118" t="s">
        <v>4340</v>
      </c>
      <c r="E118" s="218">
        <v>44939</v>
      </c>
      <c r="F118" s="1760">
        <f>'Sheet1 (2)'!M9</f>
        <v>150083.78</v>
      </c>
      <c r="G118">
        <v>15</v>
      </c>
      <c r="H118" s="1760">
        <f t="shared" si="15"/>
        <v>7504.1890000000003</v>
      </c>
      <c r="I118" s="1760">
        <f t="shared" si="16"/>
        <v>142579.59099999999</v>
      </c>
      <c r="J118" s="1852">
        <v>6.3299999999999995E-2</v>
      </c>
      <c r="K118">
        <f t="shared" si="17"/>
        <v>77</v>
      </c>
      <c r="L118" s="1760">
        <f t="shared" si="18"/>
        <v>2004.1735673917808</v>
      </c>
      <c r="M118" s="1760">
        <f t="shared" si="19"/>
        <v>148079.60643260821</v>
      </c>
      <c r="N118"/>
      <c r="P118" t="s">
        <v>4255</v>
      </c>
      <c r="R118" s="2147"/>
      <c r="S118" s="2147"/>
      <c r="T118" s="523"/>
      <c r="U118" s="219"/>
      <c r="V118" s="219"/>
      <c r="W118" s="219"/>
    </row>
    <row r="119" spans="3:23">
      <c r="C119" t="s">
        <v>83</v>
      </c>
      <c r="D119" t="s">
        <v>4340</v>
      </c>
      <c r="E119" s="218">
        <v>44912</v>
      </c>
      <c r="F119" s="1760">
        <f>'Sheet1 (2)'!M10</f>
        <v>276562.21999999997</v>
      </c>
      <c r="G119">
        <v>15</v>
      </c>
      <c r="H119" s="1760">
        <f t="shared" si="15"/>
        <v>13828.110999999999</v>
      </c>
      <c r="I119" s="1760">
        <f t="shared" si="16"/>
        <v>262734.109</v>
      </c>
      <c r="J119" s="1852">
        <v>6.3299999999999995E-2</v>
      </c>
      <c r="K119">
        <f t="shared" si="17"/>
        <v>104</v>
      </c>
      <c r="L119" s="1760">
        <f t="shared" si="18"/>
        <v>4988.1216622027387</v>
      </c>
      <c r="M119" s="1760">
        <f t="shared" si="19"/>
        <v>271574.09833779722</v>
      </c>
      <c r="N119"/>
      <c r="P119" t="s">
        <v>4255</v>
      </c>
      <c r="R119" s="2147"/>
      <c r="S119" s="2147"/>
      <c r="T119" s="523"/>
      <c r="U119" s="219"/>
      <c r="V119" s="219"/>
      <c r="W119" s="219"/>
    </row>
    <row r="120" spans="3:23">
      <c r="C120" t="s">
        <v>83</v>
      </c>
      <c r="D120" t="s">
        <v>4340</v>
      </c>
      <c r="E120" s="218">
        <v>44855</v>
      </c>
      <c r="F120" s="1760">
        <f>'Sheet1 (2)'!M11</f>
        <v>124148</v>
      </c>
      <c r="G120">
        <v>15</v>
      </c>
      <c r="H120" s="1760">
        <f t="shared" si="15"/>
        <v>6207.4000000000005</v>
      </c>
      <c r="I120" s="1760">
        <f t="shared" si="16"/>
        <v>117940.6</v>
      </c>
      <c r="J120" s="1852">
        <v>6.3299999999999995E-2</v>
      </c>
      <c r="K120">
        <f t="shared" si="17"/>
        <v>161</v>
      </c>
      <c r="L120" s="1760">
        <f t="shared" si="18"/>
        <v>3466.3822257534243</v>
      </c>
      <c r="M120" s="1760">
        <f t="shared" si="19"/>
        <v>120681.61777424658</v>
      </c>
      <c r="N120"/>
      <c r="P120" t="s">
        <v>4255</v>
      </c>
      <c r="R120" s="2147"/>
      <c r="S120" s="2147"/>
      <c r="T120" s="523"/>
      <c r="U120" s="219"/>
      <c r="V120" s="219"/>
      <c r="W120" s="219"/>
    </row>
    <row r="121" spans="3:23">
      <c r="C121" t="s">
        <v>83</v>
      </c>
      <c r="D121" t="s">
        <v>4340</v>
      </c>
      <c r="E121" s="218">
        <v>44854</v>
      </c>
      <c r="F121" s="1760">
        <f>'Sheet1 (2)'!M12</f>
        <v>462841.62</v>
      </c>
      <c r="G121">
        <v>15</v>
      </c>
      <c r="H121" s="1760">
        <f t="shared" si="15"/>
        <v>23142.081000000002</v>
      </c>
      <c r="I121" s="1760">
        <f t="shared" si="16"/>
        <v>439699.53899999999</v>
      </c>
      <c r="J121" s="1852">
        <v>6.3299999999999995E-2</v>
      </c>
      <c r="K121">
        <f t="shared" si="17"/>
        <v>162</v>
      </c>
      <c r="L121" s="1760">
        <f t="shared" si="18"/>
        <v>13003.440209457533</v>
      </c>
      <c r="M121" s="1760">
        <f t="shared" si="19"/>
        <v>449838.17979054246</v>
      </c>
      <c r="N121"/>
      <c r="P121" t="s">
        <v>4255</v>
      </c>
      <c r="R121" s="2147"/>
      <c r="S121" s="2147"/>
      <c r="T121" s="523"/>
      <c r="U121" s="219"/>
      <c r="V121" s="219"/>
      <c r="W121" s="219"/>
    </row>
    <row r="122" spans="3:23">
      <c r="C122" t="s">
        <v>83</v>
      </c>
      <c r="D122" t="s">
        <v>4340</v>
      </c>
      <c r="E122" s="218">
        <v>44811</v>
      </c>
      <c r="F122" s="1760">
        <f>'Sheet1 (2)'!M13</f>
        <v>420914.2</v>
      </c>
      <c r="G122">
        <v>15</v>
      </c>
      <c r="H122" s="1760">
        <f t="shared" si="15"/>
        <v>21045.710000000003</v>
      </c>
      <c r="I122" s="1760">
        <f t="shared" si="16"/>
        <v>399868.49</v>
      </c>
      <c r="J122" s="1852">
        <v>6.3299999999999995E-2</v>
      </c>
      <c r="K122">
        <f t="shared" si="17"/>
        <v>205</v>
      </c>
      <c r="L122" s="1760">
        <f t="shared" si="18"/>
        <v>14964.36470219178</v>
      </c>
      <c r="M122" s="1760">
        <f t="shared" si="19"/>
        <v>405949.83529780823</v>
      </c>
      <c r="N122"/>
      <c r="P122" t="s">
        <v>4254</v>
      </c>
      <c r="R122" s="2147"/>
      <c r="S122" s="2147"/>
      <c r="T122" s="523"/>
      <c r="U122" s="219"/>
      <c r="V122" s="219"/>
      <c r="W122" s="219"/>
    </row>
    <row r="123" spans="3:23">
      <c r="C123" t="s">
        <v>83</v>
      </c>
      <c r="D123" t="s">
        <v>4340</v>
      </c>
      <c r="E123" s="218">
        <v>44751</v>
      </c>
      <c r="F123" s="1760">
        <f>'Sheet1 (2)'!M14</f>
        <v>597253.56000000006</v>
      </c>
      <c r="G123">
        <v>15</v>
      </c>
      <c r="H123" s="1760">
        <f t="shared" si="15"/>
        <v>29862.678000000004</v>
      </c>
      <c r="I123" s="1760">
        <f t="shared" si="16"/>
        <v>567390.8820000001</v>
      </c>
      <c r="J123" s="1852">
        <v>6.3299999999999995E-2</v>
      </c>
      <c r="K123">
        <f t="shared" si="17"/>
        <v>265</v>
      </c>
      <c r="L123" s="1760">
        <f t="shared" si="18"/>
        <v>27448.300937589043</v>
      </c>
      <c r="M123" s="1760">
        <f t="shared" si="19"/>
        <v>569805.25906241103</v>
      </c>
      <c r="N123"/>
      <c r="P123" t="s">
        <v>4254</v>
      </c>
      <c r="R123" s="2147"/>
      <c r="S123" s="2147"/>
      <c r="T123" s="523"/>
      <c r="U123" s="219"/>
      <c r="V123" s="219"/>
      <c r="W123" s="219"/>
    </row>
    <row r="124" spans="3:23">
      <c r="C124" t="s">
        <v>83</v>
      </c>
      <c r="D124" t="s">
        <v>4340</v>
      </c>
      <c r="E124" s="218">
        <v>44767</v>
      </c>
      <c r="F124" s="1760">
        <f>'Sheet1 (2)'!M15</f>
        <v>548668.56000000006</v>
      </c>
      <c r="G124">
        <v>15</v>
      </c>
      <c r="H124" s="1760">
        <f t="shared" si="15"/>
        <v>27433.428000000004</v>
      </c>
      <c r="I124" s="1760">
        <f t="shared" si="16"/>
        <v>521235.13200000004</v>
      </c>
      <c r="J124" s="1852">
        <v>6.3299999999999995E-2</v>
      </c>
      <c r="K124">
        <f t="shared" si="17"/>
        <v>249</v>
      </c>
      <c r="L124" s="1760">
        <f t="shared" si="18"/>
        <v>23693.011622334245</v>
      </c>
      <c r="M124" s="1760">
        <f t="shared" si="19"/>
        <v>524975.54837766581</v>
      </c>
      <c r="N124"/>
      <c r="P124" t="s">
        <v>4254</v>
      </c>
      <c r="R124" s="2147"/>
      <c r="S124" s="2147"/>
      <c r="T124" s="523"/>
      <c r="U124" s="219"/>
      <c r="V124" s="219"/>
      <c r="W124" s="219"/>
    </row>
    <row r="125" spans="3:23">
      <c r="C125" t="s">
        <v>83</v>
      </c>
      <c r="D125" t="s">
        <v>4340</v>
      </c>
      <c r="E125" s="218">
        <v>44652</v>
      </c>
      <c r="F125" s="1760">
        <f>'Sheet1 (2)'!M16</f>
        <v>161166.9</v>
      </c>
      <c r="G125">
        <v>15</v>
      </c>
      <c r="H125" s="1760">
        <f t="shared" si="15"/>
        <v>8058.3450000000003</v>
      </c>
      <c r="I125" s="1760">
        <f t="shared" si="16"/>
        <v>153108.55499999999</v>
      </c>
      <c r="J125" s="1852">
        <v>6.3299999999999995E-2</v>
      </c>
      <c r="K125">
        <f t="shared" si="17"/>
        <v>364</v>
      </c>
      <c r="L125" s="1760">
        <f t="shared" si="18"/>
        <v>10173.914455561642</v>
      </c>
      <c r="M125" s="1760">
        <f t="shared" si="19"/>
        <v>150992.98554443836</v>
      </c>
      <c r="N125"/>
      <c r="P125" t="s">
        <v>4254</v>
      </c>
      <c r="R125" s="2147"/>
      <c r="S125" s="2147"/>
      <c r="T125" s="523"/>
      <c r="U125" s="219"/>
      <c r="V125" s="219"/>
      <c r="W125" s="219"/>
    </row>
    <row r="126" spans="3:23">
      <c r="C126" t="s">
        <v>83</v>
      </c>
      <c r="D126" t="s">
        <v>4340</v>
      </c>
      <c r="E126" s="218">
        <v>44666</v>
      </c>
      <c r="F126" s="2147">
        <f>'Sheet1 (2)'!M20</f>
        <v>21006.760000000002</v>
      </c>
      <c r="G126">
        <v>15</v>
      </c>
      <c r="H126" s="1760">
        <f t="shared" si="15"/>
        <v>1050.3380000000002</v>
      </c>
      <c r="I126" s="1760">
        <f t="shared" si="16"/>
        <v>19956.422000000002</v>
      </c>
      <c r="J126" s="1852">
        <v>6.3299999999999995E-2</v>
      </c>
      <c r="K126">
        <f t="shared" si="17"/>
        <v>350</v>
      </c>
      <c r="L126" s="1760">
        <f t="shared" si="18"/>
        <v>1275.0815556164384</v>
      </c>
      <c r="M126" s="1760">
        <f t="shared" si="19"/>
        <v>19731.678444383564</v>
      </c>
      <c r="N126"/>
      <c r="P126" t="s">
        <v>4254</v>
      </c>
      <c r="R126" s="2147"/>
      <c r="S126" s="2147"/>
      <c r="T126" s="523"/>
      <c r="U126" s="219"/>
      <c r="V126" s="219"/>
      <c r="W126" s="219"/>
    </row>
    <row r="127" spans="3:23">
      <c r="C127" t="s">
        <v>83</v>
      </c>
      <c r="D127" t="s">
        <v>4340</v>
      </c>
      <c r="E127" s="218">
        <v>44695</v>
      </c>
      <c r="F127" s="2147">
        <f>'Sheet1 (2)'!M21</f>
        <v>13794.04</v>
      </c>
      <c r="G127">
        <v>15</v>
      </c>
      <c r="H127" s="1760">
        <f t="shared" si="15"/>
        <v>689.70200000000011</v>
      </c>
      <c r="I127" s="1760">
        <f t="shared" si="16"/>
        <v>13104.338000000002</v>
      </c>
      <c r="J127" s="1852">
        <v>6.3299999999999995E-2</v>
      </c>
      <c r="K127">
        <f t="shared" si="17"/>
        <v>321</v>
      </c>
      <c r="L127" s="1760">
        <f t="shared" si="18"/>
        <v>767.90475882739725</v>
      </c>
      <c r="M127" s="1760">
        <f t="shared" si="19"/>
        <v>13026.135241172604</v>
      </c>
      <c r="N127"/>
      <c r="P127" t="s">
        <v>4254</v>
      </c>
      <c r="R127" s="2147"/>
      <c r="S127" s="2147"/>
      <c r="T127" s="523"/>
      <c r="U127" s="219"/>
      <c r="V127" s="219"/>
      <c r="W127" s="219"/>
    </row>
    <row r="128" spans="3:23">
      <c r="C128" t="s">
        <v>83</v>
      </c>
      <c r="D128" t="s">
        <v>4340</v>
      </c>
      <c r="E128" s="218">
        <v>44704</v>
      </c>
      <c r="F128" s="2147">
        <f>'Sheet1 (2)'!M22</f>
        <v>66991.540000000008</v>
      </c>
      <c r="G128">
        <v>15</v>
      </c>
      <c r="H128" s="1760">
        <f t="shared" si="15"/>
        <v>3349.5770000000007</v>
      </c>
      <c r="I128" s="1760">
        <f t="shared" si="16"/>
        <v>63641.963000000011</v>
      </c>
      <c r="J128" s="1852">
        <v>6.3299999999999995E-2</v>
      </c>
      <c r="K128">
        <f t="shared" si="17"/>
        <v>312</v>
      </c>
      <c r="L128" s="1760">
        <f t="shared" si="18"/>
        <v>3624.8112832438355</v>
      </c>
      <c r="M128" s="1760">
        <f t="shared" si="19"/>
        <v>63366.728716756174</v>
      </c>
      <c r="N128"/>
      <c r="P128" t="s">
        <v>4254</v>
      </c>
      <c r="R128" s="2147"/>
      <c r="S128" s="2147"/>
      <c r="T128" s="523"/>
      <c r="U128" s="219"/>
      <c r="V128" s="219"/>
      <c r="W128" s="219"/>
    </row>
    <row r="129" spans="3:23">
      <c r="C129" t="s">
        <v>83</v>
      </c>
      <c r="D129" t="s">
        <v>4340</v>
      </c>
      <c r="E129" s="218">
        <v>44794</v>
      </c>
      <c r="F129" s="2147">
        <f>'Sheet1 (2)'!M23</f>
        <v>39446.1</v>
      </c>
      <c r="G129">
        <v>15</v>
      </c>
      <c r="H129" s="1760">
        <f t="shared" si="15"/>
        <v>1972.3050000000001</v>
      </c>
      <c r="I129" s="1760">
        <f t="shared" si="16"/>
        <v>37473.794999999998</v>
      </c>
      <c r="J129" s="1852">
        <v>6.3299999999999995E-2</v>
      </c>
      <c r="K129">
        <f t="shared" si="17"/>
        <v>222</v>
      </c>
      <c r="L129" s="1760">
        <f t="shared" si="18"/>
        <v>1518.6856571506846</v>
      </c>
      <c r="M129" s="1760">
        <f t="shared" si="19"/>
        <v>37927.414342849312</v>
      </c>
      <c r="N129"/>
      <c r="P129" t="s">
        <v>4254</v>
      </c>
      <c r="R129" s="2147"/>
      <c r="S129" s="2147"/>
      <c r="T129" s="523"/>
      <c r="U129" s="219"/>
      <c r="V129" s="219"/>
      <c r="W129" s="219"/>
    </row>
    <row r="130" spans="3:23">
      <c r="C130" t="s">
        <v>83</v>
      </c>
      <c r="D130" t="s">
        <v>4340</v>
      </c>
      <c r="E130" s="218">
        <v>44830</v>
      </c>
      <c r="F130" s="2147">
        <f>'Sheet1 (2)'!M24</f>
        <v>94993.72</v>
      </c>
      <c r="G130">
        <v>15</v>
      </c>
      <c r="H130" s="1760">
        <f t="shared" si="15"/>
        <v>4749.6860000000006</v>
      </c>
      <c r="I130" s="1760">
        <f t="shared" si="16"/>
        <v>90244.034</v>
      </c>
      <c r="J130" s="1852">
        <v>6.3299999999999995E-2</v>
      </c>
      <c r="K130">
        <f t="shared" si="17"/>
        <v>186</v>
      </c>
      <c r="L130" s="1760">
        <f t="shared" si="18"/>
        <v>3064.2111247561643</v>
      </c>
      <c r="M130" s="1760">
        <f t="shared" si="19"/>
        <v>91929.508875243831</v>
      </c>
      <c r="N130"/>
      <c r="P130" t="s">
        <v>4254</v>
      </c>
      <c r="R130" s="2147"/>
      <c r="S130" s="2147"/>
      <c r="T130" s="523"/>
      <c r="U130" s="219"/>
      <c r="V130" s="219"/>
      <c r="W130" s="219"/>
    </row>
    <row r="131" spans="3:23">
      <c r="C131" t="s">
        <v>83</v>
      </c>
      <c r="D131" t="s">
        <v>4340</v>
      </c>
      <c r="E131" s="218">
        <v>44926</v>
      </c>
      <c r="F131" s="2147">
        <f>'Sheet1 (2)'!M25</f>
        <v>24688.560000000001</v>
      </c>
      <c r="G131">
        <v>15</v>
      </c>
      <c r="H131" s="1760">
        <f t="shared" si="15"/>
        <v>1234.4280000000001</v>
      </c>
      <c r="I131" s="1760">
        <f t="shared" si="16"/>
        <v>23454.132000000001</v>
      </c>
      <c r="J131" s="1852">
        <v>6.3299999999999995E-2</v>
      </c>
      <c r="K131">
        <f t="shared" si="17"/>
        <v>90</v>
      </c>
      <c r="L131" s="1760">
        <f t="shared" si="18"/>
        <v>385.34445567123282</v>
      </c>
      <c r="M131" s="1760">
        <f t="shared" si="19"/>
        <v>24303.21554432877</v>
      </c>
      <c r="N131"/>
      <c r="P131" t="s">
        <v>4255</v>
      </c>
      <c r="R131" s="2147"/>
      <c r="S131" s="2147"/>
      <c r="T131" s="523"/>
      <c r="U131" s="219"/>
      <c r="V131" s="219"/>
      <c r="W131" s="219"/>
    </row>
    <row r="132" spans="3:23">
      <c r="C132" t="s">
        <v>83</v>
      </c>
      <c r="D132" t="s">
        <v>4340</v>
      </c>
      <c r="E132" s="218">
        <v>44926</v>
      </c>
      <c r="F132" s="2147">
        <f>'Sheet1 (2)'!M26</f>
        <v>6637.9</v>
      </c>
      <c r="G132">
        <v>15</v>
      </c>
      <c r="H132" s="1760">
        <f t="shared" si="15"/>
        <v>331.89499999999998</v>
      </c>
      <c r="I132" s="1760">
        <f t="shared" si="16"/>
        <v>6306.0049999999992</v>
      </c>
      <c r="J132" s="1852">
        <v>6.3299999999999995E-2</v>
      </c>
      <c r="K132">
        <f t="shared" si="17"/>
        <v>90</v>
      </c>
      <c r="L132" s="1760">
        <f t="shared" si="18"/>
        <v>103.60579808219177</v>
      </c>
      <c r="M132" s="1760">
        <f t="shared" si="19"/>
        <v>6534.2942019178081</v>
      </c>
      <c r="N132"/>
      <c r="P132" t="s">
        <v>4255</v>
      </c>
      <c r="R132" s="2147"/>
      <c r="S132" s="2147"/>
      <c r="T132" s="523"/>
      <c r="U132" s="219"/>
      <c r="V132" s="219"/>
      <c r="W132" s="219"/>
    </row>
    <row r="133" spans="3:23">
      <c r="C133" t="s">
        <v>83</v>
      </c>
      <c r="D133" t="s">
        <v>4340</v>
      </c>
      <c r="E133" s="218">
        <v>44931</v>
      </c>
      <c r="F133" s="2147">
        <f>'Sheet1 (2)'!M27</f>
        <v>59023.6</v>
      </c>
      <c r="G133">
        <v>15</v>
      </c>
      <c r="H133" s="1760">
        <f t="shared" si="15"/>
        <v>2951.1800000000003</v>
      </c>
      <c r="I133" s="1760">
        <f t="shared" si="16"/>
        <v>56072.42</v>
      </c>
      <c r="J133" s="1852">
        <v>6.3299999999999995E-2</v>
      </c>
      <c r="K133">
        <f t="shared" si="17"/>
        <v>85</v>
      </c>
      <c r="L133" s="1760">
        <f t="shared" si="18"/>
        <v>870.07254739726022</v>
      </c>
      <c r="M133" s="1760">
        <f t="shared" si="19"/>
        <v>58153.527452602735</v>
      </c>
      <c r="N133"/>
      <c r="P133" t="s">
        <v>4255</v>
      </c>
      <c r="R133" s="2147"/>
      <c r="S133" s="2147"/>
      <c r="T133" s="523"/>
      <c r="U133" s="219"/>
      <c r="V133" s="219"/>
      <c r="W133" s="219"/>
    </row>
    <row r="134" spans="3:23">
      <c r="C134" t="s">
        <v>83</v>
      </c>
      <c r="D134" t="s">
        <v>4340</v>
      </c>
      <c r="E134" s="218">
        <v>44945</v>
      </c>
      <c r="F134" s="2147">
        <f>'Sheet1 (2)'!M28</f>
        <v>44658.020000000004</v>
      </c>
      <c r="G134">
        <v>15</v>
      </c>
      <c r="H134" s="1760">
        <f t="shared" si="15"/>
        <v>2232.9010000000003</v>
      </c>
      <c r="I134" s="1760">
        <f t="shared" si="16"/>
        <v>42425.119000000006</v>
      </c>
      <c r="J134" s="1852">
        <v>6.3299999999999995E-2</v>
      </c>
      <c r="K134">
        <f t="shared" si="17"/>
        <v>71</v>
      </c>
      <c r="L134" s="1760">
        <f t="shared" si="18"/>
        <v>549.88092955068498</v>
      </c>
      <c r="M134" s="1760">
        <f t="shared" si="19"/>
        <v>44108.139070449317</v>
      </c>
      <c r="N134"/>
      <c r="P134" t="s">
        <v>4255</v>
      </c>
      <c r="R134" s="2147"/>
      <c r="S134" s="2147"/>
      <c r="T134" s="523"/>
      <c r="U134" s="219"/>
      <c r="V134" s="219"/>
      <c r="W134" s="219"/>
    </row>
    <row r="135" spans="3:23">
      <c r="C135" t="s">
        <v>83</v>
      </c>
      <c r="D135" t="s">
        <v>4340</v>
      </c>
      <c r="E135" s="218">
        <v>44946</v>
      </c>
      <c r="F135" s="2147">
        <f>'Sheet1 (2)'!M29</f>
        <v>56261.020000000004</v>
      </c>
      <c r="G135">
        <v>15</v>
      </c>
      <c r="H135" s="1760">
        <f t="shared" si="15"/>
        <v>2813.0510000000004</v>
      </c>
      <c r="I135" s="1760">
        <f t="shared" si="16"/>
        <v>53447.969000000005</v>
      </c>
      <c r="J135" s="1852">
        <v>6.3299999999999995E-2</v>
      </c>
      <c r="K135">
        <f t="shared" si="17"/>
        <v>70</v>
      </c>
      <c r="L135" s="1760">
        <f t="shared" si="18"/>
        <v>682.99336882191778</v>
      </c>
      <c r="M135" s="1760">
        <f t="shared" si="19"/>
        <v>55578.026631178087</v>
      </c>
      <c r="N135"/>
      <c r="P135" t="s">
        <v>4255</v>
      </c>
      <c r="R135" s="2147"/>
      <c r="S135" s="2147"/>
      <c r="T135" s="523"/>
      <c r="U135" s="219"/>
      <c r="V135" s="219"/>
      <c r="W135" s="219"/>
    </row>
    <row r="136" spans="3:23">
      <c r="C136" t="s">
        <v>83</v>
      </c>
      <c r="D136" t="s">
        <v>4340</v>
      </c>
      <c r="E136" s="218">
        <v>44974</v>
      </c>
      <c r="F136" s="2147">
        <f>'Sheet1 (2)'!M30</f>
        <v>28444.16</v>
      </c>
      <c r="G136">
        <v>15</v>
      </c>
      <c r="H136" s="1760">
        <f t="shared" si="15"/>
        <v>1422.2080000000001</v>
      </c>
      <c r="I136" s="1760">
        <f t="shared" si="16"/>
        <v>27021.952000000001</v>
      </c>
      <c r="J136" s="1852">
        <v>6.3299999999999995E-2</v>
      </c>
      <c r="K136">
        <f t="shared" si="17"/>
        <v>42</v>
      </c>
      <c r="L136" s="1760">
        <f t="shared" si="18"/>
        <v>207.18258568767124</v>
      </c>
      <c r="M136" s="1760">
        <f t="shared" si="19"/>
        <v>28236.977414312329</v>
      </c>
      <c r="N136"/>
      <c r="P136" t="s">
        <v>4255</v>
      </c>
      <c r="R136" s="2147"/>
      <c r="S136" s="2147"/>
      <c r="T136" s="523"/>
      <c r="U136" s="219"/>
      <c r="V136" s="219"/>
      <c r="W136" s="219"/>
    </row>
    <row r="137" spans="3:23">
      <c r="C137" t="s">
        <v>83</v>
      </c>
      <c r="D137" t="s">
        <v>4340</v>
      </c>
      <c r="E137" s="218">
        <v>44982</v>
      </c>
      <c r="F137" s="2147">
        <f>'Sheet1 (2)'!M31</f>
        <v>53313.120000000003</v>
      </c>
      <c r="G137">
        <v>15</v>
      </c>
      <c r="H137" s="1760">
        <f t="shared" si="15"/>
        <v>2665.6560000000004</v>
      </c>
      <c r="I137" s="1760">
        <f t="shared" si="16"/>
        <v>50647.464</v>
      </c>
      <c r="J137" s="1852">
        <v>6.3299999999999995E-2</v>
      </c>
      <c r="K137">
        <f t="shared" si="17"/>
        <v>34</v>
      </c>
      <c r="L137" s="1760">
        <f t="shared" si="18"/>
        <v>314.35752565479453</v>
      </c>
      <c r="M137" s="1760">
        <f t="shared" si="19"/>
        <v>52998.762474345211</v>
      </c>
      <c r="N137"/>
      <c r="P137" t="s">
        <v>4255</v>
      </c>
      <c r="R137" s="2147"/>
      <c r="S137" s="2147"/>
      <c r="T137" s="523"/>
      <c r="U137" s="219"/>
      <c r="V137" s="219"/>
      <c r="W137" s="219"/>
    </row>
    <row r="138" spans="3:23">
      <c r="C138" t="s">
        <v>83</v>
      </c>
      <c r="D138" t="s">
        <v>4340</v>
      </c>
      <c r="E138" s="218">
        <v>44988</v>
      </c>
      <c r="F138" s="2147">
        <f>'Sheet1 (2)'!M32</f>
        <v>55265.54</v>
      </c>
      <c r="G138">
        <v>15</v>
      </c>
      <c r="H138" s="1760">
        <f t="shared" si="15"/>
        <v>2763.277</v>
      </c>
      <c r="I138" s="1760">
        <f t="shared" si="16"/>
        <v>52502.262999999999</v>
      </c>
      <c r="J138" s="1852">
        <v>6.3299999999999995E-2</v>
      </c>
      <c r="K138">
        <f t="shared" si="17"/>
        <v>28</v>
      </c>
      <c r="L138" s="1760">
        <f t="shared" si="18"/>
        <v>268.36340574246577</v>
      </c>
      <c r="M138" s="1760">
        <f t="shared" si="19"/>
        <v>54997.176594257537</v>
      </c>
      <c r="N138"/>
      <c r="P138" t="s">
        <v>4255</v>
      </c>
      <c r="R138" s="2147"/>
      <c r="S138" s="2147"/>
      <c r="T138" s="523"/>
      <c r="U138" s="219"/>
      <c r="V138" s="219"/>
      <c r="W138" s="219"/>
    </row>
    <row r="139" spans="3:23">
      <c r="C139" t="s">
        <v>83</v>
      </c>
      <c r="D139" t="s">
        <v>4340</v>
      </c>
      <c r="E139" s="218">
        <v>45013</v>
      </c>
      <c r="F139" s="2147">
        <f>'Sheet1 (2)'!M33</f>
        <v>6765</v>
      </c>
      <c r="G139">
        <v>15</v>
      </c>
      <c r="H139" s="1760">
        <f t="shared" si="15"/>
        <v>338.25</v>
      </c>
      <c r="I139" s="1760">
        <f t="shared" si="16"/>
        <v>6426.75</v>
      </c>
      <c r="J139" s="1852">
        <v>6.3299999999999995E-2</v>
      </c>
      <c r="K139">
        <f t="shared" si="17"/>
        <v>3</v>
      </c>
      <c r="L139" s="1760">
        <f t="shared" si="18"/>
        <v>3.5196534246575339</v>
      </c>
      <c r="M139" s="1760">
        <f t="shared" si="19"/>
        <v>6761.4803465753421</v>
      </c>
      <c r="N139"/>
      <c r="P139" t="s">
        <v>4255</v>
      </c>
      <c r="R139" s="2147"/>
      <c r="S139" s="2147"/>
      <c r="T139" s="523"/>
      <c r="U139" s="219"/>
      <c r="V139" s="219"/>
      <c r="W139" s="219"/>
    </row>
    <row r="140" spans="3:23">
      <c r="C140" t="s">
        <v>83</v>
      </c>
      <c r="D140" t="s">
        <v>4340</v>
      </c>
      <c r="E140" s="218">
        <v>44796</v>
      </c>
      <c r="F140" s="2147">
        <f>'Sheet1 (2)'!M34</f>
        <v>126469.42</v>
      </c>
      <c r="G140">
        <v>15</v>
      </c>
      <c r="H140" s="1760">
        <f t="shared" si="15"/>
        <v>6323.4710000000005</v>
      </c>
      <c r="I140" s="1760">
        <f t="shared" si="16"/>
        <v>120145.94899999999</v>
      </c>
      <c r="J140" s="1852">
        <v>6.3299999999999995E-2</v>
      </c>
      <c r="K140">
        <f t="shared" si="17"/>
        <v>220</v>
      </c>
      <c r="L140" s="1760">
        <f t="shared" si="18"/>
        <v>4825.2414874520546</v>
      </c>
      <c r="M140" s="1760">
        <f t="shared" si="19"/>
        <v>121644.17851254795</v>
      </c>
      <c r="N140"/>
      <c r="P140" t="s">
        <v>4254</v>
      </c>
      <c r="R140" s="2147"/>
      <c r="S140" s="2147"/>
      <c r="T140" s="523"/>
      <c r="U140" s="219"/>
      <c r="V140" s="219"/>
      <c r="W140" s="219"/>
    </row>
    <row r="141" spans="3:23">
      <c r="C141" t="s">
        <v>83</v>
      </c>
      <c r="D141" t="s">
        <v>4340</v>
      </c>
      <c r="E141" s="218">
        <v>44796</v>
      </c>
      <c r="F141" s="2147">
        <f>'Sheet1 (2)'!M35</f>
        <v>150945.60000000001</v>
      </c>
      <c r="G141">
        <v>15</v>
      </c>
      <c r="H141" s="1760">
        <f t="shared" si="15"/>
        <v>7547.2800000000007</v>
      </c>
      <c r="I141" s="1760">
        <f t="shared" si="16"/>
        <v>143398.32</v>
      </c>
      <c r="J141" s="1852">
        <v>6.3299999999999995E-2</v>
      </c>
      <c r="K141">
        <f t="shared" si="17"/>
        <v>220</v>
      </c>
      <c r="L141" s="1760">
        <f t="shared" si="18"/>
        <v>5759.0915769863022</v>
      </c>
      <c r="M141" s="1760">
        <f t="shared" si="19"/>
        <v>145186.5084230137</v>
      </c>
      <c r="N141"/>
      <c r="P141" t="s">
        <v>4254</v>
      </c>
      <c r="R141" s="2147"/>
      <c r="S141" s="2147"/>
      <c r="T141" s="523"/>
      <c r="U141" s="219"/>
      <c r="V141" s="219"/>
      <c r="W141" s="219"/>
    </row>
    <row r="142" spans="3:23">
      <c r="C142" t="s">
        <v>83</v>
      </c>
      <c r="D142" t="s">
        <v>4340</v>
      </c>
      <c r="E142" s="218">
        <v>44818</v>
      </c>
      <c r="F142" s="2147">
        <f>'Sheet1 (2)'!M36</f>
        <v>146591.4</v>
      </c>
      <c r="G142">
        <v>15</v>
      </c>
      <c r="H142" s="1760">
        <f t="shared" si="15"/>
        <v>7329.57</v>
      </c>
      <c r="I142" s="1760">
        <f t="shared" si="16"/>
        <v>139261.82999999999</v>
      </c>
      <c r="J142" s="1852">
        <v>6.3299999999999995E-2</v>
      </c>
      <c r="K142">
        <f t="shared" si="17"/>
        <v>198</v>
      </c>
      <c r="L142" s="1760">
        <f t="shared" si="18"/>
        <v>5033.6675418082195</v>
      </c>
      <c r="M142" s="1760">
        <f t="shared" si="19"/>
        <v>141557.73245819178</v>
      </c>
      <c r="N142"/>
      <c r="P142" t="s">
        <v>4254</v>
      </c>
      <c r="R142" s="2147"/>
      <c r="S142" s="2147"/>
      <c r="T142" s="523"/>
      <c r="U142" s="219"/>
      <c r="V142" s="219"/>
      <c r="W142" s="219"/>
    </row>
    <row r="143" spans="3:23">
      <c r="C143" t="s">
        <v>83</v>
      </c>
      <c r="D143" t="s">
        <v>4340</v>
      </c>
      <c r="E143" s="218">
        <v>44991</v>
      </c>
      <c r="F143" s="2147">
        <f>'Sheet1 (2)'!M37</f>
        <v>81994.260000000009</v>
      </c>
      <c r="G143">
        <v>15</v>
      </c>
      <c r="H143" s="1760">
        <f t="shared" si="15"/>
        <v>4099.7130000000006</v>
      </c>
      <c r="I143" s="1760">
        <f t="shared" si="16"/>
        <v>77894.547000000006</v>
      </c>
      <c r="J143" s="1852">
        <v>6.3299999999999995E-2</v>
      </c>
      <c r="K143">
        <f t="shared" si="17"/>
        <v>25</v>
      </c>
      <c r="L143" s="1760">
        <f t="shared" si="18"/>
        <v>355.49566150684927</v>
      </c>
      <c r="M143" s="1760">
        <f t="shared" si="19"/>
        <v>81638.764338493158</v>
      </c>
      <c r="N143"/>
      <c r="P143" t="s">
        <v>4255</v>
      </c>
      <c r="R143" s="2147"/>
      <c r="S143" s="2147"/>
      <c r="T143" s="523"/>
      <c r="U143" s="219"/>
      <c r="V143" s="219"/>
      <c r="W143" s="219"/>
    </row>
    <row r="144" spans="3:23">
      <c r="E144" s="218"/>
      <c r="H144" s="1760"/>
      <c r="I144" s="1760"/>
      <c r="L144" s="1760"/>
      <c r="M144" s="1760"/>
      <c r="N144"/>
      <c r="R144" s="2147"/>
      <c r="S144" s="2147"/>
      <c r="T144" s="523"/>
      <c r="U144" s="219"/>
      <c r="V144" s="219"/>
      <c r="W144" s="219"/>
    </row>
    <row r="145" spans="1:23">
      <c r="E145" s="218"/>
      <c r="H145" s="1760"/>
      <c r="I145" s="1760"/>
      <c r="L145" s="1760"/>
      <c r="M145" s="1760"/>
      <c r="N145"/>
      <c r="R145" s="2147"/>
      <c r="S145" s="2147"/>
      <c r="T145" s="523"/>
      <c r="U145" s="219"/>
      <c r="V145" s="219"/>
      <c r="W145" s="219"/>
    </row>
    <row r="146" spans="1:23">
      <c r="E146" s="218"/>
      <c r="H146" s="1760"/>
      <c r="I146" s="1760"/>
      <c r="L146" s="1760"/>
      <c r="M146" s="1760"/>
      <c r="N146"/>
      <c r="R146" s="2147"/>
      <c r="S146" s="2147"/>
      <c r="T146" s="523"/>
      <c r="U146" s="219"/>
      <c r="V146" s="219"/>
      <c r="W146" s="219"/>
    </row>
    <row r="147" spans="1:23">
      <c r="N147"/>
      <c r="R147" s="2147"/>
      <c r="S147" s="2147"/>
    </row>
    <row r="148" spans="1:23">
      <c r="C148" t="s">
        <v>4154</v>
      </c>
      <c r="D148" t="s">
        <v>3057</v>
      </c>
      <c r="E148" s="218">
        <v>44841</v>
      </c>
      <c r="F148" s="1760">
        <v>1050000</v>
      </c>
      <c r="G148">
        <v>8</v>
      </c>
      <c r="H148" s="1760">
        <f t="shared" ref="H148:H150" si="20">F148*5%</f>
        <v>52500</v>
      </c>
      <c r="I148" s="1760">
        <f t="shared" ref="I148:I150" si="21">F148-H148</f>
        <v>997500</v>
      </c>
      <c r="J148" s="1852">
        <v>0.1188</v>
      </c>
      <c r="K148">
        <f t="shared" ref="K148:K150" si="22">$M$1-E148</f>
        <v>175</v>
      </c>
      <c r="L148" s="1760">
        <f t="shared" ref="L148:L150" si="23">F148*J148*K148/365</f>
        <v>59806.849315068495</v>
      </c>
      <c r="M148" s="1760">
        <f t="shared" ref="M148:M150" si="24">F148-L148</f>
        <v>990193.15068493155</v>
      </c>
      <c r="N148"/>
      <c r="P148" t="s">
        <v>4255</v>
      </c>
      <c r="R148" s="2147"/>
      <c r="S148" s="2147">
        <v>0</v>
      </c>
    </row>
    <row r="149" spans="1:23">
      <c r="C149" t="s">
        <v>4155</v>
      </c>
      <c r="D149" t="s">
        <v>3057</v>
      </c>
      <c r="E149" s="218">
        <v>44883</v>
      </c>
      <c r="F149" s="1760">
        <v>491884</v>
      </c>
      <c r="G149">
        <v>8</v>
      </c>
      <c r="H149" s="1760">
        <f t="shared" si="20"/>
        <v>24594.2</v>
      </c>
      <c r="I149" s="1760">
        <f t="shared" si="21"/>
        <v>467289.8</v>
      </c>
      <c r="J149" s="1852">
        <v>0.1188</v>
      </c>
      <c r="K149">
        <f t="shared" si="22"/>
        <v>133</v>
      </c>
      <c r="L149" s="1760">
        <f t="shared" si="23"/>
        <v>21293.051927671233</v>
      </c>
      <c r="M149" s="1760">
        <f t="shared" si="24"/>
        <v>470590.94807232876</v>
      </c>
      <c r="N149"/>
      <c r="P149" t="s">
        <v>4255</v>
      </c>
      <c r="R149" s="2147"/>
      <c r="S149" s="2147">
        <v>137116</v>
      </c>
      <c r="U149">
        <v>137116</v>
      </c>
      <c r="V149" s="523">
        <f>U149-S149</f>
        <v>0</v>
      </c>
    </row>
    <row r="150" spans="1:23">
      <c r="C150" t="s">
        <v>4156</v>
      </c>
      <c r="D150" t="s">
        <v>3057</v>
      </c>
      <c r="E150" s="218">
        <v>44900</v>
      </c>
      <c r="F150" s="1760">
        <v>155000</v>
      </c>
      <c r="G150">
        <v>8</v>
      </c>
      <c r="H150" s="1760">
        <f t="shared" si="20"/>
        <v>7750</v>
      </c>
      <c r="I150" s="1760">
        <f t="shared" si="21"/>
        <v>147250</v>
      </c>
      <c r="J150" s="1852">
        <v>0.1188</v>
      </c>
      <c r="K150">
        <f t="shared" si="22"/>
        <v>116</v>
      </c>
      <c r="L150" s="1760">
        <f t="shared" si="23"/>
        <v>5852.1205479452055</v>
      </c>
      <c r="M150" s="1760">
        <f t="shared" si="24"/>
        <v>149147.8794520548</v>
      </c>
      <c r="N150"/>
      <c r="P150" t="s">
        <v>4255</v>
      </c>
      <c r="R150" s="2147"/>
      <c r="S150" s="371">
        <v>0</v>
      </c>
      <c r="T150" s="523">
        <f>SUM(S148:S150)</f>
        <v>137116</v>
      </c>
    </row>
    <row r="151" spans="1:23">
      <c r="N151"/>
    </row>
    <row r="152" spans="1:23">
      <c r="N152"/>
    </row>
    <row r="153" spans="1:23">
      <c r="N153"/>
    </row>
    <row r="154" spans="1:23">
      <c r="N154"/>
    </row>
    <row r="155" spans="1:23">
      <c r="N155"/>
    </row>
    <row r="156" spans="1:23">
      <c r="N156"/>
    </row>
    <row r="157" spans="1:23">
      <c r="A157" t="s">
        <v>3535</v>
      </c>
      <c r="F157"/>
      <c r="J157" s="371"/>
      <c r="M157" s="218">
        <v>45016</v>
      </c>
      <c r="N157"/>
    </row>
    <row r="158" spans="1:23">
      <c r="B158" s="254" t="s">
        <v>3467</v>
      </c>
      <c r="C158" s="254" t="s">
        <v>3468</v>
      </c>
      <c r="D158" s="254"/>
      <c r="E158" s="254" t="s">
        <v>3469</v>
      </c>
      <c r="F158" s="254" t="s">
        <v>3471</v>
      </c>
      <c r="G158" s="254" t="s">
        <v>1362</v>
      </c>
      <c r="H158" s="254" t="s">
        <v>3474</v>
      </c>
      <c r="I158" s="254" t="s">
        <v>3475</v>
      </c>
      <c r="J158" s="254" t="s">
        <v>3476</v>
      </c>
      <c r="K158" s="254" t="s">
        <v>3472</v>
      </c>
      <c r="L158" s="254" t="s">
        <v>3473</v>
      </c>
      <c r="M158" s="254" t="s">
        <v>2123</v>
      </c>
      <c r="N158" s="254" t="s">
        <v>3537</v>
      </c>
      <c r="O158" s="254" t="s">
        <v>4168</v>
      </c>
    </row>
    <row r="159" spans="1:23">
      <c r="B159" t="s">
        <v>4171</v>
      </c>
      <c r="C159" t="s">
        <v>1131</v>
      </c>
      <c r="E159" s="1858">
        <v>43922</v>
      </c>
      <c r="F159" s="1859">
        <v>1366433.55266</v>
      </c>
      <c r="G159" s="1860">
        <v>3</v>
      </c>
      <c r="H159" s="1861">
        <f t="shared" ref="H159:H183" si="25">F159*5%</f>
        <v>68321.677632999999</v>
      </c>
      <c r="I159" s="1862">
        <f t="shared" ref="I159:I183" si="26">F159-H159</f>
        <v>1298111.875027</v>
      </c>
      <c r="J159" s="1863">
        <v>0.31669999999999998</v>
      </c>
      <c r="K159" s="1860">
        <f>365</f>
        <v>365</v>
      </c>
      <c r="L159" s="1861">
        <v>13690.417046999981</v>
      </c>
      <c r="M159" s="1861">
        <f>O159-L159</f>
        <v>68321.677632999999</v>
      </c>
      <c r="N159" s="1862">
        <f>505953.75266+L159</f>
        <v>519644.16970699996</v>
      </c>
      <c r="O159" s="1864">
        <v>82012.09467999998</v>
      </c>
      <c r="P159" s="1856"/>
    </row>
    <row r="160" spans="1:23">
      <c r="B160" t="s">
        <v>3538</v>
      </c>
      <c r="C160" t="s">
        <v>1131</v>
      </c>
      <c r="E160" s="1853">
        <v>44092</v>
      </c>
      <c r="F160" s="1854">
        <v>31750</v>
      </c>
      <c r="G160" s="584">
        <v>3</v>
      </c>
      <c r="H160" s="1760">
        <f t="shared" si="25"/>
        <v>1587.5</v>
      </c>
      <c r="I160" s="618">
        <f t="shared" si="26"/>
        <v>30162.5</v>
      </c>
      <c r="J160" s="1855">
        <v>0.31669999999999998</v>
      </c>
      <c r="K160" s="584">
        <f>365</f>
        <v>365</v>
      </c>
      <c r="L160" s="1760">
        <f t="shared" ref="L160:L167" si="27">F160*J160*K160/365</f>
        <v>10055.224999999999</v>
      </c>
      <c r="M160" s="1760">
        <f t="shared" ref="M160:M182" si="28">O160-L160</f>
        <v>6562.8844748858464</v>
      </c>
      <c r="N160" s="618">
        <f>5076.66552511415+M160</f>
        <v>11639.549999999996</v>
      </c>
      <c r="O160" s="1856">
        <v>16618.109474885845</v>
      </c>
    </row>
    <row r="161" spans="2:18">
      <c r="B161" t="s">
        <v>3538</v>
      </c>
      <c r="C161" t="s">
        <v>1131</v>
      </c>
      <c r="E161" s="1853">
        <v>44094</v>
      </c>
      <c r="F161" s="1854">
        <v>26400</v>
      </c>
      <c r="G161" s="584">
        <v>3</v>
      </c>
      <c r="H161" s="1760">
        <f t="shared" si="25"/>
        <v>1320</v>
      </c>
      <c r="I161" s="618">
        <f t="shared" si="26"/>
        <v>25080</v>
      </c>
      <c r="J161" s="1855">
        <v>0.31669999999999998</v>
      </c>
      <c r="K161" s="584">
        <f>365</f>
        <v>365</v>
      </c>
      <c r="L161" s="1760">
        <f t="shared" si="27"/>
        <v>8360.8799999999992</v>
      </c>
      <c r="M161" s="1760">
        <f t="shared" si="28"/>
        <v>5500.5304109589088</v>
      </c>
      <c r="N161" s="618">
        <f>4177.70958904109+M161</f>
        <v>9678.239999999998</v>
      </c>
      <c r="O161" s="1856">
        <v>13861.410410958908</v>
      </c>
    </row>
    <row r="162" spans="2:18">
      <c r="B162" t="s">
        <v>3538</v>
      </c>
      <c r="C162" t="s">
        <v>1131</v>
      </c>
      <c r="E162" s="1853">
        <v>44190</v>
      </c>
      <c r="F162" s="1854">
        <v>88800</v>
      </c>
      <c r="G162" s="584">
        <v>3</v>
      </c>
      <c r="H162" s="1760">
        <f t="shared" si="25"/>
        <v>4440</v>
      </c>
      <c r="I162" s="618">
        <f t="shared" si="26"/>
        <v>84360</v>
      </c>
      <c r="J162" s="1855">
        <v>0.31669999999999998</v>
      </c>
      <c r="K162" s="584">
        <f>365</f>
        <v>365</v>
      </c>
      <c r="L162" s="1760">
        <f t="shared" si="27"/>
        <v>28122.960000000003</v>
      </c>
      <c r="M162" s="1760">
        <f t="shared" si="28"/>
        <v>25527.932054794514</v>
      </c>
      <c r="N162" s="618">
        <f>7026.14794520548+M162</f>
        <v>32554.079999999994</v>
      </c>
      <c r="O162" s="1856">
        <v>53650.892054794516</v>
      </c>
    </row>
    <row r="163" spans="2:18">
      <c r="B163" t="s">
        <v>3538</v>
      </c>
      <c r="C163" t="s">
        <v>1131</v>
      </c>
      <c r="E163" s="1853">
        <v>44232</v>
      </c>
      <c r="F163" s="1854">
        <v>29000</v>
      </c>
      <c r="G163" s="584">
        <v>3</v>
      </c>
      <c r="H163" s="1760">
        <f t="shared" si="25"/>
        <v>1450</v>
      </c>
      <c r="I163" s="618">
        <f t="shared" si="26"/>
        <v>27550</v>
      </c>
      <c r="J163" s="1855">
        <v>0.31669999999999998</v>
      </c>
      <c r="K163" s="584">
        <f>365</f>
        <v>365</v>
      </c>
      <c r="L163" s="1760">
        <f t="shared" si="27"/>
        <v>9184.2999999999993</v>
      </c>
      <c r="M163" s="1760">
        <f t="shared" si="28"/>
        <v>9340.7013698630144</v>
      </c>
      <c r="N163" s="618">
        <f>1290.69863013699+L163</f>
        <v>10474.99863013699</v>
      </c>
      <c r="O163" s="1856">
        <v>18525.001369863014</v>
      </c>
    </row>
    <row r="164" spans="2:18">
      <c r="B164" t="s">
        <v>3538</v>
      </c>
      <c r="C164" t="s">
        <v>1131</v>
      </c>
      <c r="E164" s="1853">
        <v>44245</v>
      </c>
      <c r="F164" s="1854">
        <v>30400</v>
      </c>
      <c r="G164" s="584">
        <v>3</v>
      </c>
      <c r="H164" s="1760">
        <f t="shared" si="25"/>
        <v>1520</v>
      </c>
      <c r="I164" s="618">
        <f t="shared" si="26"/>
        <v>28880</v>
      </c>
      <c r="J164" s="1855">
        <v>0.31669999999999998</v>
      </c>
      <c r="K164" s="584">
        <f>365</f>
        <v>365</v>
      </c>
      <c r="L164" s="1760">
        <f t="shared" si="27"/>
        <v>9627.68</v>
      </c>
      <c r="M164" s="1760">
        <f t="shared" si="28"/>
        <v>10117.35598173516</v>
      </c>
      <c r="N164" s="618">
        <f>1027.28401826484+L164</f>
        <v>10654.96401826484</v>
      </c>
      <c r="O164" s="1856">
        <v>19745.03598173516</v>
      </c>
    </row>
    <row r="165" spans="2:18">
      <c r="B165" t="s">
        <v>3538</v>
      </c>
      <c r="C165" t="s">
        <v>1131</v>
      </c>
      <c r="E165" s="1853">
        <v>44259</v>
      </c>
      <c r="F165" s="1854">
        <v>19470</v>
      </c>
      <c r="G165" s="584">
        <v>3</v>
      </c>
      <c r="H165" s="1760">
        <f t="shared" si="25"/>
        <v>973.5</v>
      </c>
      <c r="I165" s="618">
        <f t="shared" si="26"/>
        <v>18496.5</v>
      </c>
      <c r="J165" s="1855">
        <v>0.31669999999999998</v>
      </c>
      <c r="K165" s="584">
        <f>365</f>
        <v>365</v>
      </c>
      <c r="L165" s="1760">
        <f t="shared" si="27"/>
        <v>6166.1489999999994</v>
      </c>
      <c r="M165" s="1760">
        <f t="shared" si="28"/>
        <v>6704.4278219178086</v>
      </c>
      <c r="N165" s="618">
        <f>433.274178082192+L165</f>
        <v>6599.423178082191</v>
      </c>
      <c r="O165" s="1856">
        <v>12870.576821917808</v>
      </c>
    </row>
    <row r="166" spans="2:18">
      <c r="B166" t="s">
        <v>3538</v>
      </c>
      <c r="C166" t="s">
        <v>1131</v>
      </c>
      <c r="E166" s="1853">
        <v>44264</v>
      </c>
      <c r="F166" s="1854">
        <v>15989</v>
      </c>
      <c r="G166" s="584">
        <v>3</v>
      </c>
      <c r="H166" s="1760">
        <f t="shared" si="25"/>
        <v>799.45</v>
      </c>
      <c r="I166" s="618">
        <f t="shared" si="26"/>
        <v>15189.55</v>
      </c>
      <c r="J166" s="1855">
        <v>0.31669999999999998</v>
      </c>
      <c r="K166" s="584">
        <f>365</f>
        <v>365</v>
      </c>
      <c r="L166" s="1760">
        <f t="shared" si="27"/>
        <v>5063.7163</v>
      </c>
      <c r="M166" s="1760">
        <f t="shared" si="28"/>
        <v>5571.6500438324747</v>
      </c>
      <c r="N166" s="618">
        <f>289.917356167525+L166</f>
        <v>5353.6336561675253</v>
      </c>
      <c r="O166" s="1856">
        <v>10635.366343832475</v>
      </c>
      <c r="P166" s="1856"/>
    </row>
    <row r="167" spans="2:18">
      <c r="B167" t="s">
        <v>3538</v>
      </c>
      <c r="C167" t="s">
        <v>1131</v>
      </c>
      <c r="E167" s="1853">
        <v>44286</v>
      </c>
      <c r="F167" s="1854">
        <v>13280</v>
      </c>
      <c r="G167" s="584">
        <v>3</v>
      </c>
      <c r="H167" s="1760">
        <f t="shared" si="25"/>
        <v>664</v>
      </c>
      <c r="I167" s="618">
        <f t="shared" si="26"/>
        <v>12616</v>
      </c>
      <c r="J167" s="1855">
        <v>0.31669999999999998</v>
      </c>
      <c r="K167" s="584">
        <f>365</f>
        <v>365</v>
      </c>
      <c r="L167" s="1760">
        <f t="shared" si="27"/>
        <v>4205.7759999999998</v>
      </c>
      <c r="M167" s="1760">
        <f t="shared" si="28"/>
        <v>4868.4480000000003</v>
      </c>
      <c r="N167" s="618">
        <v>0</v>
      </c>
      <c r="O167" s="1856">
        <v>9074.2240000000002</v>
      </c>
      <c r="P167" s="1856"/>
    </row>
    <row r="168" spans="2:18">
      <c r="E168" s="1853"/>
      <c r="F168" s="1854"/>
      <c r="G168" s="584"/>
      <c r="H168" s="1760"/>
      <c r="I168" s="618"/>
      <c r="J168" s="1855"/>
      <c r="K168" s="584"/>
      <c r="L168" s="1760"/>
      <c r="M168" s="1760"/>
      <c r="N168" s="618"/>
      <c r="P168" s="1856"/>
    </row>
    <row r="169" spans="2:18">
      <c r="B169" t="s">
        <v>4171</v>
      </c>
      <c r="C169" t="s">
        <v>2382</v>
      </c>
      <c r="E169" s="1865">
        <v>43922</v>
      </c>
      <c r="F169" s="1859">
        <v>48260367.585716307</v>
      </c>
      <c r="G169" s="1860">
        <v>15</v>
      </c>
      <c r="H169" s="1861">
        <f t="shared" si="25"/>
        <v>2413018.3792858156</v>
      </c>
      <c r="I169" s="1862">
        <f t="shared" si="26"/>
        <v>45847349.206430495</v>
      </c>
      <c r="J169" s="1863">
        <v>6.3299999999999995E-2</v>
      </c>
      <c r="K169" s="1860">
        <f>365</f>
        <v>365</v>
      </c>
      <c r="L169" s="1861">
        <f t="shared" ref="L169:L178" si="29">F169*J169*K169/365</f>
        <v>3054881.2681758422</v>
      </c>
      <c r="M169" s="1861">
        <f t="shared" si="28"/>
        <v>35754443.057901114</v>
      </c>
      <c r="N169" s="1861">
        <f>3302608.55654645+L169</f>
        <v>6357489.8247222919</v>
      </c>
      <c r="O169" s="1864">
        <v>38809324.326076955</v>
      </c>
      <c r="Q169" s="1760"/>
    </row>
    <row r="170" spans="2:18">
      <c r="B170" t="s">
        <v>3538</v>
      </c>
      <c r="C170" t="s">
        <v>2382</v>
      </c>
      <c r="E170" s="218">
        <v>44020</v>
      </c>
      <c r="F170" s="1854">
        <v>1062000</v>
      </c>
      <c r="G170" s="584">
        <v>15</v>
      </c>
      <c r="H170" s="1760">
        <f t="shared" si="25"/>
        <v>53100</v>
      </c>
      <c r="I170" s="618">
        <f t="shared" si="26"/>
        <v>1008900</v>
      </c>
      <c r="J170" s="1855">
        <v>6.3299999999999995E-2</v>
      </c>
      <c r="K170" s="584">
        <f>365</f>
        <v>365</v>
      </c>
      <c r="L170" s="1760">
        <f t="shared" si="29"/>
        <v>67224.599999999991</v>
      </c>
      <c r="M170" s="1760">
        <f t="shared" si="28"/>
        <v>813760.1671232878</v>
      </c>
      <c r="N170" s="1760">
        <f>46566.0328767123+L170</f>
        <v>113790.63287671229</v>
      </c>
      <c r="O170" s="1856">
        <v>880984.76712328778</v>
      </c>
      <c r="Q170" s="1760"/>
    </row>
    <row r="171" spans="2:18">
      <c r="B171" t="s">
        <v>3538</v>
      </c>
      <c r="C171" t="s">
        <v>2382</v>
      </c>
      <c r="E171" s="218">
        <v>44072</v>
      </c>
      <c r="F171" s="1854">
        <v>22267</v>
      </c>
      <c r="G171" s="584">
        <v>15</v>
      </c>
      <c r="H171" s="1760">
        <f t="shared" si="25"/>
        <v>1113.3500000000001</v>
      </c>
      <c r="I171" s="618">
        <f t="shared" si="26"/>
        <v>21153.65</v>
      </c>
      <c r="J171" s="1855">
        <v>6.3299999999999995E-2</v>
      </c>
      <c r="K171" s="584">
        <f>365</f>
        <v>365</v>
      </c>
      <c r="L171" s="1760">
        <f t="shared" si="29"/>
        <v>1409.5011</v>
      </c>
      <c r="M171" s="1760">
        <f t="shared" si="28"/>
        <v>17253.014194972777</v>
      </c>
      <c r="N171" s="1760">
        <f>785.482505027219+L171</f>
        <v>2194.9836050272188</v>
      </c>
      <c r="O171" s="1856">
        <v>18662.515294972778</v>
      </c>
      <c r="Q171" s="1760"/>
      <c r="R171" s="371"/>
    </row>
    <row r="172" spans="2:18">
      <c r="B172" t="s">
        <v>3538</v>
      </c>
      <c r="C172" t="s">
        <v>2382</v>
      </c>
      <c r="E172" s="218">
        <v>44095</v>
      </c>
      <c r="F172" s="1854">
        <v>5048</v>
      </c>
      <c r="G172" s="584">
        <v>15</v>
      </c>
      <c r="H172" s="1760">
        <f t="shared" si="25"/>
        <v>252.4</v>
      </c>
      <c r="I172" s="618">
        <f t="shared" si="26"/>
        <v>4795.6000000000004</v>
      </c>
      <c r="J172" s="1855">
        <v>6.3299999999999995E-2</v>
      </c>
      <c r="K172" s="584">
        <f>365</f>
        <v>365</v>
      </c>
      <c r="L172" s="1760">
        <f t="shared" si="29"/>
        <v>319.53839999999997</v>
      </c>
      <c r="M172" s="1760">
        <f t="shared" si="28"/>
        <v>3930.4511707762554</v>
      </c>
      <c r="N172" s="1760">
        <f>158.933629223744+L172</f>
        <v>478.47202922374396</v>
      </c>
      <c r="O172" s="1856">
        <v>4249.9895707762553</v>
      </c>
      <c r="Q172" s="1856"/>
      <c r="R172" s="371"/>
    </row>
    <row r="173" spans="2:18">
      <c r="B173" t="s">
        <v>3538</v>
      </c>
      <c r="C173" t="s">
        <v>2382</v>
      </c>
      <c r="E173" s="218">
        <v>44111</v>
      </c>
      <c r="F173" s="1854">
        <v>224200</v>
      </c>
      <c r="G173" s="584">
        <v>15</v>
      </c>
      <c r="H173" s="1760">
        <f t="shared" si="25"/>
        <v>11210</v>
      </c>
      <c r="I173" s="618">
        <f t="shared" si="26"/>
        <v>212990</v>
      </c>
      <c r="J173" s="1855">
        <v>6.3299999999999995E-2</v>
      </c>
      <c r="K173" s="584">
        <f>365</f>
        <v>365</v>
      </c>
      <c r="L173" s="1760">
        <f t="shared" si="29"/>
        <v>14191.859999999999</v>
      </c>
      <c r="M173" s="1760">
        <f t="shared" si="28"/>
        <v>175156.91543378998</v>
      </c>
      <c r="N173" s="1760">
        <f>6467.50456621005+L173</f>
        <v>20659.36456621005</v>
      </c>
      <c r="O173" s="1856">
        <v>189348.77543378997</v>
      </c>
      <c r="Q173" s="371"/>
      <c r="R173" s="371"/>
    </row>
    <row r="174" spans="2:18">
      <c r="B174" t="s">
        <v>3538</v>
      </c>
      <c r="C174" t="s">
        <v>2382</v>
      </c>
      <c r="E174" s="218">
        <v>44140</v>
      </c>
      <c r="F174" s="1854">
        <v>224200</v>
      </c>
      <c r="G174" s="584">
        <v>15</v>
      </c>
      <c r="H174" s="1760">
        <f t="shared" si="25"/>
        <v>11210</v>
      </c>
      <c r="I174" s="618">
        <f t="shared" si="26"/>
        <v>212990</v>
      </c>
      <c r="J174" s="1855">
        <v>6.3299999999999995E-2</v>
      </c>
      <c r="K174" s="584">
        <f>365</f>
        <v>365</v>
      </c>
      <c r="L174" s="1760">
        <f t="shared" si="29"/>
        <v>14191.859999999999</v>
      </c>
      <c r="M174" s="1760">
        <f t="shared" si="28"/>
        <v>176228.67333333337</v>
      </c>
      <c r="N174" s="1760">
        <f>5395.74666666667+L174</f>
        <v>19587.606666666667</v>
      </c>
      <c r="O174" s="1856">
        <v>190420.53333333335</v>
      </c>
      <c r="Q174" s="371"/>
    </row>
    <row r="175" spans="2:18">
      <c r="B175" t="s">
        <v>3538</v>
      </c>
      <c r="C175" t="s">
        <v>2382</v>
      </c>
      <c r="E175" s="218">
        <v>44194</v>
      </c>
      <c r="F175" s="1854">
        <v>555190</v>
      </c>
      <c r="G175" s="584">
        <v>15</v>
      </c>
      <c r="H175" s="1760">
        <f t="shared" si="25"/>
        <v>27759.5</v>
      </c>
      <c r="I175" s="618">
        <f t="shared" si="26"/>
        <v>527430.5</v>
      </c>
      <c r="J175" s="1855">
        <v>6.3299999999999995E-2</v>
      </c>
      <c r="K175" s="584">
        <f>365</f>
        <v>365</v>
      </c>
      <c r="L175" s="1760">
        <f t="shared" si="29"/>
        <v>35143.526999999995</v>
      </c>
      <c r="M175" s="1760">
        <f t="shared" si="28"/>
        <v>441339.79786757991</v>
      </c>
      <c r="N175" s="1760">
        <f>8419.62113242009+L175</f>
        <v>43563.148132420087</v>
      </c>
      <c r="O175" s="1856">
        <v>476483.32486757991</v>
      </c>
    </row>
    <row r="176" spans="2:18">
      <c r="B176" t="s">
        <v>3538</v>
      </c>
      <c r="C176" t="s">
        <v>2382</v>
      </c>
      <c r="E176" s="218">
        <v>44272</v>
      </c>
      <c r="F176" s="1854">
        <v>359900</v>
      </c>
      <c r="G176" s="584">
        <v>15</v>
      </c>
      <c r="H176" s="1760">
        <f t="shared" si="25"/>
        <v>17995</v>
      </c>
      <c r="I176" s="618">
        <f t="shared" si="26"/>
        <v>341905</v>
      </c>
      <c r="J176" s="1855">
        <v>6.3299999999999995E-2</v>
      </c>
      <c r="K176" s="584">
        <f>365</f>
        <v>365</v>
      </c>
      <c r="L176" s="1760">
        <f t="shared" si="29"/>
        <v>22781.67</v>
      </c>
      <c r="M176" s="1760">
        <f t="shared" si="28"/>
        <v>290724.4262557078</v>
      </c>
      <c r="N176" s="1760">
        <f>830.563744292238+L176</f>
        <v>23612.233744292236</v>
      </c>
      <c r="O176" s="1856">
        <v>313506.09625570779</v>
      </c>
    </row>
    <row r="177" spans="2:17">
      <c r="B177" t="s">
        <v>3538</v>
      </c>
      <c r="C177" t="s">
        <v>2382</v>
      </c>
      <c r="E177" s="218">
        <v>44276</v>
      </c>
      <c r="F177" s="1854">
        <v>7000</v>
      </c>
      <c r="G177" s="584">
        <v>15</v>
      </c>
      <c r="H177" s="1760">
        <f t="shared" si="25"/>
        <v>350</v>
      </c>
      <c r="I177" s="618">
        <f t="shared" si="26"/>
        <v>6650</v>
      </c>
      <c r="J177" s="1855">
        <v>6.3299999999999995E-2</v>
      </c>
      <c r="K177" s="584">
        <f>365</f>
        <v>365</v>
      </c>
      <c r="L177" s="1760">
        <f t="shared" si="29"/>
        <v>443.1</v>
      </c>
      <c r="M177" s="1760">
        <f t="shared" si="28"/>
        <v>5659.1611872146113</v>
      </c>
      <c r="N177" s="1760">
        <f>11.5388127853881+L177</f>
        <v>454.6388127853881</v>
      </c>
      <c r="O177" s="1856">
        <v>6102.2611872146117</v>
      </c>
    </row>
    <row r="178" spans="2:17">
      <c r="B178" t="s">
        <v>3538</v>
      </c>
      <c r="C178" t="s">
        <v>2382</v>
      </c>
      <c r="E178" s="218">
        <v>44279</v>
      </c>
      <c r="F178" s="1854">
        <v>1395972</v>
      </c>
      <c r="G178" s="584">
        <v>15</v>
      </c>
      <c r="H178" s="1760">
        <f t="shared" si="25"/>
        <v>69798.600000000006</v>
      </c>
      <c r="I178" s="618">
        <f t="shared" si="26"/>
        <v>1326173.3999999999</v>
      </c>
      <c r="J178" s="1855">
        <v>6.3299999999999995E-2</v>
      </c>
      <c r="K178" s="584">
        <f>365</f>
        <v>365</v>
      </c>
      <c r="L178" s="1760">
        <f t="shared" si="29"/>
        <v>88365.027599999987</v>
      </c>
      <c r="M178" s="1760">
        <f t="shared" si="28"/>
        <v>1129266.1312438359</v>
      </c>
      <c r="N178" s="1760">
        <f>1610.78595616438+L178</f>
        <v>89975.813556164372</v>
      </c>
      <c r="O178" s="1856">
        <v>1217631.1588438358</v>
      </c>
    </row>
    <row r="179" spans="2:17">
      <c r="E179" s="218"/>
      <c r="F179" s="1854"/>
      <c r="G179" s="584"/>
      <c r="H179" s="1760"/>
      <c r="I179" s="618"/>
      <c r="J179" s="1855"/>
      <c r="K179" s="584"/>
      <c r="L179" s="1760"/>
      <c r="M179" s="1760"/>
    </row>
    <row r="180" spans="2:17">
      <c r="B180" t="s">
        <v>4171</v>
      </c>
      <c r="C180" t="s">
        <v>2379</v>
      </c>
      <c r="E180" s="218">
        <v>43922</v>
      </c>
      <c r="F180" s="1854">
        <v>681807</v>
      </c>
      <c r="G180" s="584">
        <v>10</v>
      </c>
      <c r="H180" s="1868">
        <f t="shared" si="25"/>
        <v>34090.35</v>
      </c>
      <c r="I180" s="618">
        <f t="shared" si="26"/>
        <v>647716.65</v>
      </c>
      <c r="J180" s="1855">
        <v>9.5000000000000001E-2</v>
      </c>
      <c r="K180" s="584">
        <f>365</f>
        <v>365</v>
      </c>
      <c r="L180" s="1868">
        <v>0</v>
      </c>
      <c r="M180" s="1868">
        <f t="shared" si="28"/>
        <v>34090</v>
      </c>
      <c r="N180" s="1868">
        <v>647717</v>
      </c>
      <c r="O180" s="1856">
        <f>F180-N180</f>
        <v>34090</v>
      </c>
    </row>
    <row r="181" spans="2:17">
      <c r="E181" s="218"/>
      <c r="F181" s="1854"/>
      <c r="G181" s="584"/>
      <c r="H181" s="1760"/>
      <c r="I181" s="618"/>
      <c r="J181" s="1855"/>
      <c r="K181" s="584"/>
      <c r="L181" s="1760"/>
      <c r="M181" s="1760"/>
    </row>
    <row r="182" spans="2:17">
      <c r="B182" t="s">
        <v>4171</v>
      </c>
      <c r="C182" t="s">
        <v>2384</v>
      </c>
      <c r="E182" s="1865">
        <v>43922</v>
      </c>
      <c r="F182" s="1859">
        <v>4630774.7530239997</v>
      </c>
      <c r="G182" s="1860">
        <v>8</v>
      </c>
      <c r="H182" s="1861">
        <f t="shared" si="25"/>
        <v>231538.7376512</v>
      </c>
      <c r="I182" s="1862">
        <f t="shared" si="26"/>
        <v>4399236.0153727997</v>
      </c>
      <c r="J182" s="1863">
        <v>0.11550000000000001</v>
      </c>
      <c r="K182" s="1860">
        <v>365</v>
      </c>
      <c r="L182" s="1861">
        <f>F182*J182*K182/365</f>
        <v>534854.48397427204</v>
      </c>
      <c r="M182" s="1861">
        <f t="shared" si="28"/>
        <v>2525309.2450017277</v>
      </c>
      <c r="N182" s="1861">
        <f>549618.753024+L182</f>
        <v>1084473.2369982721</v>
      </c>
      <c r="O182" s="1864">
        <v>3060163.7289759996</v>
      </c>
    </row>
    <row r="183" spans="2:17">
      <c r="C183" t="s">
        <v>4192</v>
      </c>
      <c r="E183" s="218"/>
      <c r="F183" s="1760">
        <v>865919</v>
      </c>
      <c r="G183" s="584">
        <v>8</v>
      </c>
      <c r="H183" s="1868">
        <f t="shared" si="25"/>
        <v>43295.950000000004</v>
      </c>
      <c r="I183" s="618">
        <f t="shared" si="26"/>
        <v>822623.05</v>
      </c>
      <c r="J183" s="1855">
        <v>0.11550000000000001</v>
      </c>
      <c r="K183">
        <v>365</v>
      </c>
      <c r="L183">
        <v>0</v>
      </c>
      <c r="M183" s="2147">
        <v>43295</v>
      </c>
      <c r="N183" s="1760">
        <f>I183</f>
        <v>822623.05</v>
      </c>
      <c r="O183" s="20">
        <f>N183</f>
        <v>822623.05</v>
      </c>
    </row>
    <row r="184" spans="2:17">
      <c r="C184" t="s">
        <v>2384</v>
      </c>
      <c r="E184" s="218"/>
      <c r="F184" s="1760">
        <f>F182-F183</f>
        <v>3764855.7530239997</v>
      </c>
      <c r="G184" s="584"/>
      <c r="H184" s="1868">
        <f>H182-H183</f>
        <v>188242.78765119999</v>
      </c>
      <c r="I184" s="1868">
        <f>I182-I183</f>
        <v>3576612.9653727999</v>
      </c>
      <c r="J184" s="1855"/>
      <c r="M184" s="2147">
        <f>M182-M183</f>
        <v>2482014.2450017277</v>
      </c>
      <c r="N184" s="1760">
        <f>N182-N183</f>
        <v>261850.18699827208</v>
      </c>
      <c r="O184" s="20"/>
    </row>
    <row r="185" spans="2:17">
      <c r="E185" s="218"/>
      <c r="H185" s="1760"/>
      <c r="I185" s="1760"/>
      <c r="L185" s="1760"/>
      <c r="M185" s="1760"/>
      <c r="N185" s="2147"/>
    </row>
    <row r="186" spans="2:17">
      <c r="B186" s="254" t="s">
        <v>3467</v>
      </c>
      <c r="C186" s="254" t="s">
        <v>3468</v>
      </c>
      <c r="D186" s="254"/>
      <c r="E186" s="254" t="s">
        <v>3469</v>
      </c>
      <c r="F186" s="254" t="s">
        <v>3471</v>
      </c>
      <c r="G186" s="254" t="s">
        <v>1362</v>
      </c>
      <c r="H186" s="254" t="s">
        <v>3474</v>
      </c>
      <c r="I186" s="254" t="s">
        <v>3475</v>
      </c>
      <c r="J186" s="254" t="s">
        <v>3476</v>
      </c>
      <c r="K186" s="254" t="s">
        <v>3472</v>
      </c>
      <c r="L186" s="254" t="s">
        <v>3473</v>
      </c>
      <c r="M186" s="254" t="s">
        <v>4169</v>
      </c>
      <c r="N186" s="254" t="s">
        <v>3537</v>
      </c>
      <c r="O186" s="254" t="s">
        <v>4168</v>
      </c>
      <c r="P186" s="254" t="s">
        <v>2123</v>
      </c>
    </row>
    <row r="187" spans="2:17">
      <c r="B187" s="254" t="s">
        <v>4170</v>
      </c>
      <c r="F187"/>
      <c r="J187"/>
      <c r="N187"/>
    </row>
    <row r="188" spans="2:17">
      <c r="B188" t="s">
        <v>3470</v>
      </c>
      <c r="C188" t="s">
        <v>2472</v>
      </c>
      <c r="E188" s="218">
        <v>44307</v>
      </c>
      <c r="F188" s="1760">
        <v>121490</v>
      </c>
      <c r="G188" s="1760">
        <v>5</v>
      </c>
      <c r="H188" s="1760">
        <f>F188*5%</f>
        <v>6074.5</v>
      </c>
      <c r="I188" s="1760">
        <f>F188-H188</f>
        <v>115415.5</v>
      </c>
      <c r="J188" s="1852">
        <v>0.19</v>
      </c>
      <c r="K188">
        <v>365</v>
      </c>
      <c r="L188" s="1760">
        <f>F188*J188*K188/365</f>
        <v>23083.1</v>
      </c>
      <c r="M188" s="1760">
        <v>21818.272602739722</v>
      </c>
      <c r="N188" s="20">
        <f>L188+M188</f>
        <v>44901.372602739721</v>
      </c>
      <c r="O188" s="371">
        <v>99671.727397260285</v>
      </c>
      <c r="P188" s="371">
        <f t="shared" ref="P188:P219" si="30">F188-N188</f>
        <v>76588.627397260279</v>
      </c>
      <c r="Q188" s="371"/>
    </row>
    <row r="189" spans="2:17">
      <c r="F189"/>
      <c r="L189" s="1760"/>
      <c r="M189" s="1760"/>
      <c r="N189"/>
      <c r="O189" s="371"/>
      <c r="P189" s="371">
        <f t="shared" si="30"/>
        <v>0</v>
      </c>
    </row>
    <row r="190" spans="2:17">
      <c r="B190" t="s">
        <v>1131</v>
      </c>
      <c r="C190" t="s">
        <v>1150</v>
      </c>
      <c r="E190" s="218">
        <v>44445</v>
      </c>
      <c r="F190" s="1760">
        <v>60250</v>
      </c>
      <c r="G190">
        <v>3</v>
      </c>
      <c r="H190" s="1760">
        <f t="shared" ref="H190:H197" si="31">F190*5%</f>
        <v>3012.5</v>
      </c>
      <c r="I190" s="1760">
        <f t="shared" ref="I190:I197" si="32">F190-H190</f>
        <v>57237.5</v>
      </c>
      <c r="J190" s="1852">
        <v>0.31669999999999998</v>
      </c>
      <c r="K190">
        <v>365</v>
      </c>
      <c r="L190" s="1760">
        <f t="shared" ref="L190:L197" si="33">F190*J190*K190/365</f>
        <v>19081.174999999999</v>
      </c>
      <c r="M190" s="1760">
        <v>10821.378698630137</v>
      </c>
      <c r="N190" s="20">
        <f t="shared" ref="N190:N197" si="34">L190+M190</f>
        <v>29902.553698630138</v>
      </c>
      <c r="O190" s="371">
        <v>49428.621301369865</v>
      </c>
      <c r="P190" s="371">
        <f t="shared" si="30"/>
        <v>30347.446301369862</v>
      </c>
    </row>
    <row r="191" spans="2:17">
      <c r="C191" t="s">
        <v>1151</v>
      </c>
      <c r="E191" s="218">
        <v>44572</v>
      </c>
      <c r="F191" s="1760">
        <v>44800</v>
      </c>
      <c r="G191">
        <v>3</v>
      </c>
      <c r="H191" s="1760">
        <f t="shared" si="31"/>
        <v>2240</v>
      </c>
      <c r="I191" s="1760">
        <f t="shared" si="32"/>
        <v>42560</v>
      </c>
      <c r="J191" s="1852">
        <v>0.31669999999999998</v>
      </c>
      <c r="K191">
        <v>365</v>
      </c>
      <c r="L191" s="1760">
        <f t="shared" si="33"/>
        <v>14188.160000000002</v>
      </c>
      <c r="M191" s="1760">
        <v>3109.733698630137</v>
      </c>
      <c r="N191" s="20">
        <f t="shared" si="34"/>
        <v>17297.893698630138</v>
      </c>
      <c r="O191" s="371">
        <v>41690.266301369862</v>
      </c>
      <c r="P191" s="371">
        <f t="shared" si="30"/>
        <v>27502.106301369862</v>
      </c>
    </row>
    <row r="192" spans="2:17">
      <c r="C192" t="s">
        <v>3479</v>
      </c>
      <c r="E192" s="218">
        <v>44572</v>
      </c>
      <c r="F192" s="1760">
        <v>48800</v>
      </c>
      <c r="G192">
        <v>3</v>
      </c>
      <c r="H192" s="1760">
        <f t="shared" si="31"/>
        <v>2440</v>
      </c>
      <c r="I192" s="1760">
        <f t="shared" si="32"/>
        <v>46360</v>
      </c>
      <c r="J192" s="1852">
        <v>0.31669999999999998</v>
      </c>
      <c r="K192">
        <v>365</v>
      </c>
      <c r="L192" s="1760">
        <f t="shared" si="33"/>
        <v>15454.96</v>
      </c>
      <c r="M192" s="1760">
        <v>3387.3884931506846</v>
      </c>
      <c r="N192" s="20">
        <f t="shared" si="34"/>
        <v>18842.348493150683</v>
      </c>
      <c r="O192" s="371">
        <v>45412.611506849316</v>
      </c>
      <c r="P192" s="371">
        <f t="shared" si="30"/>
        <v>29957.651506849317</v>
      </c>
    </row>
    <row r="193" spans="2:16">
      <c r="C193" t="s">
        <v>3480</v>
      </c>
      <c r="E193" s="218">
        <v>44590</v>
      </c>
      <c r="F193" s="1760">
        <v>92520</v>
      </c>
      <c r="G193">
        <v>3</v>
      </c>
      <c r="H193" s="1760">
        <f t="shared" si="31"/>
        <v>4626</v>
      </c>
      <c r="I193" s="1760">
        <f t="shared" si="32"/>
        <v>87894</v>
      </c>
      <c r="J193" s="1852">
        <v>0.31669999999999998</v>
      </c>
      <c r="K193">
        <v>365</v>
      </c>
      <c r="L193" s="1760">
        <f t="shared" si="33"/>
        <v>29301.083999999999</v>
      </c>
      <c r="M193" s="1760">
        <v>4977.1704328767119</v>
      </c>
      <c r="N193" s="20">
        <f t="shared" si="34"/>
        <v>34278.254432876711</v>
      </c>
      <c r="O193" s="371">
        <v>87542.829567123292</v>
      </c>
      <c r="P193" s="371">
        <f t="shared" si="30"/>
        <v>58241.745567123289</v>
      </c>
    </row>
    <row r="194" spans="2:16">
      <c r="C194" t="s">
        <v>3481</v>
      </c>
      <c r="E194" s="218">
        <v>44590</v>
      </c>
      <c r="F194" s="1760">
        <v>11977</v>
      </c>
      <c r="G194">
        <v>3</v>
      </c>
      <c r="H194" s="1760">
        <f t="shared" si="31"/>
        <v>598.85</v>
      </c>
      <c r="I194" s="1760">
        <f t="shared" si="32"/>
        <v>11378.15</v>
      </c>
      <c r="J194" s="1852">
        <v>0.31669999999999998</v>
      </c>
      <c r="K194">
        <v>365</v>
      </c>
      <c r="L194" s="1760">
        <f t="shared" si="33"/>
        <v>3793.1158999999998</v>
      </c>
      <c r="M194" s="1760">
        <v>644.31009808219176</v>
      </c>
      <c r="N194" s="20">
        <f t="shared" si="34"/>
        <v>4437.4259980821917</v>
      </c>
      <c r="O194" s="371">
        <v>11332.689901917809</v>
      </c>
      <c r="P194" s="371">
        <f t="shared" si="30"/>
        <v>7539.5740019178083</v>
      </c>
    </row>
    <row r="195" spans="2:16">
      <c r="C195" t="s">
        <v>3482</v>
      </c>
      <c r="E195" s="218">
        <v>44600</v>
      </c>
      <c r="F195" s="1760">
        <v>144430</v>
      </c>
      <c r="G195">
        <v>3</v>
      </c>
      <c r="H195" s="1760">
        <f t="shared" si="31"/>
        <v>7221.5</v>
      </c>
      <c r="I195" s="1760">
        <f t="shared" si="32"/>
        <v>137208.5</v>
      </c>
      <c r="J195" s="1852">
        <v>0.31669999999999998</v>
      </c>
      <c r="K195">
        <v>365</v>
      </c>
      <c r="L195" s="1760">
        <f t="shared" si="33"/>
        <v>45740.981</v>
      </c>
      <c r="M195" s="1760">
        <v>6516.5233205479453</v>
      </c>
      <c r="N195" s="20">
        <f t="shared" si="34"/>
        <v>52257.504320547945</v>
      </c>
      <c r="O195" s="371">
        <v>137913.47667945205</v>
      </c>
      <c r="P195" s="371">
        <f t="shared" si="30"/>
        <v>92172.495679452055</v>
      </c>
    </row>
    <row r="196" spans="2:16">
      <c r="C196" t="s">
        <v>3483</v>
      </c>
      <c r="E196" s="218">
        <v>44616</v>
      </c>
      <c r="F196" s="1760">
        <v>59969</v>
      </c>
      <c r="G196">
        <v>3</v>
      </c>
      <c r="H196" s="1760">
        <f t="shared" si="31"/>
        <v>2998.4500000000003</v>
      </c>
      <c r="I196" s="1760">
        <f t="shared" si="32"/>
        <v>56970.55</v>
      </c>
      <c r="J196" s="1852">
        <v>0.31669999999999998</v>
      </c>
      <c r="K196">
        <v>365</v>
      </c>
      <c r="L196" s="1760">
        <f t="shared" si="33"/>
        <v>18992.1823</v>
      </c>
      <c r="M196" s="1760">
        <v>1873.2015419178081</v>
      </c>
      <c r="N196" s="20">
        <f t="shared" si="34"/>
        <v>20865.38384191781</v>
      </c>
      <c r="O196" s="371">
        <v>58095.798458082194</v>
      </c>
      <c r="P196" s="371">
        <f t="shared" si="30"/>
        <v>39103.616158082194</v>
      </c>
    </row>
    <row r="197" spans="2:16">
      <c r="C197" t="s">
        <v>3484</v>
      </c>
      <c r="E197" s="218">
        <v>44616</v>
      </c>
      <c r="F197" s="1760">
        <v>7800</v>
      </c>
      <c r="G197">
        <v>3</v>
      </c>
      <c r="H197" s="1760">
        <f t="shared" si="31"/>
        <v>390</v>
      </c>
      <c r="I197" s="1760">
        <f t="shared" si="32"/>
        <v>7410</v>
      </c>
      <c r="J197" s="1852">
        <v>0.31669999999999998</v>
      </c>
      <c r="K197">
        <v>365</v>
      </c>
      <c r="L197" s="1760">
        <f t="shared" si="33"/>
        <v>2470.2599999999998</v>
      </c>
      <c r="M197" s="1760">
        <v>243.64208219178079</v>
      </c>
      <c r="N197" s="20">
        <f t="shared" si="34"/>
        <v>2713.9020821917807</v>
      </c>
      <c r="O197" s="371">
        <v>7556.3579178082191</v>
      </c>
      <c r="P197" s="371">
        <f t="shared" si="30"/>
        <v>5086.0979178082198</v>
      </c>
    </row>
    <row r="198" spans="2:16">
      <c r="N198"/>
      <c r="O198" s="371"/>
      <c r="P198" s="371">
        <f t="shared" si="30"/>
        <v>0</v>
      </c>
    </row>
    <row r="199" spans="2:16">
      <c r="B199" t="s">
        <v>3485</v>
      </c>
      <c r="C199" t="s">
        <v>3486</v>
      </c>
      <c r="E199" s="218">
        <v>44546</v>
      </c>
      <c r="F199" s="1760">
        <v>120941</v>
      </c>
      <c r="G199">
        <v>10</v>
      </c>
      <c r="H199" s="1760">
        <f t="shared" ref="H199:H203" si="35">F199*5%</f>
        <v>6047.05</v>
      </c>
      <c r="I199" s="1760">
        <f t="shared" ref="I199:I203" si="36">F199-H199</f>
        <v>114893.95</v>
      </c>
      <c r="J199" s="1852">
        <v>9.5000000000000001E-2</v>
      </c>
      <c r="K199">
        <v>365</v>
      </c>
      <c r="L199" s="1760">
        <f>F199*J199*K199/365</f>
        <v>11489.395</v>
      </c>
      <c r="M199" s="1760">
        <v>3336.6462191780824</v>
      </c>
      <c r="N199" s="20">
        <f t="shared" ref="N199:N203" si="37">L199+M199</f>
        <v>14826.041219178083</v>
      </c>
      <c r="O199" s="371">
        <v>117604.35378082191</v>
      </c>
      <c r="P199" s="371">
        <f t="shared" si="30"/>
        <v>106114.95878082192</v>
      </c>
    </row>
    <row r="200" spans="2:16">
      <c r="C200" t="s">
        <v>3487</v>
      </c>
      <c r="E200" s="218">
        <v>44585</v>
      </c>
      <c r="F200" s="1760">
        <v>52333</v>
      </c>
      <c r="G200">
        <v>10</v>
      </c>
      <c r="H200" s="1760">
        <f t="shared" si="35"/>
        <v>2616.65</v>
      </c>
      <c r="I200" s="1760">
        <f t="shared" si="36"/>
        <v>49716.35</v>
      </c>
      <c r="J200" s="1852">
        <v>9.5000000000000001E-2</v>
      </c>
      <c r="K200">
        <v>365</v>
      </c>
      <c r="L200" s="1760">
        <f>F200*J200*K200/365</f>
        <v>4971.6350000000002</v>
      </c>
      <c r="M200" s="1760">
        <v>912.60149315068509</v>
      </c>
      <c r="N200" s="20">
        <f t="shared" si="37"/>
        <v>5884.2364931506854</v>
      </c>
      <c r="O200" s="371">
        <v>51420.398506849313</v>
      </c>
      <c r="P200" s="371">
        <f t="shared" si="30"/>
        <v>46448.763506849311</v>
      </c>
    </row>
    <row r="201" spans="2:16">
      <c r="C201" t="s">
        <v>3488</v>
      </c>
      <c r="E201" s="218">
        <v>44600</v>
      </c>
      <c r="F201" s="1760">
        <v>26202</v>
      </c>
      <c r="G201">
        <v>10</v>
      </c>
      <c r="H201" s="1760">
        <f t="shared" si="35"/>
        <v>1310.1000000000001</v>
      </c>
      <c r="I201" s="1760">
        <f t="shared" si="36"/>
        <v>24891.9</v>
      </c>
      <c r="J201" s="1852">
        <v>9.5000000000000001E-2</v>
      </c>
      <c r="K201">
        <v>365</v>
      </c>
      <c r="L201" s="1760">
        <f>F201*J201*K201/365</f>
        <v>2489.19</v>
      </c>
      <c r="M201" s="1760">
        <v>354.6243287671233</v>
      </c>
      <c r="N201" s="20">
        <f t="shared" si="37"/>
        <v>2843.8143287671232</v>
      </c>
      <c r="O201" s="371">
        <v>25847.375671232876</v>
      </c>
      <c r="P201" s="371">
        <f t="shared" si="30"/>
        <v>23358.185671232877</v>
      </c>
    </row>
    <row r="202" spans="2:16">
      <c r="C202" t="s">
        <v>3489</v>
      </c>
      <c r="E202" s="218">
        <v>44608</v>
      </c>
      <c r="F202" s="1760">
        <v>99195</v>
      </c>
      <c r="G202">
        <v>10</v>
      </c>
      <c r="H202" s="1760">
        <f t="shared" si="35"/>
        <v>4959.75</v>
      </c>
      <c r="I202" s="1760">
        <f t="shared" si="36"/>
        <v>94235.25</v>
      </c>
      <c r="J202" s="1852">
        <v>9.5000000000000001E-2</v>
      </c>
      <c r="K202">
        <v>365</v>
      </c>
      <c r="L202" s="1760">
        <f>F202*J202*K202/365</f>
        <v>9423.5249999999996</v>
      </c>
      <c r="M202" s="1760">
        <v>1135.9865753424656</v>
      </c>
      <c r="N202" s="20">
        <f t="shared" si="37"/>
        <v>10559.511575342465</v>
      </c>
      <c r="O202" s="371">
        <v>98059.013424657533</v>
      </c>
      <c r="P202" s="371">
        <f t="shared" si="30"/>
        <v>88635.488424657538</v>
      </c>
    </row>
    <row r="203" spans="2:16">
      <c r="C203" t="s">
        <v>3490</v>
      </c>
      <c r="E203" s="218">
        <v>44608</v>
      </c>
      <c r="F203" s="1760">
        <v>18328</v>
      </c>
      <c r="G203">
        <v>10</v>
      </c>
      <c r="H203" s="1760">
        <f t="shared" si="35"/>
        <v>916.40000000000009</v>
      </c>
      <c r="I203" s="1760">
        <f t="shared" si="36"/>
        <v>17411.599999999999</v>
      </c>
      <c r="J203" s="1852">
        <v>9.5000000000000001E-2</v>
      </c>
      <c r="K203">
        <v>365</v>
      </c>
      <c r="L203" s="1760">
        <f>F203*J203*K203/365</f>
        <v>1741.16</v>
      </c>
      <c r="M203" s="1760">
        <v>209.89326027397263</v>
      </c>
      <c r="N203" s="20">
        <f t="shared" si="37"/>
        <v>1951.0532602739727</v>
      </c>
      <c r="O203" s="371">
        <v>18118.106739726027</v>
      </c>
      <c r="P203" s="371">
        <f t="shared" si="30"/>
        <v>16376.946739726027</v>
      </c>
    </row>
    <row r="204" spans="2:16">
      <c r="K204">
        <v>365</v>
      </c>
      <c r="N204"/>
      <c r="O204" s="371"/>
      <c r="P204" s="371">
        <f t="shared" si="30"/>
        <v>0</v>
      </c>
    </row>
    <row r="205" spans="2:16">
      <c r="N205"/>
      <c r="O205" s="371"/>
      <c r="P205" s="371">
        <f t="shared" si="30"/>
        <v>0</v>
      </c>
    </row>
    <row r="206" spans="2:16">
      <c r="B206" t="s">
        <v>83</v>
      </c>
      <c r="C206" t="s">
        <v>3495</v>
      </c>
      <c r="E206" s="218">
        <v>44287</v>
      </c>
      <c r="F206" s="1760">
        <v>641330</v>
      </c>
      <c r="G206">
        <v>15</v>
      </c>
      <c r="H206" s="1760">
        <f t="shared" ref="H206:H242" si="38">F206*5%</f>
        <v>32066.5</v>
      </c>
      <c r="I206" s="1760">
        <f t="shared" ref="I206:I242" si="39">F206-H206</f>
        <v>609263.5</v>
      </c>
      <c r="J206" s="1852">
        <v>6.3299999999999995E-2</v>
      </c>
      <c r="K206">
        <v>365</v>
      </c>
      <c r="L206" s="1760">
        <f t="shared" ref="L206:L242" si="40">F206*J206*K206/365</f>
        <v>40596.188999999998</v>
      </c>
      <c r="M206" s="1760">
        <v>40596.188999999998</v>
      </c>
      <c r="N206" s="20">
        <f t="shared" ref="N206:N242" si="41">L206+M206</f>
        <v>81192.377999999997</v>
      </c>
      <c r="O206" s="371">
        <v>600733.81099999999</v>
      </c>
      <c r="P206" s="371">
        <f t="shared" si="30"/>
        <v>560137.62199999997</v>
      </c>
    </row>
    <row r="207" spans="2:16">
      <c r="C207" t="s">
        <v>3496</v>
      </c>
      <c r="E207" s="218">
        <v>44288</v>
      </c>
      <c r="F207" s="1760">
        <v>443048</v>
      </c>
      <c r="G207">
        <v>15</v>
      </c>
      <c r="H207" s="1760">
        <f t="shared" si="38"/>
        <v>22152.400000000001</v>
      </c>
      <c r="I207" s="1760">
        <f t="shared" si="39"/>
        <v>420895.6</v>
      </c>
      <c r="J207" s="1852">
        <v>6.3299999999999995E-2</v>
      </c>
      <c r="K207">
        <v>365</v>
      </c>
      <c r="L207" s="1760">
        <f t="shared" si="40"/>
        <v>28044.938399999995</v>
      </c>
      <c r="M207" s="1760">
        <v>27968.102952328769</v>
      </c>
      <c r="N207" s="20">
        <f t="shared" si="41"/>
        <v>56013.041352328764</v>
      </c>
      <c r="O207" s="371">
        <v>415079.89704767126</v>
      </c>
      <c r="P207" s="371">
        <f t="shared" si="30"/>
        <v>387034.95864767121</v>
      </c>
    </row>
    <row r="208" spans="2:16">
      <c r="C208" t="s">
        <v>3497</v>
      </c>
      <c r="E208" s="218">
        <v>44293</v>
      </c>
      <c r="F208" s="1760">
        <v>150626</v>
      </c>
      <c r="G208">
        <v>15</v>
      </c>
      <c r="H208" s="1760">
        <f t="shared" si="38"/>
        <v>7531.3</v>
      </c>
      <c r="I208" s="1760">
        <f t="shared" si="39"/>
        <v>143094.70000000001</v>
      </c>
      <c r="J208" s="1852">
        <v>6.3299999999999995E-2</v>
      </c>
      <c r="K208">
        <v>365</v>
      </c>
      <c r="L208" s="1760">
        <f t="shared" si="40"/>
        <v>9534.6257999999998</v>
      </c>
      <c r="M208" s="1760">
        <v>9377.8922252054799</v>
      </c>
      <c r="N208" s="20">
        <f t="shared" si="41"/>
        <v>18912.518025205478</v>
      </c>
      <c r="O208" s="371">
        <v>141248.10777479451</v>
      </c>
      <c r="P208" s="371">
        <f t="shared" si="30"/>
        <v>131713.48197479453</v>
      </c>
    </row>
    <row r="209" spans="3:16">
      <c r="C209" t="s">
        <v>3498</v>
      </c>
      <c r="E209" s="218">
        <v>44306</v>
      </c>
      <c r="F209" s="1760">
        <v>50025</v>
      </c>
      <c r="G209">
        <v>15</v>
      </c>
      <c r="H209" s="1760">
        <f t="shared" si="38"/>
        <v>2501.25</v>
      </c>
      <c r="I209" s="1760">
        <f t="shared" si="39"/>
        <v>47523.75</v>
      </c>
      <c r="J209" s="1852">
        <v>6.3299999999999995E-2</v>
      </c>
      <c r="K209">
        <v>365</v>
      </c>
      <c r="L209" s="1760">
        <f t="shared" si="40"/>
        <v>3166.5825</v>
      </c>
      <c r="M209" s="1760">
        <v>3001.746698630137</v>
      </c>
      <c r="N209" s="20">
        <f t="shared" si="41"/>
        <v>6168.3291986301374</v>
      </c>
      <c r="O209" s="371">
        <v>47023.253301369863</v>
      </c>
      <c r="P209" s="371">
        <f t="shared" si="30"/>
        <v>43856.670801369866</v>
      </c>
    </row>
    <row r="210" spans="3:16">
      <c r="C210" t="s">
        <v>3499</v>
      </c>
      <c r="E210" s="218">
        <v>44348</v>
      </c>
      <c r="F210" s="1760">
        <v>141234</v>
      </c>
      <c r="G210">
        <v>15</v>
      </c>
      <c r="H210" s="1760">
        <f t="shared" si="38"/>
        <v>7061.7000000000007</v>
      </c>
      <c r="I210" s="1760">
        <f t="shared" si="39"/>
        <v>134172.29999999999</v>
      </c>
      <c r="J210" s="1852">
        <v>6.3299999999999995E-2</v>
      </c>
      <c r="K210">
        <v>365</v>
      </c>
      <c r="L210" s="1760">
        <f t="shared" si="40"/>
        <v>8940.1121999999996</v>
      </c>
      <c r="M210" s="1760">
        <v>7446.0112569863013</v>
      </c>
      <c r="N210" s="20">
        <f t="shared" si="41"/>
        <v>16386.123456986301</v>
      </c>
      <c r="O210" s="371">
        <v>133787.9887430137</v>
      </c>
      <c r="P210" s="371">
        <f t="shared" si="30"/>
        <v>124847.8765430137</v>
      </c>
    </row>
    <row r="211" spans="3:16">
      <c r="C211" t="s">
        <v>3500</v>
      </c>
      <c r="E211" s="218">
        <v>44357</v>
      </c>
      <c r="F211" s="1760">
        <v>43110</v>
      </c>
      <c r="G211">
        <v>15</v>
      </c>
      <c r="H211" s="1760">
        <f t="shared" si="38"/>
        <v>2155.5</v>
      </c>
      <c r="I211" s="1760">
        <f t="shared" si="39"/>
        <v>40954.5</v>
      </c>
      <c r="J211" s="1852">
        <v>6.3299999999999995E-2</v>
      </c>
      <c r="K211">
        <v>365</v>
      </c>
      <c r="L211" s="1760">
        <f t="shared" si="40"/>
        <v>2728.8629999999998</v>
      </c>
      <c r="M211" s="1760">
        <v>2205.5194109589038</v>
      </c>
      <c r="N211" s="20">
        <f t="shared" si="41"/>
        <v>4934.3824109589041</v>
      </c>
      <c r="O211" s="371">
        <v>40904.480589041093</v>
      </c>
      <c r="P211" s="371">
        <f t="shared" si="30"/>
        <v>38175.617589041096</v>
      </c>
    </row>
    <row r="212" spans="3:16">
      <c r="C212" t="s">
        <v>3501</v>
      </c>
      <c r="E212" s="218">
        <v>44359</v>
      </c>
      <c r="F212" s="1760">
        <v>36580</v>
      </c>
      <c r="G212">
        <v>15</v>
      </c>
      <c r="H212" s="1760">
        <f t="shared" si="38"/>
        <v>1829</v>
      </c>
      <c r="I212" s="1760">
        <f t="shared" si="39"/>
        <v>34751</v>
      </c>
      <c r="J212" s="1852">
        <v>6.3299999999999995E-2</v>
      </c>
      <c r="K212">
        <v>365</v>
      </c>
      <c r="L212" s="1760">
        <f t="shared" si="40"/>
        <v>2315.5139999999997</v>
      </c>
      <c r="M212" s="1760">
        <v>1858.7550739726025</v>
      </c>
      <c r="N212" s="20">
        <f t="shared" si="41"/>
        <v>4174.2690739726022</v>
      </c>
      <c r="O212" s="371">
        <v>34721.244926027401</v>
      </c>
      <c r="P212" s="371">
        <f t="shared" si="30"/>
        <v>32405.730926027398</v>
      </c>
    </row>
    <row r="213" spans="3:16">
      <c r="C213" t="s">
        <v>3502</v>
      </c>
      <c r="E213" s="218">
        <v>44365</v>
      </c>
      <c r="F213" s="1760">
        <v>38080</v>
      </c>
      <c r="G213">
        <v>15</v>
      </c>
      <c r="H213" s="1760">
        <f t="shared" si="38"/>
        <v>1904</v>
      </c>
      <c r="I213" s="1760">
        <f t="shared" si="39"/>
        <v>36176</v>
      </c>
      <c r="J213" s="1852">
        <v>6.3299999999999995E-2</v>
      </c>
      <c r="K213">
        <v>365</v>
      </c>
      <c r="L213" s="1760">
        <f t="shared" si="40"/>
        <v>2410.4639999999999</v>
      </c>
      <c r="M213" s="1760">
        <v>1895.3511452054793</v>
      </c>
      <c r="N213" s="20">
        <f t="shared" si="41"/>
        <v>4305.815145205479</v>
      </c>
      <c r="O213" s="371">
        <v>36184.648854794519</v>
      </c>
      <c r="P213" s="371">
        <f t="shared" si="30"/>
        <v>33774.184854794519</v>
      </c>
    </row>
    <row r="214" spans="3:16">
      <c r="C214" t="s">
        <v>3503</v>
      </c>
      <c r="E214" s="218">
        <v>44365</v>
      </c>
      <c r="F214" s="1760">
        <v>34060</v>
      </c>
      <c r="G214">
        <v>15</v>
      </c>
      <c r="H214" s="1760">
        <f t="shared" si="38"/>
        <v>1703</v>
      </c>
      <c r="I214" s="1760">
        <f t="shared" si="39"/>
        <v>32357</v>
      </c>
      <c r="J214" s="1852">
        <v>6.3299999999999995E-2</v>
      </c>
      <c r="K214">
        <v>365</v>
      </c>
      <c r="L214" s="1760">
        <f t="shared" si="40"/>
        <v>2155.998</v>
      </c>
      <c r="M214" s="1760">
        <v>1695.2641808219178</v>
      </c>
      <c r="N214" s="20">
        <f t="shared" si="41"/>
        <v>3851.2621808219178</v>
      </c>
      <c r="O214" s="371">
        <v>32364.73581917808</v>
      </c>
      <c r="P214" s="371">
        <f t="shared" si="30"/>
        <v>30208.737819178081</v>
      </c>
    </row>
    <row r="215" spans="3:16">
      <c r="C215" t="s">
        <v>3504</v>
      </c>
      <c r="E215" s="218">
        <v>44377</v>
      </c>
      <c r="F215" s="1760">
        <v>368231</v>
      </c>
      <c r="G215">
        <v>15</v>
      </c>
      <c r="H215" s="1760">
        <f t="shared" si="38"/>
        <v>18411.55</v>
      </c>
      <c r="I215" s="1760">
        <f t="shared" si="39"/>
        <v>349819.45</v>
      </c>
      <c r="J215" s="1852">
        <v>6.3299999999999995E-2</v>
      </c>
      <c r="K215">
        <v>365</v>
      </c>
      <c r="L215" s="1760">
        <f t="shared" si="40"/>
        <v>23309.022300000001</v>
      </c>
      <c r="M215" s="1760">
        <v>17561.592143835616</v>
      </c>
      <c r="N215" s="20">
        <f t="shared" si="41"/>
        <v>40870.614443835613</v>
      </c>
      <c r="O215" s="371">
        <v>350669.40785616438</v>
      </c>
      <c r="P215" s="371">
        <f t="shared" si="30"/>
        <v>327360.38555616437</v>
      </c>
    </row>
    <row r="216" spans="3:16">
      <c r="C216" t="s">
        <v>3505</v>
      </c>
      <c r="E216" s="218">
        <v>44378</v>
      </c>
      <c r="F216" s="1760">
        <v>347174</v>
      </c>
      <c r="G216">
        <v>15</v>
      </c>
      <c r="H216" s="1760">
        <f t="shared" si="38"/>
        <v>17358.7</v>
      </c>
      <c r="I216" s="1760">
        <f t="shared" si="39"/>
        <v>329815.3</v>
      </c>
      <c r="J216" s="1852">
        <v>6.3299999999999995E-2</v>
      </c>
      <c r="K216">
        <v>365</v>
      </c>
      <c r="L216" s="1760">
        <f t="shared" si="40"/>
        <v>21976.1142</v>
      </c>
      <c r="M216" s="1760">
        <v>16497.137783013699</v>
      </c>
      <c r="N216" s="20">
        <f t="shared" si="41"/>
        <v>38473.251983013703</v>
      </c>
      <c r="O216" s="371">
        <v>330676.86221698631</v>
      </c>
      <c r="P216" s="371">
        <f t="shared" si="30"/>
        <v>308700.7480169863</v>
      </c>
    </row>
    <row r="217" spans="3:16">
      <c r="C217" t="s">
        <v>3506</v>
      </c>
      <c r="E217" s="218">
        <v>44382</v>
      </c>
      <c r="F217" s="1760">
        <v>188800</v>
      </c>
      <c r="G217">
        <v>15</v>
      </c>
      <c r="H217" s="1760">
        <f t="shared" si="38"/>
        <v>9440</v>
      </c>
      <c r="I217" s="1760">
        <f t="shared" si="39"/>
        <v>179360</v>
      </c>
      <c r="J217" s="1852">
        <v>6.3299999999999995E-2</v>
      </c>
      <c r="K217">
        <v>365</v>
      </c>
      <c r="L217" s="1760">
        <f t="shared" si="40"/>
        <v>11951.039999999999</v>
      </c>
      <c r="M217" s="1760">
        <v>8840.4953424657524</v>
      </c>
      <c r="N217" s="20">
        <f t="shared" si="41"/>
        <v>20791.535342465751</v>
      </c>
      <c r="O217" s="371">
        <v>179959.50465753424</v>
      </c>
      <c r="P217" s="371">
        <f t="shared" si="30"/>
        <v>168008.46465753426</v>
      </c>
    </row>
    <row r="218" spans="3:16">
      <c r="C218" t="s">
        <v>3507</v>
      </c>
      <c r="E218" s="218">
        <v>44383</v>
      </c>
      <c r="F218" s="1760">
        <v>49088</v>
      </c>
      <c r="G218">
        <v>15</v>
      </c>
      <c r="H218" s="1760">
        <f t="shared" si="38"/>
        <v>2454.4</v>
      </c>
      <c r="I218" s="1760">
        <f t="shared" si="39"/>
        <v>46633.599999999999</v>
      </c>
      <c r="J218" s="1852">
        <v>6.3299999999999995E-2</v>
      </c>
      <c r="K218">
        <v>365</v>
      </c>
      <c r="L218" s="1760">
        <f t="shared" si="40"/>
        <v>3107.2703999999999</v>
      </c>
      <c r="M218" s="1760">
        <v>2290.0157194520548</v>
      </c>
      <c r="N218" s="20">
        <f t="shared" si="41"/>
        <v>5397.2861194520547</v>
      </c>
      <c r="O218" s="371">
        <v>46797.984280547942</v>
      </c>
      <c r="P218" s="371">
        <f t="shared" si="30"/>
        <v>43690.713880547948</v>
      </c>
    </row>
    <row r="219" spans="3:16">
      <c r="C219" t="s">
        <v>3508</v>
      </c>
      <c r="E219" s="218">
        <v>44393</v>
      </c>
      <c r="F219" s="1760">
        <v>261731</v>
      </c>
      <c r="G219">
        <v>15</v>
      </c>
      <c r="H219" s="1760">
        <f t="shared" si="38"/>
        <v>13086.550000000001</v>
      </c>
      <c r="I219" s="1760">
        <f t="shared" si="39"/>
        <v>248644.45</v>
      </c>
      <c r="J219" s="1852">
        <v>6.3299999999999995E-2</v>
      </c>
      <c r="K219">
        <v>365</v>
      </c>
      <c r="L219" s="1760">
        <f t="shared" si="40"/>
        <v>16567.5723</v>
      </c>
      <c r="M219" s="1760">
        <v>11756.167741643836</v>
      </c>
      <c r="N219" s="20">
        <f t="shared" si="41"/>
        <v>28323.740041643836</v>
      </c>
      <c r="O219" s="371">
        <v>249974.83225835615</v>
      </c>
      <c r="P219" s="371">
        <f t="shared" si="30"/>
        <v>233407.25995835615</v>
      </c>
    </row>
    <row r="220" spans="3:16">
      <c r="C220" t="s">
        <v>3509</v>
      </c>
      <c r="E220" s="218">
        <v>44415</v>
      </c>
      <c r="F220" s="1760">
        <v>29900</v>
      </c>
      <c r="G220">
        <v>15</v>
      </c>
      <c r="H220" s="1760">
        <f t="shared" si="38"/>
        <v>1495</v>
      </c>
      <c r="I220" s="1760">
        <f t="shared" si="39"/>
        <v>28405</v>
      </c>
      <c r="J220" s="1852">
        <v>6.3299999999999995E-2</v>
      </c>
      <c r="K220">
        <v>365</v>
      </c>
      <c r="L220" s="1760">
        <f t="shared" si="40"/>
        <v>1892.6699999999998</v>
      </c>
      <c r="M220" s="1760">
        <v>1228.9391506849315</v>
      </c>
      <c r="N220" s="20">
        <f t="shared" si="41"/>
        <v>3121.6091506849316</v>
      </c>
      <c r="O220" s="371">
        <v>28671.060849315068</v>
      </c>
      <c r="P220" s="371">
        <f t="shared" ref="P220:P246" si="42">F220-N220</f>
        <v>26778.390849315067</v>
      </c>
    </row>
    <row r="221" spans="3:16">
      <c r="C221" t="s">
        <v>3510</v>
      </c>
      <c r="E221" s="218">
        <v>44427</v>
      </c>
      <c r="F221" s="1760">
        <v>91963</v>
      </c>
      <c r="G221">
        <v>15</v>
      </c>
      <c r="H221" s="1760">
        <f t="shared" si="38"/>
        <v>4598.1500000000005</v>
      </c>
      <c r="I221" s="1760">
        <f t="shared" si="39"/>
        <v>87364.85</v>
      </c>
      <c r="J221" s="1852">
        <v>6.3299999999999995E-2</v>
      </c>
      <c r="K221">
        <v>365</v>
      </c>
      <c r="L221" s="1760">
        <f t="shared" si="40"/>
        <v>5821.2578999999996</v>
      </c>
      <c r="M221" s="1760">
        <v>3588.4466506849312</v>
      </c>
      <c r="N221" s="20">
        <f t="shared" si="41"/>
        <v>9409.7045506849317</v>
      </c>
      <c r="O221" s="371">
        <v>88374.553349315072</v>
      </c>
      <c r="P221" s="371">
        <f t="shared" si="42"/>
        <v>82553.295449315076</v>
      </c>
    </row>
    <row r="222" spans="3:16">
      <c r="C222" t="s">
        <v>3511</v>
      </c>
      <c r="E222" s="218">
        <v>44438</v>
      </c>
      <c r="F222" s="1760">
        <v>69817</v>
      </c>
      <c r="G222">
        <v>15</v>
      </c>
      <c r="H222" s="1760">
        <f t="shared" si="38"/>
        <v>3490.8500000000004</v>
      </c>
      <c r="I222" s="1760">
        <f t="shared" si="39"/>
        <v>66326.149999999994</v>
      </c>
      <c r="J222" s="1852">
        <v>6.3299999999999995E-2</v>
      </c>
      <c r="K222">
        <v>365</v>
      </c>
      <c r="L222" s="1760">
        <f t="shared" si="40"/>
        <v>4419.4160999999995</v>
      </c>
      <c r="M222" s="1760">
        <v>2591.109713424657</v>
      </c>
      <c r="N222" s="20">
        <f t="shared" si="41"/>
        <v>7010.525813424656</v>
      </c>
      <c r="O222" s="371">
        <v>67225.890286575348</v>
      </c>
      <c r="P222" s="371">
        <f t="shared" si="42"/>
        <v>62806.474186575346</v>
      </c>
    </row>
    <row r="223" spans="3:16">
      <c r="C223" t="s">
        <v>3512</v>
      </c>
      <c r="E223" s="218">
        <v>44449</v>
      </c>
      <c r="F223" s="1760">
        <v>27152</v>
      </c>
      <c r="G223">
        <v>15</v>
      </c>
      <c r="H223" s="1760">
        <f t="shared" si="38"/>
        <v>1357.6000000000001</v>
      </c>
      <c r="I223" s="1760">
        <f t="shared" si="39"/>
        <v>25794.400000000001</v>
      </c>
      <c r="J223" s="1852">
        <v>6.3299999999999995E-2</v>
      </c>
      <c r="K223">
        <v>365</v>
      </c>
      <c r="L223" s="1760">
        <f t="shared" si="40"/>
        <v>1718.7215999999999</v>
      </c>
      <c r="M223" s="1760">
        <v>955.89173917808216</v>
      </c>
      <c r="N223" s="20">
        <f t="shared" si="41"/>
        <v>2674.6133391780822</v>
      </c>
      <c r="O223" s="371">
        <v>26196.108260821919</v>
      </c>
      <c r="P223" s="371">
        <f t="shared" si="42"/>
        <v>24477.386660821918</v>
      </c>
    </row>
    <row r="224" spans="3:16">
      <c r="C224" t="s">
        <v>3513</v>
      </c>
      <c r="E224" s="218">
        <v>44459</v>
      </c>
      <c r="F224" s="1760">
        <v>349018</v>
      </c>
      <c r="G224">
        <v>15</v>
      </c>
      <c r="H224" s="1760">
        <f t="shared" si="38"/>
        <v>17450.900000000001</v>
      </c>
      <c r="I224" s="1760">
        <f t="shared" si="39"/>
        <v>331567.09999999998</v>
      </c>
      <c r="J224" s="1852">
        <v>6.3299999999999995E-2</v>
      </c>
      <c r="K224">
        <v>365</v>
      </c>
      <c r="L224" s="1760">
        <f t="shared" si="40"/>
        <v>22092.839399999997</v>
      </c>
      <c r="M224" s="1760">
        <v>11681.967134794519</v>
      </c>
      <c r="N224" s="20">
        <f t="shared" si="41"/>
        <v>33774.806534794516</v>
      </c>
      <c r="O224" s="371">
        <v>337336.03286520549</v>
      </c>
      <c r="P224" s="371">
        <f t="shared" si="42"/>
        <v>315243.19346520549</v>
      </c>
    </row>
    <row r="225" spans="3:16">
      <c r="C225" t="s">
        <v>3514</v>
      </c>
      <c r="E225" s="218">
        <v>44466</v>
      </c>
      <c r="F225" s="1760">
        <v>64247</v>
      </c>
      <c r="G225">
        <v>15</v>
      </c>
      <c r="H225" s="1760">
        <f t="shared" si="38"/>
        <v>3212.3500000000004</v>
      </c>
      <c r="I225" s="1760">
        <f t="shared" si="39"/>
        <v>61034.65</v>
      </c>
      <c r="J225" s="1852">
        <v>6.3299999999999995E-2</v>
      </c>
      <c r="K225">
        <v>365</v>
      </c>
      <c r="L225" s="1760">
        <f t="shared" si="40"/>
        <v>4066.8350999999993</v>
      </c>
      <c r="M225" s="1760">
        <v>2072.4145989041094</v>
      </c>
      <c r="N225" s="20">
        <f t="shared" si="41"/>
        <v>6139.2496989041083</v>
      </c>
      <c r="O225" s="371">
        <v>62174.585401095894</v>
      </c>
      <c r="P225" s="371">
        <f t="shared" si="42"/>
        <v>58107.75030109589</v>
      </c>
    </row>
    <row r="226" spans="3:16">
      <c r="C226" t="s">
        <v>3515</v>
      </c>
      <c r="E226" s="218">
        <v>44466</v>
      </c>
      <c r="F226" s="1760">
        <v>392237</v>
      </c>
      <c r="G226">
        <v>15</v>
      </c>
      <c r="H226" s="1760">
        <f t="shared" si="38"/>
        <v>19611.850000000002</v>
      </c>
      <c r="I226" s="1760">
        <f t="shared" si="39"/>
        <v>372625.15</v>
      </c>
      <c r="J226" s="1852">
        <v>6.3299999999999995E-2</v>
      </c>
      <c r="K226">
        <v>365</v>
      </c>
      <c r="L226" s="1760">
        <f t="shared" si="40"/>
        <v>24828.602099999996</v>
      </c>
      <c r="M226" s="1760">
        <v>12652.383535890409</v>
      </c>
      <c r="N226" s="20">
        <f t="shared" si="41"/>
        <v>37480.985635890407</v>
      </c>
      <c r="O226" s="371">
        <v>379584.61646410957</v>
      </c>
      <c r="P226" s="371">
        <f t="shared" si="42"/>
        <v>354756.01436410961</v>
      </c>
    </row>
    <row r="227" spans="3:16">
      <c r="C227" t="s">
        <v>3516</v>
      </c>
      <c r="E227" s="218">
        <v>44473</v>
      </c>
      <c r="F227" s="1760">
        <v>68244</v>
      </c>
      <c r="G227">
        <v>15</v>
      </c>
      <c r="H227" s="1760">
        <f t="shared" si="38"/>
        <v>3412.2000000000003</v>
      </c>
      <c r="I227" s="1760">
        <f t="shared" si="39"/>
        <v>64831.8</v>
      </c>
      <c r="J227" s="1852">
        <v>6.3299999999999995E-2</v>
      </c>
      <c r="K227">
        <v>365</v>
      </c>
      <c r="L227" s="1760">
        <f t="shared" si="40"/>
        <v>4319.8451999999997</v>
      </c>
      <c r="M227" s="1760">
        <v>2118.4994268493151</v>
      </c>
      <c r="N227" s="20">
        <f t="shared" si="41"/>
        <v>6438.3446268493153</v>
      </c>
      <c r="O227" s="371">
        <v>66125.500573150683</v>
      </c>
      <c r="P227" s="371">
        <f t="shared" si="42"/>
        <v>61805.655373150687</v>
      </c>
    </row>
    <row r="228" spans="3:16">
      <c r="C228" t="s">
        <v>3517</v>
      </c>
      <c r="E228" s="218">
        <v>44477</v>
      </c>
      <c r="F228" s="1760">
        <v>983720</v>
      </c>
      <c r="G228">
        <v>15</v>
      </c>
      <c r="H228" s="1760">
        <f t="shared" si="38"/>
        <v>49186</v>
      </c>
      <c r="I228" s="1760">
        <f t="shared" si="39"/>
        <v>934534</v>
      </c>
      <c r="J228" s="1852">
        <v>6.3299999999999995E-2</v>
      </c>
      <c r="K228">
        <v>365</v>
      </c>
      <c r="L228" s="1760">
        <f t="shared" si="40"/>
        <v>62269.475999999995</v>
      </c>
      <c r="M228" s="1760">
        <v>29855.22821917808</v>
      </c>
      <c r="N228" s="20">
        <f t="shared" si="41"/>
        <v>92124.704219178078</v>
      </c>
      <c r="O228" s="371">
        <v>953864.77178082196</v>
      </c>
      <c r="P228" s="371">
        <f t="shared" si="42"/>
        <v>891595.29578082194</v>
      </c>
    </row>
    <row r="229" spans="3:16">
      <c r="C229" t="s">
        <v>3518</v>
      </c>
      <c r="E229" s="218">
        <v>44491</v>
      </c>
      <c r="F229" s="1760">
        <v>94760</v>
      </c>
      <c r="G229">
        <v>15</v>
      </c>
      <c r="H229" s="1760">
        <f t="shared" si="38"/>
        <v>4738</v>
      </c>
      <c r="I229" s="1760">
        <f t="shared" si="39"/>
        <v>90022</v>
      </c>
      <c r="J229" s="1852">
        <v>6.3299999999999995E-2</v>
      </c>
      <c r="K229">
        <v>365</v>
      </c>
      <c r="L229" s="1760">
        <f t="shared" si="40"/>
        <v>5998.308</v>
      </c>
      <c r="M229" s="1760">
        <v>2645.8290082191779</v>
      </c>
      <c r="N229" s="20">
        <f t="shared" si="41"/>
        <v>8644.1370082191788</v>
      </c>
      <c r="O229" s="371">
        <v>92114.170991780818</v>
      </c>
      <c r="P229" s="371">
        <f t="shared" si="42"/>
        <v>86115.862991780828</v>
      </c>
    </row>
    <row r="230" spans="3:16">
      <c r="C230" t="s">
        <v>3519</v>
      </c>
      <c r="E230" s="218">
        <v>44491</v>
      </c>
      <c r="F230" s="1760">
        <v>70400</v>
      </c>
      <c r="G230">
        <v>15</v>
      </c>
      <c r="H230" s="1760">
        <f t="shared" si="38"/>
        <v>3520</v>
      </c>
      <c r="I230" s="1760">
        <f t="shared" si="39"/>
        <v>66880</v>
      </c>
      <c r="J230" s="1852">
        <v>6.3299999999999995E-2</v>
      </c>
      <c r="K230">
        <v>365</v>
      </c>
      <c r="L230" s="1760">
        <f t="shared" si="40"/>
        <v>4456.32</v>
      </c>
      <c r="M230" s="1760">
        <v>1965.6644383561641</v>
      </c>
      <c r="N230" s="20">
        <f t="shared" si="41"/>
        <v>6421.984438356164</v>
      </c>
      <c r="O230" s="371">
        <v>68434.335561643835</v>
      </c>
      <c r="P230" s="371">
        <f t="shared" si="42"/>
        <v>63978.015561643835</v>
      </c>
    </row>
    <row r="231" spans="3:16">
      <c r="C231" t="s">
        <v>3520</v>
      </c>
      <c r="E231" s="218">
        <v>44495</v>
      </c>
      <c r="F231" s="1760">
        <v>689275</v>
      </c>
      <c r="G231">
        <v>15</v>
      </c>
      <c r="H231" s="1760">
        <f t="shared" si="38"/>
        <v>34463.75</v>
      </c>
      <c r="I231" s="1760">
        <f t="shared" si="39"/>
        <v>654811.25</v>
      </c>
      <c r="J231" s="1852">
        <v>6.3299999999999995E-2</v>
      </c>
      <c r="K231">
        <v>365</v>
      </c>
      <c r="L231" s="1760">
        <f t="shared" si="40"/>
        <v>43631.107499999998</v>
      </c>
      <c r="M231" s="1760">
        <v>18767.353089041095</v>
      </c>
      <c r="N231" s="20">
        <f t="shared" si="41"/>
        <v>62398.460589041089</v>
      </c>
      <c r="O231" s="371">
        <v>670507.64691095892</v>
      </c>
      <c r="P231" s="371">
        <f t="shared" si="42"/>
        <v>626876.53941095888</v>
      </c>
    </row>
    <row r="232" spans="3:16">
      <c r="C232" t="s">
        <v>3521</v>
      </c>
      <c r="E232" s="218">
        <v>44520</v>
      </c>
      <c r="F232" s="1760">
        <v>141448</v>
      </c>
      <c r="G232">
        <v>15</v>
      </c>
      <c r="H232" s="1760">
        <f t="shared" si="38"/>
        <v>7072.4000000000005</v>
      </c>
      <c r="I232" s="1760">
        <f t="shared" si="39"/>
        <v>134375.6</v>
      </c>
      <c r="J232" s="1852">
        <v>6.3299999999999995E-2</v>
      </c>
      <c r="K232">
        <v>365</v>
      </c>
      <c r="L232" s="1760">
        <f t="shared" si="40"/>
        <v>8953.6583999999984</v>
      </c>
      <c r="M232" s="1760">
        <v>3238.0353665753419</v>
      </c>
      <c r="N232" s="20">
        <f t="shared" si="41"/>
        <v>12191.693766575339</v>
      </c>
      <c r="O232" s="371">
        <v>138209.96463342465</v>
      </c>
      <c r="P232" s="371">
        <f t="shared" si="42"/>
        <v>129256.30623342466</v>
      </c>
    </row>
    <row r="233" spans="3:16">
      <c r="C233" t="s">
        <v>3522</v>
      </c>
      <c r="E233" s="218">
        <v>44524</v>
      </c>
      <c r="F233" s="1760">
        <v>45078</v>
      </c>
      <c r="G233">
        <v>15</v>
      </c>
      <c r="H233" s="1760">
        <f t="shared" si="38"/>
        <v>2253.9</v>
      </c>
      <c r="I233" s="1760">
        <f t="shared" si="39"/>
        <v>42824.1</v>
      </c>
      <c r="J233" s="1852">
        <v>6.3299999999999995E-2</v>
      </c>
      <c r="K233">
        <v>365</v>
      </c>
      <c r="L233" s="1760">
        <f t="shared" si="40"/>
        <v>2853.4373999999998</v>
      </c>
      <c r="M233" s="1760">
        <v>1000.6574991780822</v>
      </c>
      <c r="N233" s="20">
        <f t="shared" si="41"/>
        <v>3854.094899178082</v>
      </c>
      <c r="O233" s="371">
        <v>44077.34250082192</v>
      </c>
      <c r="P233" s="371">
        <f t="shared" si="42"/>
        <v>41223.905100821918</v>
      </c>
    </row>
    <row r="234" spans="3:16">
      <c r="C234" t="s">
        <v>3523</v>
      </c>
      <c r="E234" s="218">
        <v>44540</v>
      </c>
      <c r="F234" s="1760">
        <v>996882</v>
      </c>
      <c r="G234">
        <v>15</v>
      </c>
      <c r="H234" s="1760">
        <f t="shared" si="38"/>
        <v>49844.100000000006</v>
      </c>
      <c r="I234" s="1760">
        <f t="shared" si="39"/>
        <v>947037.9</v>
      </c>
      <c r="J234" s="1852">
        <v>6.3299999999999995E-2</v>
      </c>
      <c r="K234">
        <v>365</v>
      </c>
      <c r="L234" s="1760">
        <f t="shared" si="40"/>
        <v>63102.630599999997</v>
      </c>
      <c r="M234" s="1760">
        <v>19362.998978630138</v>
      </c>
      <c r="N234" s="20">
        <f t="shared" si="41"/>
        <v>82465.629578630134</v>
      </c>
      <c r="O234" s="371">
        <v>977519.00102136983</v>
      </c>
      <c r="P234" s="371">
        <f t="shared" si="42"/>
        <v>914416.37042136991</v>
      </c>
    </row>
    <row r="235" spans="3:16">
      <c r="C235" t="s">
        <v>3524</v>
      </c>
      <c r="E235" s="218">
        <v>44541</v>
      </c>
      <c r="F235" s="1760">
        <v>95465</v>
      </c>
      <c r="G235">
        <v>15</v>
      </c>
      <c r="H235" s="1760">
        <f t="shared" si="38"/>
        <v>4773.25</v>
      </c>
      <c r="I235" s="1760">
        <f t="shared" si="39"/>
        <v>90691.75</v>
      </c>
      <c r="J235" s="1852">
        <v>6.3299999999999995E-2</v>
      </c>
      <c r="K235">
        <v>365</v>
      </c>
      <c r="L235" s="1760">
        <f t="shared" si="40"/>
        <v>6042.9344999999994</v>
      </c>
      <c r="M235" s="1760">
        <v>1837.7143273972599</v>
      </c>
      <c r="N235" s="20">
        <f t="shared" si="41"/>
        <v>7880.6488273972591</v>
      </c>
      <c r="O235" s="371">
        <v>93627.285672602738</v>
      </c>
      <c r="P235" s="371">
        <f t="shared" si="42"/>
        <v>87584.351172602735</v>
      </c>
    </row>
    <row r="236" spans="3:16">
      <c r="C236" t="s">
        <v>3525</v>
      </c>
      <c r="E236" s="218">
        <v>44545</v>
      </c>
      <c r="F236" s="1760">
        <v>188470</v>
      </c>
      <c r="G236">
        <v>15</v>
      </c>
      <c r="H236" s="1760">
        <f t="shared" si="38"/>
        <v>9423.5</v>
      </c>
      <c r="I236" s="1760">
        <f t="shared" si="39"/>
        <v>179046.5</v>
      </c>
      <c r="J236" s="1852">
        <v>6.3299999999999995E-2</v>
      </c>
      <c r="K236">
        <v>365</v>
      </c>
      <c r="L236" s="1760">
        <f t="shared" si="40"/>
        <v>11930.151</v>
      </c>
      <c r="M236" s="1760">
        <v>3497.3319369863011</v>
      </c>
      <c r="N236" s="20">
        <f t="shared" si="41"/>
        <v>15427.4829369863</v>
      </c>
      <c r="O236" s="371">
        <v>184972.6680630137</v>
      </c>
      <c r="P236" s="371">
        <f t="shared" si="42"/>
        <v>173042.51706301369</v>
      </c>
    </row>
    <row r="237" spans="3:16">
      <c r="C237" t="s">
        <v>3526</v>
      </c>
      <c r="E237" s="218">
        <v>44552</v>
      </c>
      <c r="F237" s="1760">
        <v>207341</v>
      </c>
      <c r="G237">
        <v>15</v>
      </c>
      <c r="H237" s="1760">
        <f t="shared" si="38"/>
        <v>10367.050000000001</v>
      </c>
      <c r="I237" s="1760">
        <f t="shared" si="39"/>
        <v>196973.95</v>
      </c>
      <c r="J237" s="1852">
        <v>6.3299999999999995E-2</v>
      </c>
      <c r="K237">
        <v>365</v>
      </c>
      <c r="L237" s="1760">
        <f t="shared" si="40"/>
        <v>13124.685299999999</v>
      </c>
      <c r="M237" s="1760">
        <v>3595.8041917808218</v>
      </c>
      <c r="N237" s="20">
        <f t="shared" si="41"/>
        <v>16720.48949178082</v>
      </c>
      <c r="O237" s="371">
        <v>203745.19580821917</v>
      </c>
      <c r="P237" s="371">
        <f t="shared" si="42"/>
        <v>190620.51050821919</v>
      </c>
    </row>
    <row r="238" spans="3:16">
      <c r="C238" t="s">
        <v>3527</v>
      </c>
      <c r="E238" s="218">
        <v>44559</v>
      </c>
      <c r="F238" s="1760">
        <v>112860</v>
      </c>
      <c r="G238">
        <v>15</v>
      </c>
      <c r="H238" s="1760">
        <f t="shared" si="38"/>
        <v>5643</v>
      </c>
      <c r="I238" s="1760">
        <f t="shared" si="39"/>
        <v>107217</v>
      </c>
      <c r="J238" s="1852">
        <v>6.3299999999999995E-2</v>
      </c>
      <c r="K238">
        <v>365</v>
      </c>
      <c r="L238" s="1760">
        <f t="shared" si="40"/>
        <v>7144.0379999999986</v>
      </c>
      <c r="M238" s="1760">
        <v>1820.2617369863012</v>
      </c>
      <c r="N238" s="20">
        <f t="shared" si="41"/>
        <v>8964.2997369863006</v>
      </c>
      <c r="O238" s="371">
        <v>111039.7382630137</v>
      </c>
      <c r="P238" s="371">
        <f t="shared" si="42"/>
        <v>103895.7002630137</v>
      </c>
    </row>
    <row r="239" spans="3:16">
      <c r="C239" t="s">
        <v>3528</v>
      </c>
      <c r="E239" s="218">
        <v>44602</v>
      </c>
      <c r="F239" s="1760">
        <v>245000</v>
      </c>
      <c r="G239">
        <v>15</v>
      </c>
      <c r="H239" s="1760">
        <f t="shared" si="38"/>
        <v>12250</v>
      </c>
      <c r="I239" s="1760">
        <f t="shared" si="39"/>
        <v>232750</v>
      </c>
      <c r="J239" s="1852">
        <v>6.3299999999999995E-2</v>
      </c>
      <c r="K239">
        <v>365</v>
      </c>
      <c r="L239" s="1760">
        <f t="shared" si="40"/>
        <v>15508.499999999998</v>
      </c>
      <c r="M239" s="1760">
        <v>2124.4520547945203</v>
      </c>
      <c r="N239" s="20">
        <f t="shared" si="41"/>
        <v>17632.952054794518</v>
      </c>
      <c r="O239" s="371">
        <v>242875.54794520547</v>
      </c>
      <c r="P239" s="371">
        <f t="shared" si="42"/>
        <v>227367.04794520547</v>
      </c>
    </row>
    <row r="240" spans="3:16">
      <c r="C240" t="s">
        <v>3529</v>
      </c>
      <c r="E240" s="218">
        <v>44602</v>
      </c>
      <c r="F240" s="1760">
        <v>615500</v>
      </c>
      <c r="G240">
        <v>15</v>
      </c>
      <c r="H240" s="1760">
        <f t="shared" si="38"/>
        <v>30775</v>
      </c>
      <c r="I240" s="1760">
        <f t="shared" si="39"/>
        <v>584725</v>
      </c>
      <c r="J240" s="1852">
        <v>6.3299999999999995E-2</v>
      </c>
      <c r="K240">
        <v>365</v>
      </c>
      <c r="L240" s="1760">
        <f t="shared" si="40"/>
        <v>38961.149999999994</v>
      </c>
      <c r="M240" s="1760">
        <v>5337.1438356164381</v>
      </c>
      <c r="N240" s="20">
        <f t="shared" si="41"/>
        <v>44298.29383561643</v>
      </c>
      <c r="O240" s="371">
        <v>610162.85616438359</v>
      </c>
      <c r="P240" s="371">
        <f t="shared" si="42"/>
        <v>571201.70616438356</v>
      </c>
    </row>
    <row r="241" spans="2:16">
      <c r="C241" t="s">
        <v>3530</v>
      </c>
      <c r="E241" s="218">
        <v>44602</v>
      </c>
      <c r="F241" s="1760">
        <v>69500</v>
      </c>
      <c r="G241">
        <v>15</v>
      </c>
      <c r="H241" s="1760">
        <f t="shared" si="38"/>
        <v>3475</v>
      </c>
      <c r="I241" s="1760">
        <f t="shared" si="39"/>
        <v>66025</v>
      </c>
      <c r="J241" s="1852">
        <v>6.3299999999999995E-2</v>
      </c>
      <c r="K241">
        <v>365</v>
      </c>
      <c r="L241" s="1760">
        <f t="shared" si="40"/>
        <v>4399.3499999999995</v>
      </c>
      <c r="M241" s="1760">
        <v>602.65068493150682</v>
      </c>
      <c r="N241" s="20">
        <f t="shared" si="41"/>
        <v>5002.0006849315059</v>
      </c>
      <c r="O241" s="371">
        <v>68897.349315068495</v>
      </c>
      <c r="P241" s="371">
        <f t="shared" si="42"/>
        <v>64497.999315068497</v>
      </c>
    </row>
    <row r="242" spans="2:16">
      <c r="C242" t="s">
        <v>3531</v>
      </c>
      <c r="E242" s="218">
        <v>44622</v>
      </c>
      <c r="F242" s="1760">
        <v>47930</v>
      </c>
      <c r="G242">
        <v>15</v>
      </c>
      <c r="H242" s="1760">
        <f t="shared" si="38"/>
        <v>2396.5</v>
      </c>
      <c r="I242" s="1760">
        <f t="shared" si="39"/>
        <v>45533.5</v>
      </c>
      <c r="J242" s="1852">
        <v>6.3299999999999995E-2</v>
      </c>
      <c r="K242">
        <v>365</v>
      </c>
      <c r="L242" s="1760">
        <f t="shared" si="40"/>
        <v>3033.9689999999996</v>
      </c>
      <c r="M242" s="1760">
        <v>249.36731506849313</v>
      </c>
      <c r="N242" s="20">
        <f t="shared" si="41"/>
        <v>3283.3363150684927</v>
      </c>
      <c r="O242" s="371">
        <v>47680.632684931508</v>
      </c>
      <c r="P242" s="371">
        <f t="shared" si="42"/>
        <v>44646.663684931511</v>
      </c>
    </row>
    <row r="243" spans="2:16">
      <c r="N243"/>
      <c r="O243" s="371"/>
      <c r="P243" s="371">
        <f t="shared" si="42"/>
        <v>0</v>
      </c>
    </row>
    <row r="244" spans="2:16">
      <c r="N244"/>
      <c r="O244" s="371"/>
      <c r="P244" s="371">
        <f t="shared" si="42"/>
        <v>0</v>
      </c>
    </row>
    <row r="245" spans="2:16">
      <c r="B245" t="s">
        <v>3532</v>
      </c>
      <c r="C245" t="s">
        <v>3533</v>
      </c>
      <c r="E245" s="218">
        <v>44489</v>
      </c>
      <c r="F245" s="1760">
        <v>6579260</v>
      </c>
      <c r="G245">
        <v>8</v>
      </c>
      <c r="H245" s="1760">
        <f t="shared" ref="H245:H246" si="43">F245*5%</f>
        <v>328963</v>
      </c>
      <c r="I245" s="1760">
        <f t="shared" ref="I245:I246" si="44">F245-H245</f>
        <v>6250297</v>
      </c>
      <c r="J245" s="1852">
        <v>0.1188</v>
      </c>
      <c r="K245">
        <v>365</v>
      </c>
      <c r="L245" s="1760">
        <f>F245*J245*K245/365</f>
        <v>781616.08799999999</v>
      </c>
      <c r="M245" s="1760">
        <v>349050.47217534244</v>
      </c>
      <c r="N245" s="20">
        <f t="shared" ref="N245:N246" si="45">L245+M245</f>
        <v>1130666.5601753425</v>
      </c>
      <c r="O245" s="371">
        <v>6230209.527824658</v>
      </c>
      <c r="P245" s="371">
        <f t="shared" si="42"/>
        <v>5448593.4398246575</v>
      </c>
    </row>
    <row r="246" spans="2:16">
      <c r="C246" t="s">
        <v>3534</v>
      </c>
      <c r="E246" s="218">
        <v>44643</v>
      </c>
      <c r="F246" s="1760">
        <v>95000</v>
      </c>
      <c r="G246">
        <v>10</v>
      </c>
      <c r="H246" s="1760">
        <f t="shared" si="43"/>
        <v>4750</v>
      </c>
      <c r="I246" s="1760">
        <f t="shared" si="44"/>
        <v>90250</v>
      </c>
      <c r="J246" s="1852">
        <v>9.5000000000000001E-2</v>
      </c>
      <c r="K246">
        <v>365</v>
      </c>
      <c r="L246" s="1760">
        <f>F246*J246*K246/365</f>
        <v>9025</v>
      </c>
      <c r="M246" s="1760">
        <v>222.53424657534248</v>
      </c>
      <c r="N246" s="20">
        <f t="shared" si="45"/>
        <v>9247.534246575342</v>
      </c>
      <c r="O246" s="371">
        <v>94777.465753424651</v>
      </c>
      <c r="P246" s="371">
        <f t="shared" si="42"/>
        <v>85752.465753424651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7"/>
  <sheetViews>
    <sheetView workbookViewId="0">
      <selection activeCell="J12" sqref="J12"/>
    </sheetView>
  </sheetViews>
  <sheetFormatPr defaultRowHeight="14.4"/>
  <sheetData>
    <row r="1" spans="1:15">
      <c r="A1" t="s">
        <v>3467</v>
      </c>
      <c r="B1" t="s">
        <v>3468</v>
      </c>
      <c r="C1" t="s">
        <v>4341</v>
      </c>
      <c r="D1" t="s">
        <v>3469</v>
      </c>
      <c r="E1" t="s">
        <v>3471</v>
      </c>
      <c r="F1" t="s">
        <v>1362</v>
      </c>
      <c r="G1" t="s">
        <v>3474</v>
      </c>
      <c r="H1" t="s">
        <v>3475</v>
      </c>
      <c r="I1" t="s">
        <v>3476</v>
      </c>
      <c r="J1" t="s">
        <v>3472</v>
      </c>
      <c r="K1" t="s">
        <v>3473</v>
      </c>
      <c r="L1" t="s">
        <v>2123</v>
      </c>
      <c r="M1" t="s">
        <v>3537</v>
      </c>
      <c r="N1" t="s">
        <v>4168</v>
      </c>
      <c r="O1" t="s">
        <v>3540</v>
      </c>
    </row>
    <row r="2" spans="1:15">
      <c r="B2" t="s">
        <v>4042</v>
      </c>
      <c r="C2" t="s">
        <v>4339</v>
      </c>
      <c r="D2">
        <v>44652</v>
      </c>
      <c r="E2">
        <v>25000</v>
      </c>
      <c r="F2">
        <v>3</v>
      </c>
      <c r="G2">
        <v>1250</v>
      </c>
      <c r="H2">
        <v>23750</v>
      </c>
      <c r="I2">
        <v>0.31669999999999998</v>
      </c>
      <c r="J2">
        <v>364</v>
      </c>
      <c r="K2">
        <v>7895.8082191780813</v>
      </c>
      <c r="L2">
        <v>17104.191780821919</v>
      </c>
      <c r="O2" t="s">
        <v>4254</v>
      </c>
    </row>
    <row r="3" spans="1:15">
      <c r="B3" t="s">
        <v>4043</v>
      </c>
      <c r="C3" t="s">
        <v>4339</v>
      </c>
      <c r="D3">
        <v>44655</v>
      </c>
      <c r="E3">
        <v>43711.864406779656</v>
      </c>
      <c r="F3">
        <v>3</v>
      </c>
      <c r="G3">
        <v>2185.593220338983</v>
      </c>
      <c r="H3">
        <v>41526.271186440674</v>
      </c>
      <c r="I3">
        <v>0.31669999999999998</v>
      </c>
      <c r="J3">
        <v>361</v>
      </c>
      <c r="K3">
        <v>13691.837348502435</v>
      </c>
      <c r="L3">
        <v>30020.027058277221</v>
      </c>
      <c r="O3" t="s">
        <v>4254</v>
      </c>
    </row>
    <row r="4" spans="1:15">
      <c r="B4" t="s">
        <v>4045</v>
      </c>
      <c r="C4" t="s">
        <v>4339</v>
      </c>
      <c r="D4">
        <v>44692</v>
      </c>
      <c r="E4">
        <v>29027.966101694918</v>
      </c>
      <c r="F4">
        <v>3</v>
      </c>
      <c r="G4">
        <v>1451.398305084746</v>
      </c>
      <c r="H4">
        <v>27576.567796610172</v>
      </c>
      <c r="I4">
        <v>0.31669999999999998</v>
      </c>
      <c r="J4">
        <v>324</v>
      </c>
      <c r="K4">
        <v>8160.500887856977</v>
      </c>
      <c r="L4">
        <v>20867.465213837939</v>
      </c>
      <c r="O4" t="s">
        <v>4254</v>
      </c>
    </row>
    <row r="5" spans="1:15">
      <c r="B5" t="s">
        <v>4046</v>
      </c>
      <c r="C5" t="s">
        <v>4339</v>
      </c>
      <c r="D5">
        <v>44803</v>
      </c>
      <c r="E5">
        <v>50847.457627118638</v>
      </c>
      <c r="F5">
        <v>3</v>
      </c>
      <c r="G5">
        <v>2542.3728813559319</v>
      </c>
      <c r="H5">
        <v>48305.08474576271</v>
      </c>
      <c r="I5">
        <v>0.31669999999999998</v>
      </c>
      <c r="J5">
        <v>213</v>
      </c>
      <c r="K5">
        <v>9397.3206408172719</v>
      </c>
      <c r="L5">
        <v>41450.136986301368</v>
      </c>
      <c r="O5" t="s">
        <v>4254</v>
      </c>
    </row>
    <row r="6" spans="1:15">
      <c r="B6" t="s">
        <v>4047</v>
      </c>
      <c r="C6" t="s">
        <v>4339</v>
      </c>
      <c r="D6">
        <v>44882</v>
      </c>
      <c r="E6">
        <v>41445.762711864401</v>
      </c>
      <c r="F6">
        <v>3</v>
      </c>
      <c r="G6">
        <v>2072.28813559322</v>
      </c>
      <c r="H6">
        <v>39373.474576271183</v>
      </c>
      <c r="I6">
        <v>0.31669999999999998</v>
      </c>
      <c r="J6">
        <v>134</v>
      </c>
      <c r="K6">
        <v>4818.8136679823529</v>
      </c>
      <c r="L6">
        <v>36626.94904388205</v>
      </c>
      <c r="O6" t="s">
        <v>4255</v>
      </c>
    </row>
    <row r="7" spans="1:15">
      <c r="B7" t="s">
        <v>4049</v>
      </c>
      <c r="C7" t="s">
        <v>4339</v>
      </c>
      <c r="D7">
        <v>44947</v>
      </c>
      <c r="E7">
        <v>57203.389830508473</v>
      </c>
      <c r="F7">
        <v>3</v>
      </c>
      <c r="G7">
        <v>2860.1694915254238</v>
      </c>
      <c r="H7">
        <v>54343.220338983047</v>
      </c>
      <c r="I7">
        <v>0.31669999999999998</v>
      </c>
      <c r="J7">
        <v>69</v>
      </c>
      <c r="K7">
        <v>3424.7277687485484</v>
      </c>
      <c r="L7">
        <v>53778.662061759926</v>
      </c>
      <c r="O7" t="s">
        <v>4255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F2:M40"/>
  <sheetViews>
    <sheetView topLeftCell="A29" workbookViewId="0">
      <selection activeCell="M38" sqref="M38"/>
    </sheetView>
  </sheetViews>
  <sheetFormatPr defaultRowHeight="14.4"/>
  <cols>
    <col min="12" max="13" width="11.5546875" style="2147" bestFit="1" customWidth="1"/>
  </cols>
  <sheetData>
    <row r="2" spans="6:13">
      <c r="F2" t="s">
        <v>4269</v>
      </c>
    </row>
    <row r="3" spans="6:13">
      <c r="F3" t="s">
        <v>3157</v>
      </c>
    </row>
    <row r="5" spans="6:13">
      <c r="F5" t="s">
        <v>4270</v>
      </c>
      <c r="G5" t="s">
        <v>4271</v>
      </c>
      <c r="K5">
        <v>440729</v>
      </c>
      <c r="L5" s="2147">
        <f>K5*18%</f>
        <v>79331.22</v>
      </c>
      <c r="M5" s="2147">
        <f>K5-L5</f>
        <v>361397.78</v>
      </c>
    </row>
    <row r="6" spans="6:13">
      <c r="F6" t="s">
        <v>4272</v>
      </c>
      <c r="G6" t="s">
        <v>4273</v>
      </c>
      <c r="K6">
        <v>533605</v>
      </c>
      <c r="L6" s="2147">
        <f t="shared" ref="L6:L16" si="0">K6*18%</f>
        <v>96048.9</v>
      </c>
      <c r="M6" s="2147">
        <f t="shared" ref="M6:M16" si="1">K6-L6</f>
        <v>437556.1</v>
      </c>
    </row>
    <row r="7" spans="6:13">
      <c r="F7" t="s">
        <v>4274</v>
      </c>
      <c r="G7" t="s">
        <v>4275</v>
      </c>
      <c r="K7">
        <v>121450</v>
      </c>
      <c r="L7" s="2147">
        <f t="shared" si="0"/>
        <v>21861</v>
      </c>
      <c r="M7" s="2147">
        <f t="shared" si="1"/>
        <v>99589</v>
      </c>
    </row>
    <row r="8" spans="6:13">
      <c r="F8" t="s">
        <v>4276</v>
      </c>
      <c r="G8" t="s">
        <v>4277</v>
      </c>
      <c r="K8">
        <v>255991</v>
      </c>
      <c r="L8" s="2147">
        <f t="shared" si="0"/>
        <v>46078.38</v>
      </c>
      <c r="M8" s="2147">
        <f t="shared" si="1"/>
        <v>209912.62</v>
      </c>
    </row>
    <row r="9" spans="6:13">
      <c r="F9" t="s">
        <v>4278</v>
      </c>
      <c r="G9" t="s">
        <v>4271</v>
      </c>
      <c r="K9">
        <v>183029</v>
      </c>
      <c r="L9" s="2147">
        <f t="shared" si="0"/>
        <v>32945.22</v>
      </c>
      <c r="M9" s="2147">
        <f t="shared" si="1"/>
        <v>150083.78</v>
      </c>
    </row>
    <row r="10" spans="6:13">
      <c r="F10" t="s">
        <v>4279</v>
      </c>
      <c r="G10" t="s">
        <v>4280</v>
      </c>
      <c r="K10">
        <v>337271</v>
      </c>
      <c r="L10" s="2147">
        <f t="shared" si="0"/>
        <v>60708.78</v>
      </c>
      <c r="M10" s="2147">
        <f t="shared" si="1"/>
        <v>276562.21999999997</v>
      </c>
    </row>
    <row r="11" spans="6:13">
      <c r="F11" t="s">
        <v>4281</v>
      </c>
      <c r="G11" t="s">
        <v>4280</v>
      </c>
      <c r="K11">
        <v>151400</v>
      </c>
      <c r="L11" s="2147">
        <f t="shared" si="0"/>
        <v>27252</v>
      </c>
      <c r="M11" s="2147">
        <f t="shared" si="1"/>
        <v>124148</v>
      </c>
    </row>
    <row r="12" spans="6:13">
      <c r="F12" t="s">
        <v>4282</v>
      </c>
      <c r="G12" t="s">
        <v>4283</v>
      </c>
      <c r="K12">
        <v>564441</v>
      </c>
      <c r="L12" s="2147">
        <f t="shared" si="0"/>
        <v>101599.37999999999</v>
      </c>
      <c r="M12" s="2147">
        <f t="shared" si="1"/>
        <v>462841.62</v>
      </c>
    </row>
    <row r="13" spans="6:13">
      <c r="F13" t="s">
        <v>4284</v>
      </c>
      <c r="G13" t="s">
        <v>4285</v>
      </c>
      <c r="K13">
        <v>513310</v>
      </c>
      <c r="L13" s="2147">
        <f t="shared" si="0"/>
        <v>92395.8</v>
      </c>
      <c r="M13" s="2147">
        <f t="shared" si="1"/>
        <v>420914.2</v>
      </c>
    </row>
    <row r="14" spans="6:13">
      <c r="F14" t="s">
        <v>4286</v>
      </c>
      <c r="G14" t="s">
        <v>4285</v>
      </c>
      <c r="K14">
        <v>728358</v>
      </c>
      <c r="L14" s="2147">
        <f t="shared" si="0"/>
        <v>131104.44</v>
      </c>
      <c r="M14" s="2147">
        <f t="shared" si="1"/>
        <v>597253.56000000006</v>
      </c>
    </row>
    <row r="15" spans="6:13">
      <c r="F15" t="s">
        <v>4287</v>
      </c>
      <c r="G15" t="s">
        <v>4285</v>
      </c>
      <c r="K15">
        <v>669108</v>
      </c>
      <c r="L15" s="2147">
        <f t="shared" si="0"/>
        <v>120439.44</v>
      </c>
      <c r="M15" s="2147">
        <f t="shared" si="1"/>
        <v>548668.56000000006</v>
      </c>
    </row>
    <row r="16" spans="6:13">
      <c r="F16" t="s">
        <v>4288</v>
      </c>
      <c r="G16" t="s">
        <v>4289</v>
      </c>
      <c r="K16">
        <v>196545</v>
      </c>
      <c r="L16" s="2147">
        <f t="shared" si="0"/>
        <v>35378.1</v>
      </c>
      <c r="M16" s="2147">
        <f t="shared" si="1"/>
        <v>161166.9</v>
      </c>
    </row>
    <row r="17" spans="6:13">
      <c r="K17" s="254">
        <f>SUM(K5:K16)</f>
        <v>4695237</v>
      </c>
    </row>
    <row r="18" spans="6:13">
      <c r="F18" t="s">
        <v>4290</v>
      </c>
    </row>
    <row r="20" spans="6:13">
      <c r="F20" t="s">
        <v>4291</v>
      </c>
      <c r="G20" t="s">
        <v>4273</v>
      </c>
      <c r="K20">
        <v>25618</v>
      </c>
      <c r="L20" s="2147">
        <f>K20*18%</f>
        <v>4611.24</v>
      </c>
      <c r="M20" s="2147">
        <f>K20-L20</f>
        <v>21006.760000000002</v>
      </c>
    </row>
    <row r="21" spans="6:13">
      <c r="F21" t="s">
        <v>4292</v>
      </c>
      <c r="G21" t="s">
        <v>4293</v>
      </c>
      <c r="K21">
        <v>16822</v>
      </c>
      <c r="L21" s="2147">
        <f t="shared" ref="L21:L37" si="2">K21*18%</f>
        <v>3027.96</v>
      </c>
      <c r="M21" s="2147">
        <f t="shared" ref="M21:M37" si="3">K21-L21</f>
        <v>13794.04</v>
      </c>
    </row>
    <row r="22" spans="6:13">
      <c r="F22" t="s">
        <v>4294</v>
      </c>
      <c r="G22" t="s">
        <v>4293</v>
      </c>
      <c r="K22">
        <v>81697</v>
      </c>
      <c r="L22" s="2147">
        <f t="shared" si="2"/>
        <v>14705.46</v>
      </c>
      <c r="M22" s="2147">
        <f t="shared" si="3"/>
        <v>66991.540000000008</v>
      </c>
    </row>
    <row r="23" spans="6:13">
      <c r="F23" t="s">
        <v>4295</v>
      </c>
      <c r="G23" t="s">
        <v>4273</v>
      </c>
      <c r="K23">
        <v>48105</v>
      </c>
      <c r="L23" s="2147">
        <f t="shared" si="2"/>
        <v>8658.9</v>
      </c>
      <c r="M23" s="2147">
        <f t="shared" si="3"/>
        <v>39446.1</v>
      </c>
    </row>
    <row r="24" spans="6:13">
      <c r="F24" t="s">
        <v>4296</v>
      </c>
      <c r="G24" t="s">
        <v>4297</v>
      </c>
      <c r="K24">
        <v>115846</v>
      </c>
      <c r="L24" s="2147">
        <f t="shared" si="2"/>
        <v>20852.28</v>
      </c>
      <c r="M24" s="2147">
        <f t="shared" si="3"/>
        <v>94993.72</v>
      </c>
    </row>
    <row r="25" spans="6:13">
      <c r="F25" t="s">
        <v>4298</v>
      </c>
      <c r="G25" t="s">
        <v>4293</v>
      </c>
      <c r="K25">
        <v>30108</v>
      </c>
      <c r="L25" s="2147">
        <f t="shared" si="2"/>
        <v>5419.44</v>
      </c>
      <c r="M25" s="2147">
        <f t="shared" si="3"/>
        <v>24688.560000000001</v>
      </c>
    </row>
    <row r="26" spans="6:13">
      <c r="F26" t="s">
        <v>4298</v>
      </c>
      <c r="G26" t="s">
        <v>4293</v>
      </c>
      <c r="K26">
        <v>8095</v>
      </c>
      <c r="L26" s="2147">
        <f t="shared" si="2"/>
        <v>1457.1</v>
      </c>
      <c r="M26" s="2147">
        <f t="shared" si="3"/>
        <v>6637.9</v>
      </c>
    </row>
    <row r="27" spans="6:13">
      <c r="F27" t="s">
        <v>4299</v>
      </c>
      <c r="G27" t="s">
        <v>4293</v>
      </c>
      <c r="K27">
        <v>71980</v>
      </c>
      <c r="L27" s="2147">
        <f t="shared" si="2"/>
        <v>12956.4</v>
      </c>
      <c r="M27" s="2147">
        <f t="shared" si="3"/>
        <v>59023.6</v>
      </c>
    </row>
    <row r="28" spans="6:13">
      <c r="F28" t="s">
        <v>4300</v>
      </c>
      <c r="G28" t="s">
        <v>4293</v>
      </c>
      <c r="K28">
        <v>54461</v>
      </c>
      <c r="L28" s="2147">
        <f t="shared" si="2"/>
        <v>9802.98</v>
      </c>
      <c r="M28" s="2147">
        <f t="shared" si="3"/>
        <v>44658.020000000004</v>
      </c>
    </row>
    <row r="29" spans="6:13">
      <c r="F29" t="s">
        <v>4301</v>
      </c>
      <c r="G29" t="s">
        <v>4293</v>
      </c>
      <c r="K29">
        <v>68611</v>
      </c>
      <c r="L29" s="2147">
        <f t="shared" si="2"/>
        <v>12349.98</v>
      </c>
      <c r="M29" s="2147">
        <f t="shared" si="3"/>
        <v>56261.020000000004</v>
      </c>
    </row>
    <row r="30" spans="6:13">
      <c r="F30" t="s">
        <v>4302</v>
      </c>
      <c r="G30" t="s">
        <v>4303</v>
      </c>
      <c r="K30">
        <v>34688</v>
      </c>
      <c r="L30" s="2147">
        <f t="shared" si="2"/>
        <v>6243.84</v>
      </c>
      <c r="M30" s="2147">
        <f t="shared" si="3"/>
        <v>28444.16</v>
      </c>
    </row>
    <row r="31" spans="6:13">
      <c r="F31" t="s">
        <v>4304</v>
      </c>
      <c r="G31" t="s">
        <v>4293</v>
      </c>
      <c r="K31">
        <v>65016</v>
      </c>
      <c r="L31" s="2147">
        <f t="shared" si="2"/>
        <v>11702.88</v>
      </c>
      <c r="M31" s="2147">
        <f t="shared" si="3"/>
        <v>53313.120000000003</v>
      </c>
    </row>
    <row r="32" spans="6:13">
      <c r="F32" t="s">
        <v>4272</v>
      </c>
      <c r="G32" t="s">
        <v>4273</v>
      </c>
      <c r="K32">
        <v>67397</v>
      </c>
      <c r="L32" s="2147">
        <f t="shared" si="2"/>
        <v>12131.46</v>
      </c>
      <c r="M32" s="2147">
        <f t="shared" si="3"/>
        <v>55265.54</v>
      </c>
    </row>
    <row r="33" spans="6:13">
      <c r="F33" t="s">
        <v>4305</v>
      </c>
      <c r="G33" t="s">
        <v>4306</v>
      </c>
      <c r="K33">
        <v>8250</v>
      </c>
      <c r="L33" s="2147">
        <f t="shared" si="2"/>
        <v>1485</v>
      </c>
      <c r="M33" s="2147">
        <f t="shared" si="3"/>
        <v>6765</v>
      </c>
    </row>
    <row r="34" spans="6:13">
      <c r="F34" t="s">
        <v>4307</v>
      </c>
      <c r="G34" t="s">
        <v>4308</v>
      </c>
      <c r="K34">
        <v>154231</v>
      </c>
      <c r="L34" s="2147">
        <f t="shared" si="2"/>
        <v>27761.579999999998</v>
      </c>
      <c r="M34" s="2147">
        <f t="shared" si="3"/>
        <v>126469.42</v>
      </c>
    </row>
    <row r="35" spans="6:13">
      <c r="F35" t="s">
        <v>4307</v>
      </c>
      <c r="G35" t="s">
        <v>4308</v>
      </c>
      <c r="K35">
        <v>184080</v>
      </c>
      <c r="L35" s="2147">
        <f t="shared" si="2"/>
        <v>33134.400000000001</v>
      </c>
      <c r="M35" s="2147">
        <f t="shared" si="3"/>
        <v>150945.60000000001</v>
      </c>
    </row>
    <row r="36" spans="6:13">
      <c r="F36" t="s">
        <v>4309</v>
      </c>
      <c r="G36" t="s">
        <v>4310</v>
      </c>
      <c r="K36">
        <v>178770</v>
      </c>
      <c r="L36" s="2147">
        <f t="shared" si="2"/>
        <v>32178.6</v>
      </c>
      <c r="M36" s="2147">
        <f t="shared" si="3"/>
        <v>146591.4</v>
      </c>
    </row>
    <row r="37" spans="6:13">
      <c r="F37" t="s">
        <v>4311</v>
      </c>
      <c r="G37" t="s">
        <v>4312</v>
      </c>
      <c r="K37">
        <v>99993</v>
      </c>
      <c r="L37" s="2147">
        <f t="shared" si="2"/>
        <v>17998.739999999998</v>
      </c>
      <c r="M37" s="2147">
        <f t="shared" si="3"/>
        <v>81994.260000000009</v>
      </c>
    </row>
    <row r="38" spans="6:13">
      <c r="K38" s="254">
        <f>SUM(K20:K37)</f>
        <v>1313768</v>
      </c>
      <c r="M38" s="2345">
        <f>SUM(M5:M37)</f>
        <v>4927384.0999999996</v>
      </c>
    </row>
    <row r="40" spans="6:13">
      <c r="I40" s="254" t="s">
        <v>4313</v>
      </c>
      <c r="J40" s="254"/>
      <c r="K40" s="254">
        <f>K17+K38</f>
        <v>6009005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filterMode="1"/>
  <dimension ref="A1:U138"/>
  <sheetViews>
    <sheetView topLeftCell="P8" workbookViewId="0"/>
  </sheetViews>
  <sheetFormatPr defaultColWidth="8.77734375" defaultRowHeight="15.6"/>
  <cols>
    <col min="1" max="1" width="13.44140625" style="2208" bestFit="1" customWidth="1"/>
    <col min="2" max="2" width="3.44140625" style="2208" bestFit="1" customWidth="1"/>
    <col min="3" max="3" width="36.44140625" style="2208" bestFit="1" customWidth="1"/>
    <col min="4" max="4" width="8.44140625" style="2208" bestFit="1" customWidth="1"/>
    <col min="5" max="5" width="8.44140625" style="2208" customWidth="1"/>
    <col min="6" max="6" width="6.44140625" style="2279" bestFit="1" customWidth="1"/>
    <col min="7" max="7" width="15.5546875" style="2208" customWidth="1"/>
    <col min="8" max="8" width="12.5546875" style="2208" bestFit="1" customWidth="1"/>
    <col min="9" max="11" width="9.21875" style="2208" bestFit="1" customWidth="1"/>
    <col min="12" max="12" width="9.21875" style="2208" customWidth="1"/>
    <col min="13" max="13" width="16.77734375" style="2208" bestFit="1" customWidth="1"/>
    <col min="14" max="14" width="55" style="2208" customWidth="1"/>
    <col min="15" max="15" width="10.44140625" style="2208" bestFit="1" customWidth="1"/>
    <col min="16" max="18" width="8.77734375" style="2208"/>
    <col min="19" max="19" width="12.5546875" style="2208" bestFit="1" customWidth="1"/>
    <col min="20" max="20" width="8.77734375" style="2208"/>
    <col min="21" max="21" width="13.21875" style="2208" bestFit="1" customWidth="1"/>
    <col min="22" max="16384" width="8.77734375" style="2208"/>
  </cols>
  <sheetData>
    <row r="1" spans="1:21" ht="17.399999999999999">
      <c r="A1" s="2204" t="s">
        <v>3821</v>
      </c>
      <c r="B1" s="2204"/>
      <c r="C1" s="2204"/>
      <c r="D1" s="2205"/>
      <c r="E1" s="2205"/>
      <c r="F1" s="2206"/>
      <c r="G1" s="2205"/>
      <c r="H1" s="2205"/>
      <c r="I1" s="2207"/>
      <c r="J1" s="2207"/>
      <c r="K1" s="2207"/>
      <c r="L1" s="2207"/>
      <c r="M1" s="2207"/>
    </row>
    <row r="2" spans="1:21" ht="17.399999999999999">
      <c r="A2" s="2209" t="s">
        <v>3822</v>
      </c>
      <c r="B2" s="2209"/>
      <c r="C2" s="2209"/>
      <c r="D2" s="2205"/>
      <c r="E2" s="2205"/>
      <c r="F2" s="2206"/>
      <c r="G2" s="2205"/>
      <c r="H2" s="2205"/>
      <c r="I2" s="2207"/>
      <c r="J2" s="2207"/>
      <c r="K2" s="2207"/>
      <c r="L2" s="2207"/>
      <c r="M2" s="2207"/>
    </row>
    <row r="3" spans="1:21" ht="17.399999999999999">
      <c r="A3" s="2209" t="s">
        <v>1663</v>
      </c>
      <c r="B3" s="2209"/>
      <c r="C3" s="2209"/>
      <c r="D3" s="2205"/>
      <c r="E3" s="2205"/>
      <c r="F3" s="2206"/>
      <c r="G3" s="2205"/>
      <c r="H3" s="2205"/>
      <c r="I3" s="2207"/>
      <c r="J3" s="2207"/>
      <c r="K3" s="2207"/>
      <c r="L3" s="2207"/>
      <c r="M3" s="2207"/>
    </row>
    <row r="4" spans="1:21" ht="17.399999999999999">
      <c r="A4" s="2209" t="s">
        <v>1664</v>
      </c>
      <c r="B4" s="2209"/>
      <c r="C4" s="2209"/>
      <c r="D4" s="2205"/>
      <c r="E4" s="2205"/>
      <c r="F4" s="2206"/>
      <c r="G4" s="2205"/>
      <c r="H4" s="2205"/>
      <c r="I4" s="2207"/>
      <c r="J4" s="2207"/>
      <c r="K4" s="2207"/>
      <c r="L4" s="2207"/>
      <c r="M4" s="2207"/>
    </row>
    <row r="5" spans="1:21" ht="17.399999999999999">
      <c r="A5" s="2210" t="s">
        <v>1665</v>
      </c>
      <c r="B5" s="2210"/>
      <c r="C5" s="2210"/>
      <c r="D5" s="2205"/>
      <c r="E5" s="2205"/>
      <c r="F5" s="2206"/>
      <c r="G5" s="2205"/>
      <c r="H5" s="2205"/>
      <c r="I5" s="2207"/>
      <c r="J5" s="2207"/>
      <c r="K5" s="2207"/>
      <c r="L5" s="2207"/>
      <c r="M5" s="2207"/>
    </row>
    <row r="6" spans="1:21" ht="17.399999999999999">
      <c r="A6" s="2209" t="s">
        <v>4214</v>
      </c>
      <c r="B6" s="2209"/>
      <c r="C6" s="2209"/>
      <c r="D6" s="2205"/>
      <c r="E6" s="2205"/>
      <c r="F6" s="2206"/>
      <c r="G6" s="2205"/>
      <c r="H6" s="2205"/>
      <c r="I6" s="2207"/>
      <c r="J6" s="2207"/>
      <c r="K6" s="2207"/>
      <c r="L6" s="2207"/>
      <c r="M6" s="2207"/>
    </row>
    <row r="7" spans="1:21" ht="17.399999999999999">
      <c r="A7" s="2209" t="s">
        <v>82</v>
      </c>
      <c r="B7" s="2209"/>
      <c r="C7" s="2209"/>
      <c r="D7" s="2205"/>
      <c r="E7" s="2205"/>
      <c r="F7" s="2206"/>
      <c r="G7" s="2205"/>
      <c r="H7" s="2205"/>
      <c r="I7" s="2207"/>
      <c r="J7" s="2207"/>
      <c r="K7" s="2207"/>
      <c r="L7" s="2207"/>
      <c r="M7" s="2207"/>
    </row>
    <row r="8" spans="1:21" ht="17.399999999999999">
      <c r="A8" s="2209" t="s">
        <v>82</v>
      </c>
      <c r="B8" s="2209"/>
      <c r="C8" s="2209"/>
      <c r="D8" s="2205"/>
      <c r="E8" s="2205"/>
      <c r="F8" s="2206"/>
      <c r="G8" s="2205"/>
      <c r="H8" s="2205"/>
      <c r="I8" s="2207"/>
      <c r="J8" s="2207"/>
      <c r="K8" s="2207"/>
      <c r="L8" s="2207"/>
      <c r="M8" s="2207"/>
    </row>
    <row r="9" spans="1:21" ht="17.399999999999999">
      <c r="A9" s="2209" t="s">
        <v>3823</v>
      </c>
      <c r="B9" s="2209"/>
      <c r="C9" s="2209"/>
      <c r="D9" s="2205"/>
      <c r="E9" s="2205"/>
      <c r="F9" s="2206"/>
      <c r="G9" s="2205"/>
      <c r="H9" s="2205"/>
      <c r="I9" s="2207"/>
      <c r="J9" s="2207"/>
      <c r="K9" s="2207"/>
      <c r="L9" s="2207"/>
      <c r="M9" s="2207"/>
    </row>
    <row r="10" spans="1:21" ht="52.2">
      <c r="A10" s="2211" t="s">
        <v>1353</v>
      </c>
      <c r="B10" s="2212" t="s">
        <v>1</v>
      </c>
      <c r="C10" s="2212"/>
      <c r="D10" s="2213" t="s">
        <v>4215</v>
      </c>
      <c r="E10" s="2213"/>
      <c r="F10" s="2214" t="s">
        <v>4216</v>
      </c>
      <c r="G10" s="2215" t="s">
        <v>4217</v>
      </c>
      <c r="H10" s="2216" t="s">
        <v>4218</v>
      </c>
      <c r="I10" s="2217" t="s">
        <v>2984</v>
      </c>
      <c r="J10" s="2217" t="s">
        <v>2985</v>
      </c>
      <c r="K10" s="2217" t="s">
        <v>4219</v>
      </c>
      <c r="M10" s="2218" t="s">
        <v>4220</v>
      </c>
      <c r="N10" s="2217" t="s">
        <v>3165</v>
      </c>
      <c r="O10" s="2219" t="s">
        <v>4221</v>
      </c>
      <c r="S10" s="2220">
        <v>2932808</v>
      </c>
    </row>
    <row r="11" spans="1:21" ht="17.55" hidden="1" customHeight="1">
      <c r="A11" s="2221" t="s">
        <v>4222</v>
      </c>
      <c r="B11" s="2213" t="s">
        <v>1868</v>
      </c>
      <c r="C11" s="2212" t="s">
        <v>1889</v>
      </c>
      <c r="D11" s="2212" t="s">
        <v>1875</v>
      </c>
      <c r="E11" s="2212"/>
      <c r="F11" s="2222">
        <v>6</v>
      </c>
      <c r="G11" s="2223">
        <v>51580</v>
      </c>
      <c r="H11" s="2224">
        <v>0</v>
      </c>
      <c r="I11" s="2224">
        <f>G11/118*9</f>
        <v>3934.0677966101694</v>
      </c>
      <c r="J11" s="2224">
        <f>G11/118*9</f>
        <v>3934.0677966101694</v>
      </c>
      <c r="K11" s="2225"/>
      <c r="L11" s="2224"/>
      <c r="M11" s="2224">
        <f>G11-H11-I11-J11</f>
        <v>43711.864406779656</v>
      </c>
      <c r="N11" s="2226">
        <f>G11-M11</f>
        <v>7868.1355932203442</v>
      </c>
      <c r="O11" s="2208" t="s">
        <v>93</v>
      </c>
      <c r="U11" s="2282">
        <f>VLOOKUP(M11,'FA Register Final'!$F$3:$F$150,1,0)</f>
        <v>43711.864406779656</v>
      </c>
    </row>
    <row r="12" spans="1:21" ht="17.55" hidden="1" customHeight="1">
      <c r="A12" s="2227">
        <v>44652</v>
      </c>
      <c r="B12" s="2213" t="s">
        <v>1868</v>
      </c>
      <c r="C12" s="2212" t="s">
        <v>1889</v>
      </c>
      <c r="D12" s="2212" t="s">
        <v>1875</v>
      </c>
      <c r="E12" s="2212"/>
      <c r="F12" s="2222">
        <v>7</v>
      </c>
      <c r="G12" s="2223">
        <v>29500</v>
      </c>
      <c r="H12" s="2224">
        <v>0</v>
      </c>
      <c r="I12" s="2224">
        <f>G12/118*9</f>
        <v>2250</v>
      </c>
      <c r="J12" s="2224">
        <f>G12/118*9</f>
        <v>2250</v>
      </c>
      <c r="K12" s="2225"/>
      <c r="L12" s="2224"/>
      <c r="M12" s="2224">
        <f>G12-H12-I12-J12</f>
        <v>25000</v>
      </c>
      <c r="N12" s="2226">
        <f t="shared" ref="N12:N75" si="0">G12-M12</f>
        <v>4500</v>
      </c>
      <c r="O12" s="2208" t="s">
        <v>93</v>
      </c>
      <c r="U12" s="2282">
        <f>VLOOKUP(M12,'FA Register Final'!$F$3:$F$150,1,0)</f>
        <v>25000</v>
      </c>
    </row>
    <row r="13" spans="1:21" ht="17.55" customHeight="1">
      <c r="A13" s="2221" t="s">
        <v>4222</v>
      </c>
      <c r="B13" s="2213" t="s">
        <v>1868</v>
      </c>
      <c r="C13" s="2212" t="s">
        <v>1969</v>
      </c>
      <c r="D13" s="2212" t="s">
        <v>1875</v>
      </c>
      <c r="E13" s="2212"/>
      <c r="F13" s="2228">
        <v>23</v>
      </c>
      <c r="G13" s="2223">
        <v>3300</v>
      </c>
      <c r="H13" s="2229">
        <v>0</v>
      </c>
      <c r="I13" s="2229">
        <f>G13/118*9</f>
        <v>251.69491525423729</v>
      </c>
      <c r="J13" s="2229">
        <f>G13/118*9</f>
        <v>251.69491525423729</v>
      </c>
      <c r="K13" s="2217"/>
      <c r="L13" s="2217"/>
      <c r="M13" s="2224">
        <f t="shared" ref="M13:M76" si="1">G13-H13-I13-J13</f>
        <v>2796.6101694915251</v>
      </c>
      <c r="N13" s="2226">
        <f t="shared" si="0"/>
        <v>503.38983050847492</v>
      </c>
      <c r="O13" s="2208" t="s">
        <v>1267</v>
      </c>
      <c r="U13" s="2282">
        <f>VLOOKUP(M13,'FA Register Final'!$F$3:$F$150,1,0)</f>
        <v>2796.6101694915251</v>
      </c>
    </row>
    <row r="14" spans="1:21" ht="17.55" customHeight="1">
      <c r="A14" s="2221" t="s">
        <v>4222</v>
      </c>
      <c r="B14" s="2213" t="s">
        <v>1868</v>
      </c>
      <c r="C14" s="2212" t="s">
        <v>1969</v>
      </c>
      <c r="D14" s="2212" t="s">
        <v>1875</v>
      </c>
      <c r="E14" s="2212"/>
      <c r="F14" s="2228">
        <v>24</v>
      </c>
      <c r="G14" s="2223">
        <v>61600</v>
      </c>
      <c r="H14" s="2229">
        <v>0</v>
      </c>
      <c r="I14" s="2229">
        <f>G14/112*6</f>
        <v>3300</v>
      </c>
      <c r="J14" s="2229">
        <f>G14/112*6</f>
        <v>3300</v>
      </c>
      <c r="K14" s="2217"/>
      <c r="L14" s="2217"/>
      <c r="M14" s="2224">
        <f t="shared" si="1"/>
        <v>55000</v>
      </c>
      <c r="N14" s="2226">
        <f t="shared" si="0"/>
        <v>6600</v>
      </c>
      <c r="O14" s="2208" t="s">
        <v>1267</v>
      </c>
      <c r="U14" s="2282">
        <f>VLOOKUP(M14,'FA Register Final'!$F$3:$F$150,1,0)</f>
        <v>55000</v>
      </c>
    </row>
    <row r="15" spans="1:21" ht="17.55" customHeight="1">
      <c r="A15" s="2221" t="s">
        <v>4222</v>
      </c>
      <c r="B15" s="2213" t="s">
        <v>1868</v>
      </c>
      <c r="C15" s="2212" t="s">
        <v>3949</v>
      </c>
      <c r="D15" s="2212" t="s">
        <v>1875</v>
      </c>
      <c r="E15" s="2212"/>
      <c r="F15" s="2228">
        <v>25</v>
      </c>
      <c r="G15" s="2223">
        <v>455313</v>
      </c>
      <c r="H15" s="2229">
        <f>G15/118*18</f>
        <v>69454.525423728817</v>
      </c>
      <c r="I15" s="2229">
        <v>0</v>
      </c>
      <c r="J15" s="2229">
        <v>0</v>
      </c>
      <c r="K15" s="2217"/>
      <c r="L15" s="2217"/>
      <c r="M15" s="2224">
        <f t="shared" si="1"/>
        <v>385858.4745762712</v>
      </c>
      <c r="N15" s="2226">
        <f t="shared" si="0"/>
        <v>69454.525423728803</v>
      </c>
      <c r="O15" s="2208" t="s">
        <v>1267</v>
      </c>
      <c r="U15" s="2282">
        <f>VLOOKUP(M15,'FA Register Final'!$F$3:$F$150,1,0)</f>
        <v>385858.4745762712</v>
      </c>
    </row>
    <row r="16" spans="1:21" ht="17.55" customHeight="1">
      <c r="A16" s="2221" t="s">
        <v>4222</v>
      </c>
      <c r="B16" s="2213" t="s">
        <v>1868</v>
      </c>
      <c r="C16" s="2212" t="s">
        <v>3949</v>
      </c>
      <c r="D16" s="2212" t="s">
        <v>1875</v>
      </c>
      <c r="E16" s="2212"/>
      <c r="F16" s="2228">
        <v>26</v>
      </c>
      <c r="G16" s="2223">
        <v>2187697</v>
      </c>
      <c r="H16" s="2229">
        <f>G16/118*18</f>
        <v>333716.49152542371</v>
      </c>
      <c r="I16" s="2229">
        <v>0</v>
      </c>
      <c r="J16" s="2229">
        <v>0</v>
      </c>
      <c r="K16" s="2217"/>
      <c r="L16" s="2217"/>
      <c r="M16" s="2224">
        <f t="shared" si="1"/>
        <v>1853980.5084745763</v>
      </c>
      <c r="N16" s="2226">
        <f t="shared" si="0"/>
        <v>333716.49152542371</v>
      </c>
      <c r="O16" s="2208" t="s">
        <v>1267</v>
      </c>
      <c r="U16" s="2282">
        <f>VLOOKUP(M16,'FA Register Final'!$F$3:$F$150,1,0)</f>
        <v>1853980.5084745763</v>
      </c>
    </row>
    <row r="17" spans="1:21" ht="17.55" customHeight="1">
      <c r="A17" s="2221" t="s">
        <v>4222</v>
      </c>
      <c r="B17" s="2213" t="s">
        <v>1868</v>
      </c>
      <c r="C17" s="2212" t="s">
        <v>3288</v>
      </c>
      <c r="D17" s="2212" t="s">
        <v>1875</v>
      </c>
      <c r="E17" s="2212"/>
      <c r="F17" s="2228">
        <v>27</v>
      </c>
      <c r="G17" s="2223">
        <v>47790</v>
      </c>
      <c r="H17" s="2229">
        <v>0</v>
      </c>
      <c r="I17" s="2229">
        <f>G17/118*9</f>
        <v>3645</v>
      </c>
      <c r="J17" s="2229">
        <f>G17/118*9</f>
        <v>3645</v>
      </c>
      <c r="K17" s="2217"/>
      <c r="L17" s="2217"/>
      <c r="M17" s="2224">
        <f t="shared" si="1"/>
        <v>40500</v>
      </c>
      <c r="N17" s="2226">
        <f t="shared" si="0"/>
        <v>7290</v>
      </c>
      <c r="O17" s="2208" t="s">
        <v>1267</v>
      </c>
      <c r="U17" s="2282">
        <f>VLOOKUP(M17,'FA Register Final'!$F$3:$F$150,1,0)</f>
        <v>40500</v>
      </c>
    </row>
    <row r="18" spans="1:21" s="2292" customFormat="1" ht="17.55" customHeight="1">
      <c r="A18" s="2283" t="s">
        <v>4222</v>
      </c>
      <c r="B18" s="2284" t="s">
        <v>1868</v>
      </c>
      <c r="C18" s="2285" t="s">
        <v>3288</v>
      </c>
      <c r="D18" s="2285" t="s">
        <v>1875</v>
      </c>
      <c r="E18" s="2285"/>
      <c r="F18" s="2286">
        <v>28</v>
      </c>
      <c r="G18" s="2287">
        <v>79650</v>
      </c>
      <c r="H18" s="2288">
        <v>0</v>
      </c>
      <c r="I18" s="2288">
        <f>G18/118*9</f>
        <v>6075</v>
      </c>
      <c r="J18" s="2288">
        <f>G18/118*9</f>
        <v>6075</v>
      </c>
      <c r="K18" s="2289"/>
      <c r="L18" s="2289"/>
      <c r="M18" s="2290">
        <f t="shared" si="1"/>
        <v>67500</v>
      </c>
      <c r="N18" s="2291">
        <f t="shared" si="0"/>
        <v>12150</v>
      </c>
      <c r="O18" s="2292" t="s">
        <v>1267</v>
      </c>
      <c r="U18" s="2293">
        <f>VLOOKUP(M18,'FA Register Final'!$F$3:$F$150,1,0)</f>
        <v>67500</v>
      </c>
    </row>
    <row r="19" spans="1:21" ht="17.55" customHeight="1">
      <c r="A19" s="2221" t="s">
        <v>4222</v>
      </c>
      <c r="B19" s="2213" t="s">
        <v>1868</v>
      </c>
      <c r="C19" s="2212" t="s">
        <v>1390</v>
      </c>
      <c r="D19" s="2212" t="s">
        <v>1875</v>
      </c>
      <c r="E19" s="2212"/>
      <c r="F19" s="2228">
        <v>30</v>
      </c>
      <c r="G19" s="2223">
        <v>203987</v>
      </c>
      <c r="H19" s="2229">
        <v>0</v>
      </c>
      <c r="I19" s="2229">
        <f>G19/118*9</f>
        <v>15558.330508474577</v>
      </c>
      <c r="J19" s="2229">
        <f>G19/118*9</f>
        <v>15558.330508474577</v>
      </c>
      <c r="K19" s="2217"/>
      <c r="L19" s="2217"/>
      <c r="M19" s="2224">
        <f t="shared" si="1"/>
        <v>172870.33898305084</v>
      </c>
      <c r="N19" s="2226">
        <f t="shared" si="0"/>
        <v>31116.661016949161</v>
      </c>
      <c r="O19" s="2208" t="s">
        <v>1267</v>
      </c>
      <c r="U19" s="2282">
        <f>VLOOKUP(M19,'FA Register Final'!$F$3:$F$150,1,0)</f>
        <v>172870.33898305084</v>
      </c>
    </row>
    <row r="20" spans="1:21" ht="17.55" customHeight="1">
      <c r="A20" s="2221" t="s">
        <v>4222</v>
      </c>
      <c r="B20" s="2213" t="s">
        <v>1868</v>
      </c>
      <c r="C20" s="2212" t="s">
        <v>3966</v>
      </c>
      <c r="D20" s="2212" t="s">
        <v>1875</v>
      </c>
      <c r="E20" s="2212"/>
      <c r="F20" s="2228">
        <v>31</v>
      </c>
      <c r="G20" s="2223">
        <v>435538</v>
      </c>
      <c r="H20" s="2229">
        <f>G20/118*18</f>
        <v>66438</v>
      </c>
      <c r="I20" s="2229">
        <v>0</v>
      </c>
      <c r="J20" s="2229">
        <v>0</v>
      </c>
      <c r="K20" s="2217"/>
      <c r="L20" s="2217"/>
      <c r="M20" s="2224">
        <f t="shared" si="1"/>
        <v>369100</v>
      </c>
      <c r="N20" s="2226">
        <f t="shared" si="0"/>
        <v>66438</v>
      </c>
      <c r="O20" s="2208" t="s">
        <v>1267</v>
      </c>
      <c r="U20" s="2282">
        <f>VLOOKUP(M20,'FA Register Final'!$F$3:$F$150,1,0)</f>
        <v>369100</v>
      </c>
    </row>
    <row r="21" spans="1:21" ht="17.55" customHeight="1">
      <c r="A21" s="2221" t="s">
        <v>4222</v>
      </c>
      <c r="B21" s="2213" t="s">
        <v>1868</v>
      </c>
      <c r="C21" s="2212" t="s">
        <v>1942</v>
      </c>
      <c r="D21" s="2212" t="s">
        <v>1875</v>
      </c>
      <c r="E21" s="2212"/>
      <c r="F21" s="2228">
        <v>33</v>
      </c>
      <c r="G21" s="2223">
        <v>1433989</v>
      </c>
      <c r="H21" s="2229">
        <f>G21/118*18</f>
        <v>218744.0847457627</v>
      </c>
      <c r="I21" s="2229">
        <v>0</v>
      </c>
      <c r="J21" s="2229">
        <v>0</v>
      </c>
      <c r="K21" s="2217"/>
      <c r="L21" s="2217"/>
      <c r="M21" s="2224">
        <f t="shared" si="1"/>
        <v>1215244.9152542374</v>
      </c>
      <c r="N21" s="2226">
        <f t="shared" si="0"/>
        <v>218744.08474576264</v>
      </c>
      <c r="O21" s="2208" t="s">
        <v>1267</v>
      </c>
      <c r="U21" s="2282">
        <f>VLOOKUP(M21,'FA Register Final'!$F$3:$F$150,1,0)</f>
        <v>1215244.9152542374</v>
      </c>
    </row>
    <row r="22" spans="1:21" ht="17.55" customHeight="1">
      <c r="A22" s="2221" t="s">
        <v>4222</v>
      </c>
      <c r="B22" s="2213" t="s">
        <v>1868</v>
      </c>
      <c r="C22" s="2212" t="s">
        <v>3248</v>
      </c>
      <c r="D22" s="2212" t="s">
        <v>1875</v>
      </c>
      <c r="E22" s="2212"/>
      <c r="F22" s="2228">
        <v>39</v>
      </c>
      <c r="G22" s="2223">
        <v>253700</v>
      </c>
      <c r="H22" s="2229">
        <v>0</v>
      </c>
      <c r="I22" s="2229">
        <f>G22/118*9</f>
        <v>19350</v>
      </c>
      <c r="J22" s="2229">
        <f>G22/118*9</f>
        <v>19350</v>
      </c>
      <c r="K22" s="2217"/>
      <c r="L22" s="2217"/>
      <c r="M22" s="2224">
        <f t="shared" si="1"/>
        <v>215000</v>
      </c>
      <c r="N22" s="2226">
        <f t="shared" si="0"/>
        <v>38700</v>
      </c>
      <c r="O22" s="2208" t="s">
        <v>1267</v>
      </c>
      <c r="U22" s="2282">
        <f>VLOOKUP(M22,'FA Register Final'!$F$3:$F$150,1,0)</f>
        <v>215000</v>
      </c>
    </row>
    <row r="23" spans="1:21" ht="17.55" customHeight="1">
      <c r="A23" s="2221" t="s">
        <v>4222</v>
      </c>
      <c r="B23" s="2213" t="s">
        <v>1868</v>
      </c>
      <c r="C23" s="2212" t="s">
        <v>1390</v>
      </c>
      <c r="D23" s="2212" t="s">
        <v>1875</v>
      </c>
      <c r="E23" s="2212"/>
      <c r="F23" s="2228">
        <v>50</v>
      </c>
      <c r="G23" s="2223">
        <v>208215</v>
      </c>
      <c r="H23" s="2229">
        <v>0</v>
      </c>
      <c r="I23" s="2229">
        <f>G23/118*9</f>
        <v>15880.805084745762</v>
      </c>
      <c r="J23" s="2229">
        <f>G23/118*9</f>
        <v>15880.805084745762</v>
      </c>
      <c r="K23" s="2217"/>
      <c r="L23" s="2217"/>
      <c r="M23" s="2224">
        <f t="shared" si="1"/>
        <v>176453.3898305085</v>
      </c>
      <c r="N23" s="2226">
        <f t="shared" si="0"/>
        <v>31761.610169491498</v>
      </c>
      <c r="O23" s="2208" t="s">
        <v>1267</v>
      </c>
      <c r="U23" s="2282">
        <f>VLOOKUP(M23,'FA Register Final'!$F$3:$F$150,1,0)</f>
        <v>176453.3898305085</v>
      </c>
    </row>
    <row r="24" spans="1:21" ht="17.55" hidden="1" customHeight="1">
      <c r="A24" s="2230" t="s">
        <v>4222</v>
      </c>
      <c r="B24" s="2213" t="s">
        <v>1868</v>
      </c>
      <c r="C24" s="2212" t="s">
        <v>3877</v>
      </c>
      <c r="D24" s="2212" t="s">
        <v>1875</v>
      </c>
      <c r="E24" s="2212"/>
      <c r="F24" s="2222">
        <v>64</v>
      </c>
      <c r="G24" s="2223">
        <v>19116</v>
      </c>
      <c r="H24" s="2224">
        <v>0</v>
      </c>
      <c r="I24" s="2224">
        <f>G24/118*9</f>
        <v>1458</v>
      </c>
      <c r="J24" s="2224">
        <f>G24/118*9</f>
        <v>1458</v>
      </c>
      <c r="L24" s="2224"/>
      <c r="M24" s="2224">
        <f t="shared" si="1"/>
        <v>16200</v>
      </c>
      <c r="N24" s="2226">
        <f t="shared" si="0"/>
        <v>2916</v>
      </c>
      <c r="O24" s="2208" t="s">
        <v>93</v>
      </c>
      <c r="U24" s="2282" t="e">
        <f>VLOOKUP(M24,'FA Register Final'!$F$3:$F$150,1,0)</f>
        <v>#N/A</v>
      </c>
    </row>
    <row r="25" spans="1:21" ht="17.55" customHeight="1">
      <c r="A25" s="2221" t="s">
        <v>4222</v>
      </c>
      <c r="B25" s="2213" t="s">
        <v>1868</v>
      </c>
      <c r="C25" s="2212" t="s">
        <v>580</v>
      </c>
      <c r="D25" s="2212" t="s">
        <v>1875</v>
      </c>
      <c r="E25" s="2212"/>
      <c r="F25" s="2228">
        <v>70</v>
      </c>
      <c r="G25" s="2223">
        <v>213934</v>
      </c>
      <c r="H25" s="2229">
        <v>0</v>
      </c>
      <c r="I25" s="2229">
        <f>G25/118*9</f>
        <v>16317</v>
      </c>
      <c r="J25" s="2229">
        <f>G25/118*9</f>
        <v>16317</v>
      </c>
      <c r="K25" s="2217"/>
      <c r="L25" s="2217"/>
      <c r="M25" s="2224">
        <f t="shared" si="1"/>
        <v>181300</v>
      </c>
      <c r="N25" s="2226">
        <f t="shared" si="0"/>
        <v>32634</v>
      </c>
      <c r="O25" s="2208" t="s">
        <v>1267</v>
      </c>
      <c r="U25" s="2282">
        <f>VLOOKUP(M25,'FA Register Final'!$F$3:$F$150,1,0)</f>
        <v>181300</v>
      </c>
    </row>
    <row r="26" spans="1:21" ht="17.55" customHeight="1">
      <c r="A26" s="2221" t="s">
        <v>4222</v>
      </c>
      <c r="B26" s="2213" t="s">
        <v>1868</v>
      </c>
      <c r="C26" s="2212" t="s">
        <v>1931</v>
      </c>
      <c r="D26" s="2212" t="s">
        <v>1875</v>
      </c>
      <c r="E26" s="2212"/>
      <c r="F26" s="2228">
        <v>74</v>
      </c>
      <c r="G26" s="2223">
        <v>192340</v>
      </c>
      <c r="H26" s="2229">
        <f>G26/118*18</f>
        <v>29340</v>
      </c>
      <c r="I26" s="2229">
        <v>0</v>
      </c>
      <c r="J26" s="2229">
        <v>0</v>
      </c>
      <c r="K26" s="2217"/>
      <c r="L26" s="2217"/>
      <c r="M26" s="2224">
        <f t="shared" si="1"/>
        <v>163000</v>
      </c>
      <c r="N26" s="2226">
        <f t="shared" si="0"/>
        <v>29340</v>
      </c>
      <c r="O26" s="2208" t="s">
        <v>1267</v>
      </c>
      <c r="U26" s="2282">
        <f>VLOOKUP(M26,'FA Register Final'!$F$3:$F$150,1,0)</f>
        <v>163000</v>
      </c>
    </row>
    <row r="27" spans="1:21" ht="17.55" customHeight="1">
      <c r="A27" s="2221" t="s">
        <v>4222</v>
      </c>
      <c r="B27" s="2213" t="s">
        <v>1868</v>
      </c>
      <c r="C27" s="2212" t="s">
        <v>1405</v>
      </c>
      <c r="D27" s="2212" t="s">
        <v>1875</v>
      </c>
      <c r="E27" s="2212"/>
      <c r="F27" s="2228">
        <v>78</v>
      </c>
      <c r="G27" s="2223">
        <v>194700</v>
      </c>
      <c r="H27" s="2229">
        <f>G27/118*18</f>
        <v>29700</v>
      </c>
      <c r="I27" s="2229">
        <v>0</v>
      </c>
      <c r="J27" s="2229">
        <v>0</v>
      </c>
      <c r="K27" s="2217"/>
      <c r="L27" s="2217"/>
      <c r="M27" s="2231">
        <f t="shared" si="1"/>
        <v>165000</v>
      </c>
      <c r="N27" s="2232">
        <f t="shared" si="0"/>
        <v>29700</v>
      </c>
      <c r="O27" s="2208" t="s">
        <v>1267</v>
      </c>
      <c r="U27" s="2282">
        <f>VLOOKUP(M27,'FA Register Final'!$F$3:$F$150,1,0)</f>
        <v>165000</v>
      </c>
    </row>
    <row r="28" spans="1:21" ht="17.55" customHeight="1">
      <c r="A28" s="2221" t="s">
        <v>4222</v>
      </c>
      <c r="B28" s="2213" t="s">
        <v>1868</v>
      </c>
      <c r="C28" s="2212" t="s">
        <v>1926</v>
      </c>
      <c r="D28" s="2212" t="s">
        <v>1875</v>
      </c>
      <c r="E28" s="2212"/>
      <c r="F28" s="2228">
        <v>79</v>
      </c>
      <c r="G28" s="2223">
        <v>684667</v>
      </c>
      <c r="H28" s="2229">
        <f>G28/118*18</f>
        <v>104440.72881355933</v>
      </c>
      <c r="I28" s="2229">
        <v>0</v>
      </c>
      <c r="J28" s="2229">
        <v>0</v>
      </c>
      <c r="K28" s="2217"/>
      <c r="L28" s="2217"/>
      <c r="M28" s="2224">
        <f t="shared" si="1"/>
        <v>580226.27118644072</v>
      </c>
      <c r="N28" s="2226">
        <f t="shared" si="0"/>
        <v>104440.72881355928</v>
      </c>
      <c r="O28" s="2208" t="s">
        <v>1267</v>
      </c>
      <c r="U28" s="2282">
        <f>VLOOKUP(M28,'FA Register Final'!$F$3:$F$150,1,0)</f>
        <v>580226.27118644072</v>
      </c>
    </row>
    <row r="29" spans="1:21" ht="17.55" hidden="1" customHeight="1">
      <c r="A29" s="2221" t="s">
        <v>4222</v>
      </c>
      <c r="B29" s="2213" t="s">
        <v>1868</v>
      </c>
      <c r="C29" s="2212" t="s">
        <v>1889</v>
      </c>
      <c r="D29" s="2212" t="s">
        <v>1875</v>
      </c>
      <c r="E29" s="2212"/>
      <c r="F29" s="2228">
        <v>145</v>
      </c>
      <c r="G29" s="2223">
        <v>34253</v>
      </c>
      <c r="H29" s="2224">
        <v>0</v>
      </c>
      <c r="I29" s="2224">
        <f>G29/118*9</f>
        <v>2612.5169491525421</v>
      </c>
      <c r="J29" s="2224">
        <f>G29/118*9</f>
        <v>2612.5169491525421</v>
      </c>
      <c r="L29" s="2224"/>
      <c r="M29" s="2224">
        <f t="shared" si="1"/>
        <v>29027.966101694918</v>
      </c>
      <c r="N29" s="2226">
        <f t="shared" si="0"/>
        <v>5225.0338983050824</v>
      </c>
      <c r="O29" s="2208" t="s">
        <v>93</v>
      </c>
      <c r="U29" s="2282">
        <f>VLOOKUP(M29,'FA Register Final'!$F$3:$F$150,1,0)</f>
        <v>29027.966101694918</v>
      </c>
    </row>
    <row r="30" spans="1:21" ht="17.55" customHeight="1">
      <c r="A30" s="2221" t="s">
        <v>4222</v>
      </c>
      <c r="B30" s="2213" t="s">
        <v>1868</v>
      </c>
      <c r="C30" s="2212" t="s">
        <v>1390</v>
      </c>
      <c r="D30" s="2212" t="s">
        <v>1875</v>
      </c>
      <c r="E30" s="2212"/>
      <c r="F30" s="2228">
        <v>183</v>
      </c>
      <c r="G30" s="2223">
        <v>291202</v>
      </c>
      <c r="H30" s="2229">
        <v>0</v>
      </c>
      <c r="I30" s="2229">
        <f>G30/118*9</f>
        <v>22210.322033898308</v>
      </c>
      <c r="J30" s="2229">
        <f>G30/118*9</f>
        <v>22210.322033898308</v>
      </c>
      <c r="K30" s="2217"/>
      <c r="L30" s="2217"/>
      <c r="M30" s="2224">
        <f t="shared" si="1"/>
        <v>246781.35593220335</v>
      </c>
      <c r="N30" s="2226">
        <f t="shared" si="0"/>
        <v>44420.644067796646</v>
      </c>
      <c r="O30" s="2208" t="s">
        <v>1267</v>
      </c>
      <c r="U30" s="2282">
        <f>VLOOKUP(M30,'FA Register Final'!$F$3:$F$150,1,0)</f>
        <v>246781.35593220335</v>
      </c>
    </row>
    <row r="31" spans="1:21" ht="17.55" customHeight="1">
      <c r="A31" s="2221" t="s">
        <v>4222</v>
      </c>
      <c r="B31" s="2213" t="s">
        <v>1868</v>
      </c>
      <c r="C31" s="2212" t="s">
        <v>1390</v>
      </c>
      <c r="D31" s="2212" t="s">
        <v>1875</v>
      </c>
      <c r="E31" s="2212"/>
      <c r="F31" s="2228">
        <v>184</v>
      </c>
      <c r="G31" s="2223">
        <v>310552</v>
      </c>
      <c r="H31" s="2229">
        <v>0</v>
      </c>
      <c r="I31" s="2229">
        <f>G31/118*9</f>
        <v>23686.169491525423</v>
      </c>
      <c r="J31" s="2229">
        <f>G31/118*9</f>
        <v>23686.169491525423</v>
      </c>
      <c r="K31" s="2217"/>
      <c r="L31" s="2217"/>
      <c r="M31" s="2224">
        <f t="shared" si="1"/>
        <v>263179.6610169491</v>
      </c>
      <c r="N31" s="2226">
        <f t="shared" si="0"/>
        <v>47372.338983050897</v>
      </c>
      <c r="O31" s="2208" t="s">
        <v>1267</v>
      </c>
      <c r="U31" s="2282">
        <f>VLOOKUP(M31,'FA Register Final'!$F$3:$F$150,1,0)</f>
        <v>263179.6610169491</v>
      </c>
    </row>
    <row r="32" spans="1:21" ht="17.55" customHeight="1">
      <c r="A32" s="2221" t="s">
        <v>4222</v>
      </c>
      <c r="B32" s="2213" t="s">
        <v>1868</v>
      </c>
      <c r="C32" s="2212" t="s">
        <v>2292</v>
      </c>
      <c r="D32" s="2212" t="s">
        <v>1875</v>
      </c>
      <c r="E32" s="2212"/>
      <c r="F32" s="2228">
        <v>185</v>
      </c>
      <c r="G32" s="2223">
        <v>54912</v>
      </c>
      <c r="H32" s="2229">
        <v>0</v>
      </c>
      <c r="I32" s="2229">
        <v>0</v>
      </c>
      <c r="J32" s="2229">
        <v>0</v>
      </c>
      <c r="K32" s="2217"/>
      <c r="L32" s="2217"/>
      <c r="M32" s="2231">
        <f t="shared" si="1"/>
        <v>54912</v>
      </c>
      <c r="N32" s="2232">
        <f t="shared" si="0"/>
        <v>0</v>
      </c>
      <c r="O32" s="2208" t="s">
        <v>1267</v>
      </c>
      <c r="U32" s="2282">
        <f>VLOOKUP(M32,'FA Register Final'!$F$3:$F$150,1,0)</f>
        <v>54912</v>
      </c>
    </row>
    <row r="33" spans="1:21" ht="17.55" customHeight="1">
      <c r="A33" s="2221" t="s">
        <v>4222</v>
      </c>
      <c r="B33" s="2213" t="s">
        <v>1868</v>
      </c>
      <c r="C33" s="2212" t="s">
        <v>2292</v>
      </c>
      <c r="D33" s="2212" t="s">
        <v>1875</v>
      </c>
      <c r="E33" s="2212"/>
      <c r="F33" s="2228">
        <v>186</v>
      </c>
      <c r="G33" s="2223">
        <v>69550</v>
      </c>
      <c r="H33" s="2229">
        <v>0</v>
      </c>
      <c r="I33" s="2229">
        <v>0</v>
      </c>
      <c r="J33" s="2229">
        <v>0</v>
      </c>
      <c r="K33" s="2217"/>
      <c r="L33" s="2217"/>
      <c r="M33" s="2224">
        <f t="shared" si="1"/>
        <v>69550</v>
      </c>
      <c r="N33" s="2226">
        <f t="shared" si="0"/>
        <v>0</v>
      </c>
      <c r="O33" s="2208" t="s">
        <v>1267</v>
      </c>
      <c r="U33" s="2282">
        <f>VLOOKUP(M33,'FA Register Final'!$F$3:$F$150,1,0)</f>
        <v>69550</v>
      </c>
    </row>
    <row r="34" spans="1:21" ht="17.55" customHeight="1">
      <c r="A34" s="2221" t="s">
        <v>4222</v>
      </c>
      <c r="B34" s="2213" t="s">
        <v>1868</v>
      </c>
      <c r="C34" s="2212" t="s">
        <v>1383</v>
      </c>
      <c r="D34" s="2212" t="s">
        <v>1875</v>
      </c>
      <c r="E34" s="2212"/>
      <c r="F34" s="2228">
        <v>187</v>
      </c>
      <c r="G34" s="2223">
        <v>24800</v>
      </c>
      <c r="H34" s="2229">
        <v>0</v>
      </c>
      <c r="I34" s="2229">
        <v>0</v>
      </c>
      <c r="J34" s="2229">
        <v>0</v>
      </c>
      <c r="K34" s="2217"/>
      <c r="L34" s="2217"/>
      <c r="M34" s="2224">
        <f t="shared" si="1"/>
        <v>24800</v>
      </c>
      <c r="N34" s="2226">
        <f t="shared" si="0"/>
        <v>0</v>
      </c>
      <c r="O34" s="2208" t="s">
        <v>1267</v>
      </c>
      <c r="U34" s="2282">
        <f>VLOOKUP(M34,'FA Register Final'!$F$3:$F$150,1,0)</f>
        <v>24800</v>
      </c>
    </row>
    <row r="35" spans="1:21" ht="17.55" customHeight="1">
      <c r="A35" s="2221" t="s">
        <v>4222</v>
      </c>
      <c r="B35" s="2213" t="s">
        <v>1868</v>
      </c>
      <c r="C35" s="2212" t="s">
        <v>1383</v>
      </c>
      <c r="D35" s="2212" t="s">
        <v>1875</v>
      </c>
      <c r="E35" s="2212"/>
      <c r="F35" s="2228">
        <v>188</v>
      </c>
      <c r="G35" s="2223">
        <v>3280</v>
      </c>
      <c r="H35" s="2229">
        <v>0</v>
      </c>
      <c r="I35" s="2229">
        <v>0</v>
      </c>
      <c r="J35" s="2229">
        <v>0</v>
      </c>
      <c r="K35" s="2217"/>
      <c r="L35" s="2217"/>
      <c r="M35" s="2224">
        <f t="shared" si="1"/>
        <v>3280</v>
      </c>
      <c r="N35" s="2226">
        <f t="shared" si="0"/>
        <v>0</v>
      </c>
      <c r="O35" s="2208" t="s">
        <v>1267</v>
      </c>
      <c r="U35" s="2282">
        <f>VLOOKUP(M35,'FA Register Final'!$F$3:$F$150,1,0)</f>
        <v>3280</v>
      </c>
    </row>
    <row r="36" spans="1:21" ht="17.55" customHeight="1">
      <c r="A36" s="2221" t="s">
        <v>4222</v>
      </c>
      <c r="B36" s="2213" t="s">
        <v>1868</v>
      </c>
      <c r="C36" s="2212" t="s">
        <v>1383</v>
      </c>
      <c r="D36" s="2212" t="s">
        <v>1875</v>
      </c>
      <c r="E36" s="2212"/>
      <c r="F36" s="2228">
        <v>189</v>
      </c>
      <c r="G36" s="2223">
        <v>113300</v>
      </c>
      <c r="H36" s="2229">
        <v>0</v>
      </c>
      <c r="I36" s="2229">
        <v>0</v>
      </c>
      <c r="J36" s="2229">
        <v>0</v>
      </c>
      <c r="K36" s="2217"/>
      <c r="L36" s="2217"/>
      <c r="M36" s="2224">
        <f t="shared" si="1"/>
        <v>113300</v>
      </c>
      <c r="N36" s="2226">
        <f t="shared" si="0"/>
        <v>0</v>
      </c>
      <c r="O36" s="2208" t="s">
        <v>1267</v>
      </c>
      <c r="U36" s="2282">
        <f>VLOOKUP(M36,'FA Register Final'!$F$3:$F$150,1,0)</f>
        <v>113300</v>
      </c>
    </row>
    <row r="37" spans="1:21" ht="17.55" customHeight="1">
      <c r="A37" s="2221" t="s">
        <v>4222</v>
      </c>
      <c r="B37" s="2213" t="s">
        <v>1868</v>
      </c>
      <c r="C37" s="2212" t="s">
        <v>1383</v>
      </c>
      <c r="D37" s="2212" t="s">
        <v>1875</v>
      </c>
      <c r="E37" s="2212"/>
      <c r="F37" s="2228">
        <v>190</v>
      </c>
      <c r="G37" s="2223">
        <v>113300</v>
      </c>
      <c r="H37" s="2229">
        <v>0</v>
      </c>
      <c r="I37" s="2229">
        <v>0</v>
      </c>
      <c r="J37" s="2229">
        <v>0</v>
      </c>
      <c r="K37" s="2217"/>
      <c r="L37" s="2217"/>
      <c r="M37" s="2224">
        <f t="shared" si="1"/>
        <v>113300</v>
      </c>
      <c r="N37" s="2226">
        <f t="shared" si="0"/>
        <v>0</v>
      </c>
      <c r="O37" s="2208" t="s">
        <v>1267</v>
      </c>
      <c r="U37" s="2282">
        <f>VLOOKUP(M37,'FA Register Final'!$F$3:$F$150,1,0)</f>
        <v>113300</v>
      </c>
    </row>
    <row r="38" spans="1:21" ht="17.55" customHeight="1">
      <c r="A38" s="2221" t="s">
        <v>4222</v>
      </c>
      <c r="B38" s="2213" t="s">
        <v>1868</v>
      </c>
      <c r="C38" s="2212" t="s">
        <v>3362</v>
      </c>
      <c r="D38" s="2212" t="s">
        <v>1875</v>
      </c>
      <c r="E38" s="2212"/>
      <c r="F38" s="2228">
        <v>203</v>
      </c>
      <c r="G38" s="2223">
        <v>283354</v>
      </c>
      <c r="H38" s="2229">
        <v>0</v>
      </c>
      <c r="I38" s="2229">
        <f>G38/118*9</f>
        <v>21611.745762711864</v>
      </c>
      <c r="J38" s="2229">
        <f>G38/118*9</f>
        <v>21611.745762711864</v>
      </c>
      <c r="K38" s="2217"/>
      <c r="L38" s="2217"/>
      <c r="M38" s="2224">
        <f t="shared" si="1"/>
        <v>240130.50847457629</v>
      </c>
      <c r="N38" s="2226">
        <f t="shared" si="0"/>
        <v>43223.491525423713</v>
      </c>
      <c r="O38" s="2208" t="s">
        <v>1267</v>
      </c>
      <c r="U38" s="2282">
        <f>VLOOKUP(M38,'FA Register Final'!$F$3:$F$150,1,0)</f>
        <v>240130.50847457629</v>
      </c>
    </row>
    <row r="39" spans="1:21" ht="17.55" customHeight="1">
      <c r="A39" s="2221" t="s">
        <v>4222</v>
      </c>
      <c r="B39" s="2213" t="s">
        <v>1868</v>
      </c>
      <c r="C39" s="2212" t="s">
        <v>259</v>
      </c>
      <c r="D39" s="2212" t="s">
        <v>1875</v>
      </c>
      <c r="E39" s="2212"/>
      <c r="F39" s="2228">
        <v>242</v>
      </c>
      <c r="G39" s="2223">
        <v>119558</v>
      </c>
      <c r="H39" s="2229">
        <v>0</v>
      </c>
      <c r="I39" s="2229">
        <f>G39/118*9</f>
        <v>9118.8305084745771</v>
      </c>
      <c r="J39" s="2229">
        <f>G39/118*9</f>
        <v>9118.8305084745771</v>
      </c>
      <c r="K39" s="2217"/>
      <c r="L39" s="2217"/>
      <c r="M39" s="2224">
        <f t="shared" si="1"/>
        <v>101320.33898305084</v>
      </c>
      <c r="N39" s="2226">
        <f t="shared" si="0"/>
        <v>18237.661016949161</v>
      </c>
      <c r="O39" s="2208" t="s">
        <v>1267</v>
      </c>
      <c r="U39" s="2282">
        <f>VLOOKUP(M39,'FA Register Final'!$F$3:$F$150,1,0)</f>
        <v>101320.33898305084</v>
      </c>
    </row>
    <row r="40" spans="1:21" ht="17.55" customHeight="1">
      <c r="A40" s="2221" t="s">
        <v>4222</v>
      </c>
      <c r="B40" s="2213" t="s">
        <v>1868</v>
      </c>
      <c r="C40" s="2212" t="s">
        <v>1680</v>
      </c>
      <c r="D40" s="2212" t="s">
        <v>1875</v>
      </c>
      <c r="E40" s="2212"/>
      <c r="F40" s="2228">
        <v>245</v>
      </c>
      <c r="G40" s="2223">
        <v>247800</v>
      </c>
      <c r="H40" s="2229">
        <f>G40/118*18</f>
        <v>37800</v>
      </c>
      <c r="I40" s="2229">
        <v>0</v>
      </c>
      <c r="J40" s="2229">
        <v>0</v>
      </c>
      <c r="K40" s="2217"/>
      <c r="L40" s="2217"/>
      <c r="M40" s="2224">
        <f t="shared" si="1"/>
        <v>210000</v>
      </c>
      <c r="N40" s="2226">
        <f t="shared" si="0"/>
        <v>37800</v>
      </c>
      <c r="O40" s="2208" t="s">
        <v>1267</v>
      </c>
      <c r="U40" s="2282">
        <f>VLOOKUP(M40,'FA Register Final'!$F$3:$F$150,1,0)</f>
        <v>210000</v>
      </c>
    </row>
    <row r="41" spans="1:21" ht="17.55" customHeight="1">
      <c r="A41" s="2221" t="s">
        <v>4222</v>
      </c>
      <c r="B41" s="2213" t="s">
        <v>1868</v>
      </c>
      <c r="C41" s="2212" t="s">
        <v>1390</v>
      </c>
      <c r="D41" s="2212" t="s">
        <v>1875</v>
      </c>
      <c r="E41" s="2212"/>
      <c r="F41" s="2228">
        <v>246</v>
      </c>
      <c r="G41" s="2223">
        <v>256131</v>
      </c>
      <c r="H41" s="2229">
        <v>0</v>
      </c>
      <c r="I41" s="2229">
        <f>G41/118*9</f>
        <v>19535.415254237287</v>
      </c>
      <c r="J41" s="2229">
        <f>G41/118*9</f>
        <v>19535.415254237287</v>
      </c>
      <c r="K41" s="2217"/>
      <c r="L41" s="2217"/>
      <c r="M41" s="2224">
        <f t="shared" si="1"/>
        <v>217060.16949152545</v>
      </c>
      <c r="N41" s="2226">
        <f t="shared" si="0"/>
        <v>39070.830508474552</v>
      </c>
      <c r="O41" s="2208" t="s">
        <v>1267</v>
      </c>
      <c r="U41" s="2282">
        <f>VLOOKUP(M41,'FA Register Final'!$F$3:$F$150,1,0)</f>
        <v>217060.16949152545</v>
      </c>
    </row>
    <row r="42" spans="1:21" ht="17.55" customHeight="1">
      <c r="A42" s="2221" t="s">
        <v>4222</v>
      </c>
      <c r="B42" s="2213" t="s">
        <v>1868</v>
      </c>
      <c r="C42" s="2212" t="s">
        <v>1390</v>
      </c>
      <c r="D42" s="2212" t="s">
        <v>1875</v>
      </c>
      <c r="E42" s="2212"/>
      <c r="F42" s="2228">
        <v>247</v>
      </c>
      <c r="G42" s="2223">
        <v>277287</v>
      </c>
      <c r="H42" s="2229">
        <v>0</v>
      </c>
      <c r="I42" s="2229">
        <f>G42/118*9</f>
        <v>21149.008474576269</v>
      </c>
      <c r="J42" s="2229">
        <f>G42/118*9</f>
        <v>21149.008474576269</v>
      </c>
      <c r="K42" s="2217"/>
      <c r="L42" s="2217"/>
      <c r="M42" s="2224">
        <f t="shared" si="1"/>
        <v>234988.98305084748</v>
      </c>
      <c r="N42" s="2226">
        <f t="shared" si="0"/>
        <v>42298.016949152516</v>
      </c>
      <c r="O42" s="2208" t="s">
        <v>1267</v>
      </c>
      <c r="U42" s="2282">
        <f>VLOOKUP(M42,'FA Register Final'!$F$3:$F$150,1,0)</f>
        <v>234988.98305084748</v>
      </c>
    </row>
    <row r="43" spans="1:21" ht="17.55" customHeight="1">
      <c r="A43" s="2221" t="s">
        <v>4222</v>
      </c>
      <c r="B43" s="2213" t="s">
        <v>1868</v>
      </c>
      <c r="C43" s="2212" t="s">
        <v>1670</v>
      </c>
      <c r="D43" s="2212" t="s">
        <v>1875</v>
      </c>
      <c r="E43" s="2212"/>
      <c r="F43" s="2228">
        <v>248</v>
      </c>
      <c r="G43" s="2223">
        <v>14250</v>
      </c>
      <c r="H43" s="2229">
        <v>0</v>
      </c>
      <c r="I43" s="2229">
        <v>0</v>
      </c>
      <c r="J43" s="2229">
        <v>0</v>
      </c>
      <c r="K43" s="2217"/>
      <c r="L43" s="2217"/>
      <c r="M43" s="2224">
        <f t="shared" si="1"/>
        <v>14250</v>
      </c>
      <c r="N43" s="2226">
        <f t="shared" si="0"/>
        <v>0</v>
      </c>
      <c r="O43" s="2208" t="s">
        <v>1267</v>
      </c>
      <c r="U43" s="2282">
        <f>VLOOKUP(M43,'FA Register Final'!$F$3:$F$150,1,0)</f>
        <v>14250</v>
      </c>
    </row>
    <row r="44" spans="1:21" ht="17.55" customHeight="1">
      <c r="A44" s="2221" t="s">
        <v>4222</v>
      </c>
      <c r="B44" s="2213" t="s">
        <v>1868</v>
      </c>
      <c r="C44" s="2212" t="s">
        <v>1383</v>
      </c>
      <c r="D44" s="2212" t="s">
        <v>1875</v>
      </c>
      <c r="E44" s="2212"/>
      <c r="F44" s="2228">
        <v>268</v>
      </c>
      <c r="G44" s="2223">
        <v>22330</v>
      </c>
      <c r="H44" s="2229">
        <v>0</v>
      </c>
      <c r="I44" s="2229">
        <v>0</v>
      </c>
      <c r="J44" s="2229">
        <v>0</v>
      </c>
      <c r="K44" s="2217"/>
      <c r="L44" s="2217"/>
      <c r="M44" s="2224">
        <f t="shared" si="1"/>
        <v>22330</v>
      </c>
      <c r="N44" s="2226">
        <f t="shared" si="0"/>
        <v>0</v>
      </c>
      <c r="O44" s="2208" t="s">
        <v>1267</v>
      </c>
      <c r="U44" s="2282">
        <f>VLOOKUP(M44,'FA Register Final'!$F$3:$F$150,1,0)</f>
        <v>22330</v>
      </c>
    </row>
    <row r="45" spans="1:21" ht="17.399999999999999">
      <c r="A45" s="2221" t="s">
        <v>4222</v>
      </c>
      <c r="B45" s="2213" t="s">
        <v>1868</v>
      </c>
      <c r="C45" s="2212" t="s">
        <v>1942</v>
      </c>
      <c r="D45" s="2212" t="s">
        <v>1875</v>
      </c>
      <c r="E45" s="2212"/>
      <c r="F45" s="2228">
        <v>325</v>
      </c>
      <c r="G45" s="2223">
        <v>97350</v>
      </c>
      <c r="H45" s="2229">
        <f>G45/118*18</f>
        <v>14850</v>
      </c>
      <c r="I45" s="2229">
        <v>0</v>
      </c>
      <c r="J45" s="2229">
        <v>0</v>
      </c>
      <c r="K45" s="2217"/>
      <c r="L45" s="2217"/>
      <c r="M45" s="2231">
        <f t="shared" si="1"/>
        <v>82500</v>
      </c>
      <c r="N45" s="2232">
        <f t="shared" si="0"/>
        <v>14850</v>
      </c>
      <c r="O45" s="2208" t="s">
        <v>1267</v>
      </c>
      <c r="U45" s="2282">
        <f>VLOOKUP(M45,'FA Register Final'!$F$3:$F$150,1,0)</f>
        <v>82500</v>
      </c>
    </row>
    <row r="46" spans="1:21" ht="17.55" customHeight="1">
      <c r="A46" s="2221" t="s">
        <v>4222</v>
      </c>
      <c r="B46" s="2213" t="s">
        <v>1868</v>
      </c>
      <c r="C46" s="2212" t="s">
        <v>1383</v>
      </c>
      <c r="D46" s="2212" t="s">
        <v>1875</v>
      </c>
      <c r="E46" s="2212"/>
      <c r="F46" s="2228">
        <v>326</v>
      </c>
      <c r="G46" s="2223">
        <v>52440</v>
      </c>
      <c r="H46" s="2229">
        <v>0</v>
      </c>
      <c r="I46" s="2229">
        <v>0</v>
      </c>
      <c r="J46" s="2229">
        <v>0</v>
      </c>
      <c r="K46" s="2217"/>
      <c r="L46" s="2217"/>
      <c r="M46" s="2224">
        <f t="shared" si="1"/>
        <v>52440</v>
      </c>
      <c r="N46" s="2226">
        <f t="shared" si="0"/>
        <v>0</v>
      </c>
      <c r="O46" s="2208" t="s">
        <v>1267</v>
      </c>
      <c r="U46" s="2282">
        <f>VLOOKUP(M46,'FA Register Final'!$F$3:$F$150,1,0)</f>
        <v>52440</v>
      </c>
    </row>
    <row r="47" spans="1:21" ht="17.55" customHeight="1">
      <c r="A47" s="2221" t="s">
        <v>4222</v>
      </c>
      <c r="B47" s="2213" t="s">
        <v>1868</v>
      </c>
      <c r="C47" s="2212" t="s">
        <v>1383</v>
      </c>
      <c r="D47" s="2212" t="s">
        <v>1875</v>
      </c>
      <c r="E47" s="2212"/>
      <c r="F47" s="2228">
        <v>327</v>
      </c>
      <c r="G47" s="2223">
        <v>16800</v>
      </c>
      <c r="H47" s="2229">
        <v>0</v>
      </c>
      <c r="I47" s="2229">
        <v>0</v>
      </c>
      <c r="J47" s="2229">
        <v>0</v>
      </c>
      <c r="K47" s="2217"/>
      <c r="L47" s="2217"/>
      <c r="M47" s="2224">
        <f t="shared" si="1"/>
        <v>16800</v>
      </c>
      <c r="N47" s="2226">
        <f t="shared" si="0"/>
        <v>0</v>
      </c>
      <c r="O47" s="2208" t="s">
        <v>1267</v>
      </c>
      <c r="U47" s="2282">
        <f>VLOOKUP(M47,'FA Register Final'!$F$3:$F$150,1,0)</f>
        <v>16800</v>
      </c>
    </row>
    <row r="48" spans="1:21" ht="17.55" customHeight="1">
      <c r="A48" s="2221" t="s">
        <v>4222</v>
      </c>
      <c r="B48" s="2213" t="s">
        <v>1868</v>
      </c>
      <c r="C48" s="2212" t="s">
        <v>1383</v>
      </c>
      <c r="D48" s="2212" t="s">
        <v>1875</v>
      </c>
      <c r="E48" s="2212"/>
      <c r="F48" s="2228">
        <v>328</v>
      </c>
      <c r="G48" s="2223">
        <v>118450</v>
      </c>
      <c r="H48" s="2229">
        <v>0</v>
      </c>
      <c r="I48" s="2229">
        <v>0</v>
      </c>
      <c r="J48" s="2229">
        <v>0</v>
      </c>
      <c r="K48" s="2217"/>
      <c r="L48" s="2217"/>
      <c r="M48" s="2224">
        <f t="shared" si="1"/>
        <v>118450</v>
      </c>
      <c r="N48" s="2226">
        <f t="shared" si="0"/>
        <v>0</v>
      </c>
      <c r="O48" s="2208" t="s">
        <v>1267</v>
      </c>
      <c r="U48" s="2282">
        <f>VLOOKUP(M48,'FA Register Final'!$F$3:$F$150,1,0)</f>
        <v>118450</v>
      </c>
    </row>
    <row r="49" spans="1:21" ht="17.55" customHeight="1">
      <c r="A49" s="2221" t="s">
        <v>4222</v>
      </c>
      <c r="B49" s="2213" t="s">
        <v>1868</v>
      </c>
      <c r="C49" s="2212" t="s">
        <v>3960</v>
      </c>
      <c r="D49" s="2212" t="s">
        <v>1875</v>
      </c>
      <c r="E49" s="2212"/>
      <c r="F49" s="2228">
        <v>335</v>
      </c>
      <c r="G49" s="2223">
        <v>1270754</v>
      </c>
      <c r="H49" s="2229">
        <v>0</v>
      </c>
      <c r="I49" s="2229">
        <f t="shared" ref="I49:I54" si="2">G49/118*9</f>
        <v>96921.91525423729</v>
      </c>
      <c r="J49" s="2229">
        <f t="shared" ref="J49:J54" si="3">G49/118*9</f>
        <v>96921.91525423729</v>
      </c>
      <c r="K49" s="2217"/>
      <c r="L49" s="2217"/>
      <c r="M49" s="2224">
        <f t="shared" si="1"/>
        <v>1076910.1694915253</v>
      </c>
      <c r="N49" s="2226">
        <f t="shared" si="0"/>
        <v>193843.83050847473</v>
      </c>
      <c r="O49" s="2208" t="s">
        <v>1267</v>
      </c>
      <c r="U49" s="2282">
        <f>VLOOKUP(M49,'FA Register Final'!$F$3:$F$150,1,0)</f>
        <v>1076910.1694915253</v>
      </c>
    </row>
    <row r="50" spans="1:21" ht="17.55" customHeight="1">
      <c r="A50" s="2221" t="s">
        <v>4222</v>
      </c>
      <c r="B50" s="2213" t="s">
        <v>1868</v>
      </c>
      <c r="C50" s="2212" t="s">
        <v>3960</v>
      </c>
      <c r="D50" s="2212" t="s">
        <v>1875</v>
      </c>
      <c r="E50" s="2212"/>
      <c r="F50" s="2228">
        <v>336</v>
      </c>
      <c r="G50" s="2223">
        <v>1031472</v>
      </c>
      <c r="H50" s="2229">
        <v>0</v>
      </c>
      <c r="I50" s="2229">
        <f t="shared" si="2"/>
        <v>78671.593220338982</v>
      </c>
      <c r="J50" s="2229">
        <f t="shared" si="3"/>
        <v>78671.593220338982</v>
      </c>
      <c r="K50" s="2217"/>
      <c r="L50" s="2217"/>
      <c r="M50" s="2224">
        <f t="shared" si="1"/>
        <v>874128.81355932215</v>
      </c>
      <c r="N50" s="2226">
        <f t="shared" si="0"/>
        <v>157343.18644067785</v>
      </c>
      <c r="O50" s="2208" t="s">
        <v>1267</v>
      </c>
      <c r="U50" s="2282">
        <f>VLOOKUP(M50,'FA Register Final'!$F$3:$F$150,1,0)</f>
        <v>874128.81355932215</v>
      </c>
    </row>
    <row r="51" spans="1:21" ht="17.55" customHeight="1">
      <c r="A51" s="2221" t="s">
        <v>4222</v>
      </c>
      <c r="B51" s="2213" t="s">
        <v>1868</v>
      </c>
      <c r="C51" s="2212" t="s">
        <v>2566</v>
      </c>
      <c r="D51" s="2212" t="s">
        <v>1875</v>
      </c>
      <c r="E51" s="2212"/>
      <c r="F51" s="2228">
        <v>337</v>
      </c>
      <c r="G51" s="2223">
        <v>527508</v>
      </c>
      <c r="H51" s="2229">
        <v>0</v>
      </c>
      <c r="I51" s="2229">
        <f t="shared" si="2"/>
        <v>40233.661016949154</v>
      </c>
      <c r="J51" s="2229">
        <f t="shared" si="3"/>
        <v>40233.661016949154</v>
      </c>
      <c r="K51" s="2217"/>
      <c r="L51" s="2217"/>
      <c r="M51" s="2224">
        <f t="shared" si="1"/>
        <v>447040.67796610168</v>
      </c>
      <c r="N51" s="2226">
        <f t="shared" si="0"/>
        <v>80467.322033898323</v>
      </c>
      <c r="O51" s="2208" t="s">
        <v>1267</v>
      </c>
      <c r="U51" s="2282">
        <f>VLOOKUP(M51,'FA Register Final'!$F$3:$F$150,1,0)</f>
        <v>447040.67796610168</v>
      </c>
    </row>
    <row r="52" spans="1:21" ht="17.55" customHeight="1">
      <c r="A52" s="2221" t="s">
        <v>4222</v>
      </c>
      <c r="B52" s="2213" t="s">
        <v>1868</v>
      </c>
      <c r="C52" s="2212" t="s">
        <v>2566</v>
      </c>
      <c r="D52" s="2212" t="s">
        <v>1875</v>
      </c>
      <c r="E52" s="2212"/>
      <c r="F52" s="2228">
        <v>338</v>
      </c>
      <c r="G52" s="2223">
        <v>1366505</v>
      </c>
      <c r="H52" s="2229">
        <v>0</v>
      </c>
      <c r="I52" s="2229">
        <f t="shared" si="2"/>
        <v>104224.95762711865</v>
      </c>
      <c r="J52" s="2229">
        <f t="shared" si="3"/>
        <v>104224.95762711865</v>
      </c>
      <c r="K52" s="2217"/>
      <c r="L52" s="2217"/>
      <c r="M52" s="2224">
        <f t="shared" si="1"/>
        <v>1158055.0847457629</v>
      </c>
      <c r="N52" s="2226">
        <f t="shared" si="0"/>
        <v>208449.91525423713</v>
      </c>
      <c r="O52" s="2208" t="s">
        <v>1267</v>
      </c>
      <c r="U52" s="2282">
        <f>VLOOKUP(M52,'FA Register Final'!$F$3:$F$150,1,0)</f>
        <v>1158055.0847457629</v>
      </c>
    </row>
    <row r="53" spans="1:21" ht="17.55" customHeight="1">
      <c r="A53" s="2233">
        <v>44774</v>
      </c>
      <c r="B53" s="2213" t="s">
        <v>1868</v>
      </c>
      <c r="C53" s="2212" t="s">
        <v>1969</v>
      </c>
      <c r="D53" s="2212" t="s">
        <v>1875</v>
      </c>
      <c r="E53" s="2212"/>
      <c r="F53" s="2228">
        <v>339</v>
      </c>
      <c r="G53" s="2223">
        <v>11400</v>
      </c>
      <c r="H53" s="2229">
        <v>0</v>
      </c>
      <c r="I53" s="2229">
        <f t="shared" si="2"/>
        <v>869.49152542372883</v>
      </c>
      <c r="J53" s="2229">
        <f t="shared" si="3"/>
        <v>869.49152542372883</v>
      </c>
      <c r="K53" s="2217"/>
      <c r="L53" s="2217"/>
      <c r="M53" s="2224">
        <f t="shared" si="1"/>
        <v>9661.0169491525412</v>
      </c>
      <c r="N53" s="2226">
        <f t="shared" si="0"/>
        <v>1738.9830508474588</v>
      </c>
      <c r="O53" s="2208" t="s">
        <v>1267</v>
      </c>
      <c r="U53" s="2282">
        <f>VLOOKUP(M53,'FA Register Final'!$F$3:$F$150,1,0)</f>
        <v>9661.0169491525412</v>
      </c>
    </row>
    <row r="54" spans="1:21" ht="17.55" customHeight="1">
      <c r="A54" s="2233">
        <v>44774</v>
      </c>
      <c r="B54" s="2213" t="s">
        <v>1868</v>
      </c>
      <c r="C54" s="2212" t="s">
        <v>1969</v>
      </c>
      <c r="D54" s="2212" t="s">
        <v>1875</v>
      </c>
      <c r="E54" s="2212"/>
      <c r="F54" s="2228">
        <v>340</v>
      </c>
      <c r="G54" s="2223">
        <v>39500</v>
      </c>
      <c r="H54" s="2229">
        <v>0</v>
      </c>
      <c r="I54" s="2229">
        <f t="shared" si="2"/>
        <v>3012.7118644067796</v>
      </c>
      <c r="J54" s="2229">
        <f t="shared" si="3"/>
        <v>3012.7118644067796</v>
      </c>
      <c r="K54" s="2217"/>
      <c r="L54" s="2217"/>
      <c r="M54" s="2224">
        <f t="shared" si="1"/>
        <v>33474.576271186437</v>
      </c>
      <c r="N54" s="2226">
        <f t="shared" si="0"/>
        <v>6025.4237288135628</v>
      </c>
      <c r="O54" s="2208" t="s">
        <v>1267</v>
      </c>
      <c r="U54" s="2282">
        <f>VLOOKUP(M54,'FA Register Final'!$F$3:$F$150,1,0)</f>
        <v>33474.576271186437</v>
      </c>
    </row>
    <row r="55" spans="1:21" ht="17.55" customHeight="1">
      <c r="A55" s="2221" t="s">
        <v>4222</v>
      </c>
      <c r="B55" s="2213" t="s">
        <v>1868</v>
      </c>
      <c r="C55" s="2212" t="s">
        <v>1383</v>
      </c>
      <c r="D55" s="2212" t="s">
        <v>1875</v>
      </c>
      <c r="E55" s="2212"/>
      <c r="F55" s="2228">
        <v>341</v>
      </c>
      <c r="G55" s="2223">
        <v>28428</v>
      </c>
      <c r="H55" s="2229">
        <v>0</v>
      </c>
      <c r="I55" s="2229">
        <v>0</v>
      </c>
      <c r="J55" s="2229">
        <v>0</v>
      </c>
      <c r="K55" s="2217"/>
      <c r="L55" s="2217"/>
      <c r="M55" s="2224">
        <f t="shared" si="1"/>
        <v>28428</v>
      </c>
      <c r="N55" s="2226">
        <f t="shared" si="0"/>
        <v>0</v>
      </c>
      <c r="O55" s="2208" t="s">
        <v>1267</v>
      </c>
      <c r="U55" s="2282">
        <f>VLOOKUP(M55,'FA Register Final'!$F$3:$F$150,1,0)</f>
        <v>28428</v>
      </c>
    </row>
    <row r="56" spans="1:21" ht="17.55" customHeight="1">
      <c r="A56" s="2221" t="s">
        <v>4222</v>
      </c>
      <c r="B56" s="2213" t="s">
        <v>1868</v>
      </c>
      <c r="C56" s="2212" t="s">
        <v>1670</v>
      </c>
      <c r="D56" s="2212" t="s">
        <v>1875</v>
      </c>
      <c r="E56" s="2212"/>
      <c r="F56" s="2228">
        <v>342</v>
      </c>
      <c r="G56" s="2223">
        <v>25000</v>
      </c>
      <c r="H56" s="2229">
        <v>0</v>
      </c>
      <c r="I56" s="2229">
        <v>0</v>
      </c>
      <c r="J56" s="2229">
        <v>0</v>
      </c>
      <c r="K56" s="2217"/>
      <c r="L56" s="2217"/>
      <c r="M56" s="2224">
        <f t="shared" si="1"/>
        <v>25000</v>
      </c>
      <c r="N56" s="2226">
        <f t="shared" si="0"/>
        <v>0</v>
      </c>
      <c r="O56" s="2208" t="s">
        <v>1267</v>
      </c>
      <c r="U56" s="2282">
        <f>VLOOKUP(M56,'FA Register Final'!$F$3:$F$150,1,0)</f>
        <v>25000</v>
      </c>
    </row>
    <row r="57" spans="1:21" ht="17.55" customHeight="1">
      <c r="A57" s="2221" t="s">
        <v>4222</v>
      </c>
      <c r="B57" s="2213" t="s">
        <v>1868</v>
      </c>
      <c r="C57" s="2212" t="s">
        <v>1390</v>
      </c>
      <c r="D57" s="2212" t="s">
        <v>1875</v>
      </c>
      <c r="E57" s="2212"/>
      <c r="F57" s="2228">
        <v>368</v>
      </c>
      <c r="G57" s="2223">
        <v>248504</v>
      </c>
      <c r="H57" s="2229">
        <v>0</v>
      </c>
      <c r="I57" s="2229">
        <f>G57/118*9</f>
        <v>18953.694915254237</v>
      </c>
      <c r="J57" s="2229">
        <f>G57/118*9</f>
        <v>18953.694915254237</v>
      </c>
      <c r="K57" s="2217"/>
      <c r="L57" s="2217"/>
      <c r="M57" s="2224">
        <f t="shared" si="1"/>
        <v>210596.6101694915</v>
      </c>
      <c r="N57" s="2226">
        <f t="shared" si="0"/>
        <v>37907.389830508502</v>
      </c>
      <c r="O57" s="2208" t="s">
        <v>1267</v>
      </c>
      <c r="U57" s="2282">
        <f>VLOOKUP(M57,'FA Register Final'!$F$3:$F$150,1,0)</f>
        <v>210596.6101694915</v>
      </c>
    </row>
    <row r="58" spans="1:21" ht="17.55" customHeight="1">
      <c r="A58" s="2221" t="s">
        <v>4222</v>
      </c>
      <c r="B58" s="2213" t="s">
        <v>1868</v>
      </c>
      <c r="C58" s="2212" t="s">
        <v>1390</v>
      </c>
      <c r="D58" s="2212" t="s">
        <v>1875</v>
      </c>
      <c r="E58" s="2212"/>
      <c r="F58" s="2228">
        <v>369</v>
      </c>
      <c r="G58" s="2223">
        <v>375651</v>
      </c>
      <c r="H58" s="2229">
        <v>0</v>
      </c>
      <c r="I58" s="2229">
        <f>G58/118*9</f>
        <v>28651.347457627118</v>
      </c>
      <c r="J58" s="2229">
        <f>G58/118*9</f>
        <v>28651.347457627118</v>
      </c>
      <c r="K58" s="2217"/>
      <c r="L58" s="2217"/>
      <c r="M58" s="2224">
        <f t="shared" si="1"/>
        <v>318348.30508474575</v>
      </c>
      <c r="N58" s="2226">
        <f t="shared" si="0"/>
        <v>57302.694915254251</v>
      </c>
      <c r="O58" s="2208" t="s">
        <v>1267</v>
      </c>
      <c r="U58" s="2282">
        <f>VLOOKUP(M58,'FA Register Final'!$F$3:$F$150,1,0)</f>
        <v>318348.30508474575</v>
      </c>
    </row>
    <row r="59" spans="1:21" ht="17.399999999999999">
      <c r="A59" s="2221" t="s">
        <v>4222</v>
      </c>
      <c r="B59" s="2213" t="s">
        <v>1868</v>
      </c>
      <c r="C59" s="2212" t="s">
        <v>1926</v>
      </c>
      <c r="D59" s="2212" t="s">
        <v>1875</v>
      </c>
      <c r="E59" s="2212"/>
      <c r="F59" s="2228">
        <v>417</v>
      </c>
      <c r="G59" s="2223">
        <v>120930</v>
      </c>
      <c r="H59" s="2229">
        <f t="shared" ref="H59:H64" si="4">G59/118*18</f>
        <v>18446.949152542373</v>
      </c>
      <c r="I59" s="2229">
        <v>0</v>
      </c>
      <c r="J59" s="2229">
        <v>0</v>
      </c>
      <c r="K59" s="2217"/>
      <c r="L59" s="2217"/>
      <c r="M59" s="2231">
        <f t="shared" si="1"/>
        <v>102483.05084745763</v>
      </c>
      <c r="N59" s="2232">
        <f t="shared" si="0"/>
        <v>18446.949152542365</v>
      </c>
      <c r="O59" s="2208" t="s">
        <v>1267</v>
      </c>
      <c r="U59" s="2282">
        <f>VLOOKUP(M59,'FA Register Final'!$F$3:$F$150,1,0)</f>
        <v>102483.05084745763</v>
      </c>
    </row>
    <row r="60" spans="1:21" ht="17.55" customHeight="1">
      <c r="A60" s="2221" t="s">
        <v>4222</v>
      </c>
      <c r="B60" s="2213" t="s">
        <v>1868</v>
      </c>
      <c r="C60" s="2212" t="s">
        <v>3966</v>
      </c>
      <c r="D60" s="2212" t="s">
        <v>1875</v>
      </c>
      <c r="E60" s="2212"/>
      <c r="F60" s="2228">
        <v>438</v>
      </c>
      <c r="G60" s="2223">
        <v>194523</v>
      </c>
      <c r="H60" s="2229">
        <f t="shared" si="4"/>
        <v>29673</v>
      </c>
      <c r="I60" s="2229">
        <v>0</v>
      </c>
      <c r="J60" s="2229">
        <v>0</v>
      </c>
      <c r="K60" s="2217"/>
      <c r="L60" s="2217"/>
      <c r="M60" s="2224">
        <f t="shared" si="1"/>
        <v>164850</v>
      </c>
      <c r="N60" s="2226">
        <f t="shared" si="0"/>
        <v>29673</v>
      </c>
      <c r="O60" s="2208" t="s">
        <v>1267</v>
      </c>
      <c r="U60" s="2282">
        <f>VLOOKUP(M60,'FA Register Final'!$F$3:$F$150,1,0)</f>
        <v>164850</v>
      </c>
    </row>
    <row r="61" spans="1:21" ht="17.55" customHeight="1">
      <c r="A61" s="2221" t="s">
        <v>4222</v>
      </c>
      <c r="B61" s="2213" t="s">
        <v>1868</v>
      </c>
      <c r="C61" s="2212" t="s">
        <v>1942</v>
      </c>
      <c r="D61" s="2212" t="s">
        <v>1875</v>
      </c>
      <c r="E61" s="2212"/>
      <c r="F61" s="2228">
        <v>443</v>
      </c>
      <c r="G61" s="2223">
        <v>403249</v>
      </c>
      <c r="H61" s="2229">
        <f t="shared" si="4"/>
        <v>61512.559322033892</v>
      </c>
      <c r="I61" s="2229">
        <v>0</v>
      </c>
      <c r="J61" s="2229">
        <v>0</v>
      </c>
      <c r="K61" s="2217"/>
      <c r="L61" s="2217"/>
      <c r="M61" s="2224">
        <f t="shared" si="1"/>
        <v>341736.44067796611</v>
      </c>
      <c r="N61" s="2226">
        <f t="shared" si="0"/>
        <v>61512.559322033892</v>
      </c>
      <c r="O61" s="2208" t="s">
        <v>1267</v>
      </c>
      <c r="U61" s="2282">
        <f>VLOOKUP(M61,'FA Register Final'!$F$3:$F$150,1,0)</f>
        <v>341736.44067796611</v>
      </c>
    </row>
    <row r="62" spans="1:21" ht="17.55" customHeight="1">
      <c r="A62" s="2221" t="s">
        <v>4222</v>
      </c>
      <c r="B62" s="2213" t="s">
        <v>1868</v>
      </c>
      <c r="C62" s="2212" t="s">
        <v>3960</v>
      </c>
      <c r="D62" s="2212" t="s">
        <v>1875</v>
      </c>
      <c r="E62" s="2212"/>
      <c r="F62" s="2228">
        <v>444</v>
      </c>
      <c r="G62" s="2223">
        <v>102437</v>
      </c>
      <c r="H62" s="2229">
        <f t="shared" si="4"/>
        <v>15625.983050847457</v>
      </c>
      <c r="I62" s="2229">
        <v>0</v>
      </c>
      <c r="J62" s="2229">
        <v>0</v>
      </c>
      <c r="K62" s="2217"/>
      <c r="L62" s="2217"/>
      <c r="M62" s="2224">
        <f t="shared" si="1"/>
        <v>86811.016949152545</v>
      </c>
      <c r="N62" s="2226">
        <f t="shared" si="0"/>
        <v>15625.983050847455</v>
      </c>
      <c r="O62" s="2208" t="s">
        <v>1267</v>
      </c>
      <c r="U62" s="2282">
        <f>VLOOKUP(M62,'FA Register Final'!$F$3:$F$150,1,0)</f>
        <v>86811.016949152545</v>
      </c>
    </row>
    <row r="63" spans="1:21" ht="17.55" customHeight="1">
      <c r="A63" s="2233">
        <v>44774</v>
      </c>
      <c r="B63" s="2213" t="s">
        <v>1868</v>
      </c>
      <c r="C63" s="2212" t="s">
        <v>2106</v>
      </c>
      <c r="D63" s="2212" t="s">
        <v>1875</v>
      </c>
      <c r="E63" s="2212"/>
      <c r="F63" s="2228">
        <v>445</v>
      </c>
      <c r="G63" s="2223">
        <v>223020</v>
      </c>
      <c r="H63" s="2229">
        <f t="shared" si="4"/>
        <v>34020</v>
      </c>
      <c r="I63" s="2229">
        <v>0</v>
      </c>
      <c r="J63" s="2229">
        <v>0</v>
      </c>
      <c r="K63" s="2217"/>
      <c r="L63" s="2217"/>
      <c r="M63" s="2224">
        <f t="shared" si="1"/>
        <v>189000</v>
      </c>
      <c r="N63" s="2226">
        <f t="shared" si="0"/>
        <v>34020</v>
      </c>
      <c r="O63" s="2208" t="s">
        <v>1267</v>
      </c>
      <c r="U63" s="2282">
        <f>VLOOKUP(M63,'FA Register Final'!$F$3:$F$150,1,0)</f>
        <v>189000</v>
      </c>
    </row>
    <row r="64" spans="1:21" ht="17.55" customHeight="1">
      <c r="A64" s="2221" t="s">
        <v>4222</v>
      </c>
      <c r="B64" s="2213" t="s">
        <v>1868</v>
      </c>
      <c r="C64" s="2212" t="s">
        <v>3960</v>
      </c>
      <c r="D64" s="2212" t="s">
        <v>1875</v>
      </c>
      <c r="E64" s="2212"/>
      <c r="F64" s="2228">
        <v>451</v>
      </c>
      <c r="G64" s="2223">
        <v>209012</v>
      </c>
      <c r="H64" s="2229">
        <f t="shared" si="4"/>
        <v>31883.186440677968</v>
      </c>
      <c r="I64" s="2229">
        <v>0</v>
      </c>
      <c r="J64" s="2229">
        <v>0</v>
      </c>
      <c r="K64" s="2217"/>
      <c r="L64" s="2217"/>
      <c r="M64" s="2224">
        <f t="shared" si="1"/>
        <v>177128.81355932204</v>
      </c>
      <c r="N64" s="2226">
        <f t="shared" si="0"/>
        <v>31883.186440677964</v>
      </c>
      <c r="O64" s="2208" t="s">
        <v>1267</v>
      </c>
      <c r="U64" s="2282">
        <f>VLOOKUP(M64,'FA Register Final'!$F$3:$F$150,1,0)</f>
        <v>177128.81355932204</v>
      </c>
    </row>
    <row r="65" spans="1:21" ht="17.55" customHeight="1">
      <c r="A65" s="2221" t="s">
        <v>4222</v>
      </c>
      <c r="B65" s="2213" t="s">
        <v>1868</v>
      </c>
      <c r="C65" s="2212" t="s">
        <v>2566</v>
      </c>
      <c r="D65" s="2212" t="s">
        <v>1875</v>
      </c>
      <c r="E65" s="2212"/>
      <c r="F65" s="2228">
        <v>458</v>
      </c>
      <c r="G65" s="2223">
        <v>592811</v>
      </c>
      <c r="H65" s="2229">
        <v>0</v>
      </c>
      <c r="I65" s="2229">
        <f>G65/118*9</f>
        <v>45214.398305084746</v>
      </c>
      <c r="J65" s="2229">
        <f>G65/118*9</f>
        <v>45214.398305084746</v>
      </c>
      <c r="K65" s="2217"/>
      <c r="L65" s="2217"/>
      <c r="M65" s="2224">
        <f t="shared" si="1"/>
        <v>502382.20338983048</v>
      </c>
      <c r="N65" s="2226">
        <f t="shared" si="0"/>
        <v>90428.79661016952</v>
      </c>
      <c r="O65" s="2208" t="s">
        <v>1267</v>
      </c>
      <c r="U65" s="2282">
        <f>VLOOKUP(M65,'FA Register Final'!$F$3:$F$150,1,0)</f>
        <v>502382.20338983048</v>
      </c>
    </row>
    <row r="66" spans="1:21" ht="17.55" customHeight="1">
      <c r="A66" s="2221" t="s">
        <v>4222</v>
      </c>
      <c r="B66" s="2213" t="s">
        <v>1868</v>
      </c>
      <c r="C66" s="2212" t="s">
        <v>580</v>
      </c>
      <c r="D66" s="2212" t="s">
        <v>1875</v>
      </c>
      <c r="E66" s="2212"/>
      <c r="F66" s="2228">
        <v>471</v>
      </c>
      <c r="G66" s="2223">
        <v>176764</v>
      </c>
      <c r="H66" s="2229">
        <v>0</v>
      </c>
      <c r="I66" s="2229">
        <f>G66/118*9</f>
        <v>13482</v>
      </c>
      <c r="J66" s="2229">
        <f>G66/118*9</f>
        <v>13482</v>
      </c>
      <c r="K66" s="2217"/>
      <c r="L66" s="2217"/>
      <c r="M66" s="2224">
        <f t="shared" si="1"/>
        <v>149800</v>
      </c>
      <c r="N66" s="2226">
        <f t="shared" si="0"/>
        <v>26964</v>
      </c>
      <c r="O66" s="2208" t="s">
        <v>1267</v>
      </c>
      <c r="U66" s="2282">
        <f>VLOOKUP(M66,'FA Register Final'!$F$3:$F$150,1,0)</f>
        <v>149800</v>
      </c>
    </row>
    <row r="67" spans="1:21" ht="17.55" customHeight="1">
      <c r="A67" s="2221" t="s">
        <v>4222</v>
      </c>
      <c r="B67" s="2213" t="s">
        <v>1868</v>
      </c>
      <c r="C67" s="2212" t="s">
        <v>3957</v>
      </c>
      <c r="D67" s="2212" t="s">
        <v>1875</v>
      </c>
      <c r="E67" s="2212"/>
      <c r="F67" s="2228">
        <v>495</v>
      </c>
      <c r="G67" s="2223">
        <v>233391</v>
      </c>
      <c r="H67" s="2229">
        <f>G67/118*18</f>
        <v>35602.016949152545</v>
      </c>
      <c r="I67" s="2229">
        <v>0</v>
      </c>
      <c r="J67" s="2229">
        <v>0</v>
      </c>
      <c r="K67" s="2217"/>
      <c r="L67" s="2217"/>
      <c r="M67" s="2224">
        <f t="shared" si="1"/>
        <v>197788.98305084746</v>
      </c>
      <c r="N67" s="2226">
        <f t="shared" si="0"/>
        <v>35602.016949152545</v>
      </c>
      <c r="O67" s="2208" t="s">
        <v>1267</v>
      </c>
      <c r="U67" s="2282">
        <f>VLOOKUP(M67,'FA Register Final'!$F$3:$F$150,1,0)</f>
        <v>197788.98305084746</v>
      </c>
    </row>
    <row r="68" spans="1:21" ht="17.55" customHeight="1">
      <c r="A68" s="2221" t="s">
        <v>4222</v>
      </c>
      <c r="B68" s="2213" t="s">
        <v>1868</v>
      </c>
      <c r="C68" s="2212" t="s">
        <v>3960</v>
      </c>
      <c r="D68" s="2212" t="s">
        <v>1875</v>
      </c>
      <c r="E68" s="2212"/>
      <c r="F68" s="2228">
        <v>516</v>
      </c>
      <c r="G68" s="2223">
        <v>55915</v>
      </c>
      <c r="H68" s="2229">
        <f>G68/118*18</f>
        <v>8529.4067796610179</v>
      </c>
      <c r="I68" s="2229">
        <v>0</v>
      </c>
      <c r="J68" s="2229">
        <v>0</v>
      </c>
      <c r="K68" s="2217"/>
      <c r="L68" s="2217"/>
      <c r="M68" s="2224">
        <f t="shared" si="1"/>
        <v>47385.593220338982</v>
      </c>
      <c r="N68" s="2226">
        <f t="shared" si="0"/>
        <v>8529.4067796610179</v>
      </c>
      <c r="O68" s="2208" t="s">
        <v>1267</v>
      </c>
      <c r="U68" s="2282">
        <f>VLOOKUP(M68,'FA Register Final'!$F$3:$F$150,1,0)</f>
        <v>47385.593220338982</v>
      </c>
    </row>
    <row r="69" spans="1:21" ht="17.55" customHeight="1">
      <c r="A69" s="2233">
        <v>44774</v>
      </c>
      <c r="B69" s="2213" t="s">
        <v>1868</v>
      </c>
      <c r="C69" s="2212" t="s">
        <v>1383</v>
      </c>
      <c r="D69" s="2212" t="s">
        <v>1875</v>
      </c>
      <c r="E69" s="2212"/>
      <c r="F69" s="2228">
        <v>518</v>
      </c>
      <c r="G69" s="2223">
        <v>44275</v>
      </c>
      <c r="H69" s="2229">
        <v>0</v>
      </c>
      <c r="I69" s="2229">
        <v>0</v>
      </c>
      <c r="J69" s="2229">
        <v>0</v>
      </c>
      <c r="K69" s="2217"/>
      <c r="L69" s="2217"/>
      <c r="M69" s="2224">
        <f t="shared" si="1"/>
        <v>44275</v>
      </c>
      <c r="N69" s="2226">
        <f t="shared" si="0"/>
        <v>0</v>
      </c>
      <c r="O69" s="2208" t="s">
        <v>1267</v>
      </c>
      <c r="U69" s="2282">
        <f>VLOOKUP(M69,'FA Register Final'!$F$3:$F$150,1,0)</f>
        <v>44275</v>
      </c>
    </row>
    <row r="70" spans="1:21" ht="17.55" customHeight="1">
      <c r="A70" s="2221" t="s">
        <v>4222</v>
      </c>
      <c r="B70" s="2213" t="s">
        <v>1868</v>
      </c>
      <c r="C70" s="2212" t="s">
        <v>1383</v>
      </c>
      <c r="D70" s="2212" t="s">
        <v>1875</v>
      </c>
      <c r="E70" s="2212"/>
      <c r="F70" s="2228">
        <v>519</v>
      </c>
      <c r="G70" s="2223">
        <v>18176</v>
      </c>
      <c r="H70" s="2229">
        <v>0</v>
      </c>
      <c r="I70" s="2229">
        <v>0</v>
      </c>
      <c r="J70" s="2229">
        <v>0</v>
      </c>
      <c r="K70" s="2217"/>
      <c r="L70" s="2217"/>
      <c r="M70" s="2224">
        <f t="shared" si="1"/>
        <v>18176</v>
      </c>
      <c r="N70" s="2226">
        <f t="shared" si="0"/>
        <v>0</v>
      </c>
      <c r="O70" s="2208" t="s">
        <v>1267</v>
      </c>
      <c r="U70" s="2282">
        <f>VLOOKUP(M70,'FA Register Final'!$F$3:$F$150,1,0)</f>
        <v>18176</v>
      </c>
    </row>
    <row r="71" spans="1:21" ht="17.55" customHeight="1">
      <c r="A71" s="2221" t="s">
        <v>4222</v>
      </c>
      <c r="B71" s="2213" t="s">
        <v>1868</v>
      </c>
      <c r="C71" s="2212" t="s">
        <v>1383</v>
      </c>
      <c r="D71" s="2212" t="s">
        <v>1875</v>
      </c>
      <c r="E71" s="2212"/>
      <c r="F71" s="2228">
        <v>520</v>
      </c>
      <c r="G71" s="2223">
        <v>21475</v>
      </c>
      <c r="H71" s="2229">
        <v>0</v>
      </c>
      <c r="I71" s="2229">
        <v>0</v>
      </c>
      <c r="J71" s="2229">
        <v>0</v>
      </c>
      <c r="K71" s="2217"/>
      <c r="L71" s="2217"/>
      <c r="M71" s="2224">
        <f t="shared" si="1"/>
        <v>21475</v>
      </c>
      <c r="N71" s="2226">
        <f t="shared" si="0"/>
        <v>0</v>
      </c>
      <c r="O71" s="2208" t="s">
        <v>1267</v>
      </c>
      <c r="U71" s="2282">
        <f>VLOOKUP(M71,'FA Register Final'!$F$3:$F$150,1,0)</f>
        <v>21475</v>
      </c>
    </row>
    <row r="72" spans="1:21" ht="17.55" customHeight="1">
      <c r="A72" s="2221" t="s">
        <v>4222</v>
      </c>
      <c r="B72" s="2213" t="s">
        <v>1868</v>
      </c>
      <c r="C72" s="2212" t="s">
        <v>1670</v>
      </c>
      <c r="D72" s="2212" t="s">
        <v>1875</v>
      </c>
      <c r="E72" s="2212"/>
      <c r="F72" s="2228">
        <v>521</v>
      </c>
      <c r="G72" s="2223">
        <v>25000</v>
      </c>
      <c r="H72" s="2229">
        <v>0</v>
      </c>
      <c r="I72" s="2229">
        <v>0</v>
      </c>
      <c r="J72" s="2229">
        <v>0</v>
      </c>
      <c r="K72" s="2217"/>
      <c r="L72" s="2217"/>
      <c r="M72" s="2224">
        <f t="shared" si="1"/>
        <v>25000</v>
      </c>
      <c r="N72" s="2226">
        <f t="shared" si="0"/>
        <v>0</v>
      </c>
      <c r="O72" s="2208" t="s">
        <v>1267</v>
      </c>
      <c r="U72" s="2282">
        <f>VLOOKUP(M72,'FA Register Final'!$F$3:$F$150,1,0)</f>
        <v>25000</v>
      </c>
    </row>
    <row r="73" spans="1:21" ht="17.55" customHeight="1">
      <c r="A73" s="2221" t="s">
        <v>4222</v>
      </c>
      <c r="B73" s="2213" t="s">
        <v>1868</v>
      </c>
      <c r="C73" s="2212" t="s">
        <v>1942</v>
      </c>
      <c r="D73" s="2212" t="s">
        <v>1875</v>
      </c>
      <c r="E73" s="2212"/>
      <c r="F73" s="2228">
        <v>556</v>
      </c>
      <c r="G73" s="2223">
        <v>1160100</v>
      </c>
      <c r="H73" s="2229">
        <f>G73/118*18</f>
        <v>176964.40677966102</v>
      </c>
      <c r="I73" s="2229">
        <v>0</v>
      </c>
      <c r="J73" s="2229">
        <v>0</v>
      </c>
      <c r="K73" s="2217"/>
      <c r="L73" s="2217"/>
      <c r="M73" s="2224">
        <f t="shared" si="1"/>
        <v>983135.59322033892</v>
      </c>
      <c r="N73" s="2226">
        <f t="shared" si="0"/>
        <v>176964.40677966108</v>
      </c>
      <c r="O73" s="2208" t="s">
        <v>1267</v>
      </c>
      <c r="U73" s="2282">
        <f>VLOOKUP(M73,'FA Register Final'!$F$3:$F$150,1,0)</f>
        <v>983135.59322033892</v>
      </c>
    </row>
    <row r="74" spans="1:21" ht="17.55" customHeight="1">
      <c r="A74" s="2221" t="s">
        <v>4222</v>
      </c>
      <c r="B74" s="2213" t="s">
        <v>1868</v>
      </c>
      <c r="C74" s="2212" t="s">
        <v>1680</v>
      </c>
      <c r="D74" s="2212" t="s">
        <v>1875</v>
      </c>
      <c r="E74" s="2212"/>
      <c r="F74" s="2228">
        <v>571</v>
      </c>
      <c r="G74" s="2223">
        <v>337480</v>
      </c>
      <c r="H74" s="2229">
        <f>G74/118*18</f>
        <v>51480</v>
      </c>
      <c r="I74" s="2229">
        <v>0</v>
      </c>
      <c r="J74" s="2229">
        <v>0</v>
      </c>
      <c r="K74" s="2217"/>
      <c r="L74" s="2217"/>
      <c r="M74" s="2224">
        <f t="shared" si="1"/>
        <v>286000</v>
      </c>
      <c r="N74" s="2226">
        <f t="shared" si="0"/>
        <v>51480</v>
      </c>
      <c r="O74" s="2208" t="s">
        <v>1267</v>
      </c>
      <c r="U74" s="2282">
        <f>VLOOKUP(M74,'FA Register Final'!$F$3:$F$150,1,0)</f>
        <v>286000</v>
      </c>
    </row>
    <row r="75" spans="1:21" ht="17.55" customHeight="1">
      <c r="A75" s="2221" t="s">
        <v>4222</v>
      </c>
      <c r="B75" s="2213" t="s">
        <v>1868</v>
      </c>
      <c r="C75" s="2212" t="s">
        <v>3957</v>
      </c>
      <c r="D75" s="2212" t="s">
        <v>1875</v>
      </c>
      <c r="E75" s="2212"/>
      <c r="F75" s="2228">
        <v>572</v>
      </c>
      <c r="G75" s="2223">
        <v>119184</v>
      </c>
      <c r="H75" s="2229">
        <v>0</v>
      </c>
      <c r="I75" s="2229">
        <v>8671</v>
      </c>
      <c r="J75" s="2229">
        <v>8671</v>
      </c>
      <c r="K75" s="2217"/>
      <c r="L75" s="2217"/>
      <c r="M75" s="2224">
        <f t="shared" si="1"/>
        <v>101842</v>
      </c>
      <c r="N75" s="2226">
        <f t="shared" si="0"/>
        <v>17342</v>
      </c>
      <c r="O75" s="2208" t="s">
        <v>1267</v>
      </c>
      <c r="U75" s="2282">
        <f>VLOOKUP(M75,'FA Register Final'!$F$3:$F$150,1,0)</f>
        <v>101842</v>
      </c>
    </row>
    <row r="76" spans="1:21" ht="17.55" customHeight="1">
      <c r="A76" s="2233">
        <v>44806</v>
      </c>
      <c r="B76" s="2213" t="s">
        <v>1868</v>
      </c>
      <c r="C76" s="2212" t="s">
        <v>259</v>
      </c>
      <c r="D76" s="2212" t="s">
        <v>1875</v>
      </c>
      <c r="E76" s="2212"/>
      <c r="F76" s="2228">
        <v>578</v>
      </c>
      <c r="G76" s="2223">
        <v>433650</v>
      </c>
      <c r="H76" s="2229">
        <v>0</v>
      </c>
      <c r="I76" s="2229">
        <f>G76/118*9</f>
        <v>33075</v>
      </c>
      <c r="J76" s="2229">
        <f>G76/118*9</f>
        <v>33075</v>
      </c>
      <c r="K76" s="2217"/>
      <c r="L76" s="2217"/>
      <c r="M76" s="2224">
        <f t="shared" si="1"/>
        <v>367500</v>
      </c>
      <c r="N76" s="2226">
        <f t="shared" ref="N76:N82" si="5">G76-M76</f>
        <v>66150</v>
      </c>
      <c r="O76" s="2208" t="s">
        <v>1267</v>
      </c>
      <c r="U76" s="2282">
        <f>VLOOKUP(M76,'FA Register Final'!$F$3:$F$150,1,0)</f>
        <v>367500</v>
      </c>
    </row>
    <row r="77" spans="1:21" ht="17.55" customHeight="1">
      <c r="A77" s="2221" t="s">
        <v>4222</v>
      </c>
      <c r="B77" s="2213" t="s">
        <v>1868</v>
      </c>
      <c r="C77" s="2212" t="s">
        <v>580</v>
      </c>
      <c r="D77" s="2212" t="s">
        <v>1875</v>
      </c>
      <c r="E77" s="2212"/>
      <c r="F77" s="2228">
        <v>582</v>
      </c>
      <c r="G77" s="2223">
        <v>250868</v>
      </c>
      <c r="H77" s="2229">
        <v>0</v>
      </c>
      <c r="I77" s="2229">
        <f>G77/118*9</f>
        <v>19134</v>
      </c>
      <c r="J77" s="2229">
        <f>G77/118*9</f>
        <v>19134</v>
      </c>
      <c r="K77" s="2217"/>
      <c r="L77" s="2217"/>
      <c r="M77" s="2224">
        <f t="shared" ref="M77:M88" si="6">G77-H77-I77-J77</f>
        <v>212600</v>
      </c>
      <c r="N77" s="2226">
        <f t="shared" si="5"/>
        <v>38268</v>
      </c>
      <c r="O77" s="2208" t="s">
        <v>1267</v>
      </c>
      <c r="U77" s="2282">
        <f>VLOOKUP(M77,'FA Register Final'!$F$3:$F$150,1,0)</f>
        <v>212600</v>
      </c>
    </row>
    <row r="78" spans="1:21" ht="17.55" customHeight="1">
      <c r="A78" s="2221" t="s">
        <v>4222</v>
      </c>
      <c r="B78" s="2213" t="s">
        <v>1868</v>
      </c>
      <c r="C78" s="2212" t="s">
        <v>1383</v>
      </c>
      <c r="D78" s="2212" t="s">
        <v>1875</v>
      </c>
      <c r="E78" s="2212"/>
      <c r="F78" s="2228">
        <v>589</v>
      </c>
      <c r="G78" s="2223">
        <v>118450</v>
      </c>
      <c r="H78" s="2229">
        <v>0</v>
      </c>
      <c r="I78" s="2229">
        <v>0</v>
      </c>
      <c r="J78" s="2229">
        <v>0</v>
      </c>
      <c r="K78" s="2217"/>
      <c r="L78" s="2217"/>
      <c r="M78" s="2224">
        <f t="shared" si="6"/>
        <v>118450</v>
      </c>
      <c r="N78" s="2226">
        <f t="shared" si="5"/>
        <v>0</v>
      </c>
      <c r="O78" s="2208" t="s">
        <v>1267</v>
      </c>
      <c r="U78" s="2282">
        <f>VLOOKUP(M78,'FA Register Final'!$F$3:$F$150,1,0)</f>
        <v>118450</v>
      </c>
    </row>
    <row r="79" spans="1:21" ht="17.55" customHeight="1">
      <c r="A79" s="2221" t="s">
        <v>4222</v>
      </c>
      <c r="B79" s="2213" t="s">
        <v>1868</v>
      </c>
      <c r="C79" s="2212" t="s">
        <v>1383</v>
      </c>
      <c r="D79" s="2212" t="s">
        <v>1875</v>
      </c>
      <c r="E79" s="2212"/>
      <c r="F79" s="2228">
        <v>590</v>
      </c>
      <c r="G79" s="2223">
        <v>118450</v>
      </c>
      <c r="H79" s="2229">
        <v>0</v>
      </c>
      <c r="I79" s="2229">
        <v>0</v>
      </c>
      <c r="J79" s="2229">
        <v>0</v>
      </c>
      <c r="K79" s="2217"/>
      <c r="L79" s="2217"/>
      <c r="M79" s="2224">
        <f t="shared" si="6"/>
        <v>118450</v>
      </c>
      <c r="N79" s="2226">
        <f t="shared" si="5"/>
        <v>0</v>
      </c>
      <c r="O79" s="2208" t="s">
        <v>1267</v>
      </c>
      <c r="U79" s="2282">
        <f>VLOOKUP(M79,'FA Register Final'!$F$3:$F$150,1,0)</f>
        <v>118450</v>
      </c>
    </row>
    <row r="80" spans="1:21" ht="17.55" customHeight="1">
      <c r="A80" s="2221" t="s">
        <v>4222</v>
      </c>
      <c r="B80" s="2213" t="s">
        <v>1868</v>
      </c>
      <c r="C80" s="2212" t="s">
        <v>3947</v>
      </c>
      <c r="D80" s="2212" t="s">
        <v>1875</v>
      </c>
      <c r="E80" s="2212"/>
      <c r="F80" s="2228">
        <v>592</v>
      </c>
      <c r="G80" s="2223">
        <v>194700</v>
      </c>
      <c r="H80" s="2229">
        <f>G80/118*18</f>
        <v>29700</v>
      </c>
      <c r="I80" s="2229">
        <v>0</v>
      </c>
      <c r="J80" s="2229">
        <v>0</v>
      </c>
      <c r="K80" s="2217"/>
      <c r="L80" s="2217"/>
      <c r="M80" s="2224">
        <f t="shared" si="6"/>
        <v>165000</v>
      </c>
      <c r="N80" s="2226">
        <f t="shared" si="5"/>
        <v>29700</v>
      </c>
      <c r="O80" s="2208" t="s">
        <v>1267</v>
      </c>
      <c r="U80" s="2282">
        <f>VLOOKUP(M80,'FA Register Final'!$F$3:$F$150,1,0)</f>
        <v>165000</v>
      </c>
    </row>
    <row r="81" spans="1:21" ht="17.55" customHeight="1">
      <c r="A81" s="2221" t="s">
        <v>4222</v>
      </c>
      <c r="B81" s="2213" t="s">
        <v>1868</v>
      </c>
      <c r="C81" s="2212" t="s">
        <v>3924</v>
      </c>
      <c r="D81" s="2212" t="s">
        <v>1875</v>
      </c>
      <c r="E81" s="2212"/>
      <c r="F81" s="2228">
        <v>595</v>
      </c>
      <c r="G81" s="2223">
        <v>246620</v>
      </c>
      <c r="H81" s="2229">
        <v>0</v>
      </c>
      <c r="I81" s="2229">
        <f>G81/118*9</f>
        <v>18810</v>
      </c>
      <c r="J81" s="2229">
        <f>G81/118*9</f>
        <v>18810</v>
      </c>
      <c r="K81" s="2217"/>
      <c r="L81" s="2217"/>
      <c r="M81" s="2224">
        <f t="shared" si="6"/>
        <v>209000</v>
      </c>
      <c r="N81" s="2226">
        <f t="shared" si="5"/>
        <v>37620</v>
      </c>
      <c r="O81" s="2208" t="s">
        <v>1267</v>
      </c>
      <c r="U81" s="2282">
        <f>VLOOKUP(M81,'FA Register Final'!$F$3:$F$150,1,0)</f>
        <v>209000</v>
      </c>
    </row>
    <row r="82" spans="1:21" ht="17.55" customHeight="1">
      <c r="A82" s="2221" t="s">
        <v>4222</v>
      </c>
      <c r="B82" s="2213" t="s">
        <v>1868</v>
      </c>
      <c r="C82" s="2212" t="s">
        <v>3960</v>
      </c>
      <c r="D82" s="2212" t="s">
        <v>1875</v>
      </c>
      <c r="E82" s="2212"/>
      <c r="F82" s="2228">
        <v>596</v>
      </c>
      <c r="G82" s="2223">
        <v>111451</v>
      </c>
      <c r="H82" s="2229">
        <f>G82/118*18</f>
        <v>17001</v>
      </c>
      <c r="I82" s="2229">
        <v>0</v>
      </c>
      <c r="J82" s="2229">
        <v>0</v>
      </c>
      <c r="K82" s="2217"/>
      <c r="L82" s="2217"/>
      <c r="M82" s="2224">
        <f t="shared" si="6"/>
        <v>94450</v>
      </c>
      <c r="N82" s="2226">
        <f t="shared" si="5"/>
        <v>17001</v>
      </c>
      <c r="O82" s="2208" t="s">
        <v>1267</v>
      </c>
      <c r="U82" s="2282">
        <f>VLOOKUP(M82,'FA Register Final'!$F$3:$F$150,1,0)</f>
        <v>94450</v>
      </c>
    </row>
    <row r="83" spans="1:21" s="2242" customFormat="1" ht="17.55" customHeight="1">
      <c r="A83" s="2234">
        <v>44793</v>
      </c>
      <c r="B83" s="2235" t="s">
        <v>1868</v>
      </c>
      <c r="C83" s="2236" t="s">
        <v>2566</v>
      </c>
      <c r="D83" s="2236" t="s">
        <v>1875</v>
      </c>
      <c r="E83" s="2236"/>
      <c r="F83" s="2237">
        <v>597</v>
      </c>
      <c r="G83" s="2223">
        <v>4848</v>
      </c>
      <c r="H83" s="2238">
        <v>0</v>
      </c>
      <c r="I83" s="2238">
        <f>G83/118*9</f>
        <v>369.76271186440675</v>
      </c>
      <c r="J83" s="2238">
        <f>G83/118*9</f>
        <v>369.76271186440675</v>
      </c>
      <c r="K83" s="2239"/>
      <c r="L83" s="2239"/>
      <c r="M83" s="2240">
        <f t="shared" si="6"/>
        <v>4108.4745762711864</v>
      </c>
      <c r="N83" s="2241" t="s">
        <v>4223</v>
      </c>
      <c r="O83" s="2242" t="s">
        <v>1267</v>
      </c>
      <c r="U83" s="2282">
        <f>VLOOKUP(M83,'FA Register Final'!$F$3:$F$150,1,0)</f>
        <v>4108.4745762711864</v>
      </c>
    </row>
    <row r="84" spans="1:21" ht="17.55" customHeight="1">
      <c r="A84" s="2221" t="s">
        <v>4222</v>
      </c>
      <c r="B84" s="2213" t="s">
        <v>1868</v>
      </c>
      <c r="C84" s="2212" t="s">
        <v>1693</v>
      </c>
      <c r="D84" s="2212" t="s">
        <v>1875</v>
      </c>
      <c r="E84" s="2212"/>
      <c r="F84" s="2228">
        <v>668</v>
      </c>
      <c r="G84" s="2243">
        <v>636020</v>
      </c>
      <c r="H84" s="2229">
        <f>G84/118*18</f>
        <v>97020</v>
      </c>
      <c r="I84" s="2229">
        <v>0</v>
      </c>
      <c r="J84" s="2229">
        <v>0</v>
      </c>
      <c r="K84" s="2217"/>
      <c r="L84" s="2217"/>
      <c r="M84" s="2224">
        <f t="shared" si="6"/>
        <v>539000</v>
      </c>
      <c r="N84" s="2226">
        <f>G84-M84</f>
        <v>97020</v>
      </c>
      <c r="O84" s="2208" t="s">
        <v>1267</v>
      </c>
      <c r="U84" s="2282">
        <f>VLOOKUP(M84,'FA Register Final'!$F$3:$F$150,1,0)</f>
        <v>539000</v>
      </c>
    </row>
    <row r="85" spans="1:21" ht="17.55" customHeight="1">
      <c r="A85" s="2221" t="s">
        <v>4222</v>
      </c>
      <c r="B85" s="2213" t="s">
        <v>1868</v>
      </c>
      <c r="C85" s="2212" t="s">
        <v>1383</v>
      </c>
      <c r="D85" s="2212" t="s">
        <v>1875</v>
      </c>
      <c r="E85" s="2212"/>
      <c r="F85" s="2228">
        <v>677</v>
      </c>
      <c r="G85" s="2223">
        <v>22500</v>
      </c>
      <c r="H85" s="2229">
        <v>0</v>
      </c>
      <c r="I85" s="2229">
        <v>0</v>
      </c>
      <c r="J85" s="2229">
        <v>0</v>
      </c>
      <c r="K85" s="2217"/>
      <c r="L85" s="2217"/>
      <c r="M85" s="2224">
        <f t="shared" si="6"/>
        <v>22500</v>
      </c>
      <c r="N85" s="2226">
        <f>G85-M85</f>
        <v>0</v>
      </c>
      <c r="O85" s="2208" t="s">
        <v>1267</v>
      </c>
      <c r="U85" s="2282">
        <f>VLOOKUP(M85,'FA Register Final'!$F$3:$F$150,1,0)</f>
        <v>22500</v>
      </c>
    </row>
    <row r="86" spans="1:21" ht="17.55" customHeight="1">
      <c r="A86" s="2221" t="s">
        <v>4222</v>
      </c>
      <c r="B86" s="2213" t="s">
        <v>1868</v>
      </c>
      <c r="C86" s="2212" t="s">
        <v>2292</v>
      </c>
      <c r="D86" s="2212" t="s">
        <v>1875</v>
      </c>
      <c r="E86" s="2212"/>
      <c r="F86" s="2228">
        <v>678</v>
      </c>
      <c r="G86" s="2223">
        <v>54912</v>
      </c>
      <c r="H86" s="2229">
        <v>0</v>
      </c>
      <c r="I86" s="2229">
        <v>0</v>
      </c>
      <c r="J86" s="2229">
        <v>0</v>
      </c>
      <c r="K86" s="2217"/>
      <c r="L86" s="2217"/>
      <c r="M86" s="2224">
        <f t="shared" si="6"/>
        <v>54912</v>
      </c>
      <c r="N86" s="2226">
        <f>G86-M86</f>
        <v>0</v>
      </c>
      <c r="O86" s="2208" t="s">
        <v>1267</v>
      </c>
      <c r="U86" s="2282">
        <f>VLOOKUP(M86,'FA Register Final'!$F$3:$F$150,1,0)</f>
        <v>54912</v>
      </c>
    </row>
    <row r="87" spans="1:21" s="2253" customFormat="1" ht="17.55" customHeight="1">
      <c r="A87" s="2244">
        <v>44823</v>
      </c>
      <c r="B87" s="2245" t="s">
        <v>1868</v>
      </c>
      <c r="C87" s="2246" t="s">
        <v>3288</v>
      </c>
      <c r="D87" s="2246" t="s">
        <v>1875</v>
      </c>
      <c r="E87" s="2246"/>
      <c r="F87" s="2247">
        <v>681</v>
      </c>
      <c r="G87" s="2248">
        <v>32096</v>
      </c>
      <c r="H87" s="2249">
        <v>0</v>
      </c>
      <c r="I87" s="2249">
        <f>G87/118*9</f>
        <v>2448</v>
      </c>
      <c r="J87" s="2249">
        <f>G87/118*9</f>
        <v>2448</v>
      </c>
      <c r="K87" s="2250"/>
      <c r="L87" s="2250"/>
      <c r="M87" s="2251">
        <f t="shared" si="6"/>
        <v>27200</v>
      </c>
      <c r="N87" s="2252"/>
      <c r="O87" s="2253" t="s">
        <v>1267</v>
      </c>
      <c r="U87" s="2282">
        <f>VLOOKUP(M87,'FA Register Final'!$F$3:$F$150,1,0)</f>
        <v>27200</v>
      </c>
    </row>
    <row r="88" spans="1:21" s="2242" customFormat="1" ht="17.55" customHeight="1">
      <c r="A88" s="2234">
        <v>44818</v>
      </c>
      <c r="B88" s="2235" t="s">
        <v>1868</v>
      </c>
      <c r="C88" s="2236" t="s">
        <v>1926</v>
      </c>
      <c r="D88" s="2236" t="s">
        <v>1875</v>
      </c>
      <c r="E88" s="2236"/>
      <c r="F88" s="2237">
        <v>697</v>
      </c>
      <c r="G88" s="2223">
        <v>148625</v>
      </c>
      <c r="H88" s="2238">
        <f>G88/118*18</f>
        <v>22671.610169491523</v>
      </c>
      <c r="I88" s="2238">
        <v>0</v>
      </c>
      <c r="J88" s="2238">
        <v>0</v>
      </c>
      <c r="K88" s="2239"/>
      <c r="L88" s="2239"/>
      <c r="M88" s="2240">
        <f t="shared" si="6"/>
        <v>125953.38983050847</v>
      </c>
      <c r="N88" s="2241" t="s">
        <v>4223</v>
      </c>
      <c r="O88" s="2242" t="s">
        <v>1267</v>
      </c>
      <c r="U88" s="2282">
        <f>VLOOKUP(M88,'FA Register Final'!$F$3:$F$150,1,0)</f>
        <v>125953.38983050847</v>
      </c>
    </row>
    <row r="89" spans="1:21" ht="17.55" hidden="1" customHeight="1">
      <c r="A89" s="2221" t="s">
        <v>4222</v>
      </c>
      <c r="B89" s="2213" t="s">
        <v>1868</v>
      </c>
      <c r="C89" s="2212" t="s">
        <v>1925</v>
      </c>
      <c r="D89" s="2212" t="s">
        <v>1875</v>
      </c>
      <c r="E89" s="2212"/>
      <c r="F89" s="2228">
        <v>742</v>
      </c>
      <c r="G89" s="2223">
        <v>60000</v>
      </c>
      <c r="H89" s="2224">
        <v>0</v>
      </c>
      <c r="I89" s="2224">
        <f>G89/118*9</f>
        <v>4576.2711864406783</v>
      </c>
      <c r="J89" s="2224">
        <f>G89/118*9</f>
        <v>4576.2711864406783</v>
      </c>
      <c r="L89" s="2224"/>
      <c r="M89" s="2224">
        <f>G89-H89-I89-J89</f>
        <v>50847.457627118638</v>
      </c>
      <c r="N89" s="2226">
        <f>G89-M89</f>
        <v>9152.5423728813621</v>
      </c>
      <c r="O89" s="2208" t="s">
        <v>93</v>
      </c>
      <c r="U89" s="2282">
        <f>VLOOKUP(M89,'FA Register Final'!$F$3:$F$150,1,0)</f>
        <v>50847.457627118638</v>
      </c>
    </row>
    <row r="90" spans="1:21" ht="17.55" customHeight="1">
      <c r="A90" s="2221" t="s">
        <v>4222</v>
      </c>
      <c r="B90" s="2213" t="s">
        <v>1868</v>
      </c>
      <c r="C90" s="2212" t="s">
        <v>580</v>
      </c>
      <c r="D90" s="2212" t="s">
        <v>1875</v>
      </c>
      <c r="E90" s="2212"/>
      <c r="F90" s="2228">
        <v>792</v>
      </c>
      <c r="G90" s="2254">
        <v>141246</v>
      </c>
      <c r="H90" s="2229">
        <v>0</v>
      </c>
      <c r="I90" s="2229">
        <f>G90/118*9</f>
        <v>10773</v>
      </c>
      <c r="J90" s="2229">
        <f>G90/118*9</f>
        <v>10773</v>
      </c>
      <c r="K90" s="2217"/>
      <c r="L90" s="2217"/>
      <c r="M90" s="2224">
        <f>G90-H90-I90-J90</f>
        <v>119700</v>
      </c>
      <c r="N90" s="2226">
        <f>G90-M90</f>
        <v>21546</v>
      </c>
      <c r="O90" s="2208" t="s">
        <v>1267</v>
      </c>
      <c r="U90" s="2282">
        <f>VLOOKUP(M90,'FA Register Final'!$F$3:$F$150,1,0)</f>
        <v>119700</v>
      </c>
    </row>
    <row r="91" spans="1:21" ht="17.55" customHeight="1">
      <c r="A91" s="2221" t="s">
        <v>4222</v>
      </c>
      <c r="B91" s="2213" t="s">
        <v>1868</v>
      </c>
      <c r="C91" s="2212" t="s">
        <v>3933</v>
      </c>
      <c r="D91" s="2212" t="s">
        <v>1875</v>
      </c>
      <c r="E91" s="2212"/>
      <c r="F91" s="2228">
        <v>864</v>
      </c>
      <c r="G91" s="2254">
        <v>326076</v>
      </c>
      <c r="H91" s="2229">
        <f>G91/118*18</f>
        <v>49740.406779661018</v>
      </c>
      <c r="I91" s="2229">
        <v>0</v>
      </c>
      <c r="J91" s="2229">
        <v>0</v>
      </c>
      <c r="K91" s="2217"/>
      <c r="L91" s="2217"/>
      <c r="M91" s="2224">
        <f>G91-H91-I91-J91</f>
        <v>276335.59322033898</v>
      </c>
      <c r="N91" s="2226">
        <f>G91-M91</f>
        <v>49740.406779661018</v>
      </c>
      <c r="O91" s="2208" t="s">
        <v>1267</v>
      </c>
      <c r="U91" s="2282">
        <f>VLOOKUP(M91,'FA Register Final'!$F$3:$F$150,1,0)</f>
        <v>276335.59322033898</v>
      </c>
    </row>
    <row r="92" spans="1:21" ht="17.55" hidden="1" customHeight="1">
      <c r="A92" s="2221" t="s">
        <v>4222</v>
      </c>
      <c r="B92" s="2213" t="s">
        <v>1868</v>
      </c>
      <c r="C92" s="2212" t="s">
        <v>1889</v>
      </c>
      <c r="D92" s="2212" t="s">
        <v>1875</v>
      </c>
      <c r="E92" s="2212"/>
      <c r="F92" s="2228">
        <v>908</v>
      </c>
      <c r="G92" s="2255">
        <v>48906</v>
      </c>
      <c r="H92" s="2224">
        <v>0</v>
      </c>
      <c r="I92" s="2224">
        <f>G92/118*9</f>
        <v>3730.1186440677966</v>
      </c>
      <c r="J92" s="2224">
        <f>G92/118*9</f>
        <v>3730.1186440677966</v>
      </c>
      <c r="L92" s="2224"/>
      <c r="M92" s="2224">
        <f>G92-H92-I92-J92</f>
        <v>41445.762711864401</v>
      </c>
      <c r="N92" s="2226">
        <f>G92-M92</f>
        <v>7460.2372881355986</v>
      </c>
      <c r="O92" s="2208" t="s">
        <v>93</v>
      </c>
      <c r="U92" s="2282">
        <f>VLOOKUP(M92,'FA Register Final'!$F$3:$F$150,1,0)</f>
        <v>41445.762711864401</v>
      </c>
    </row>
    <row r="93" spans="1:21" s="2242" customFormat="1" ht="17.55" hidden="1" customHeight="1">
      <c r="A93" s="2234">
        <v>44883</v>
      </c>
      <c r="B93" s="2235" t="s">
        <v>1868</v>
      </c>
      <c r="C93" s="2236" t="s">
        <v>1889</v>
      </c>
      <c r="D93" s="2236" t="s">
        <v>1875</v>
      </c>
      <c r="E93" s="2236"/>
      <c r="F93" s="2237">
        <v>909</v>
      </c>
      <c r="G93" s="2256">
        <v>1770</v>
      </c>
      <c r="H93" s="2240"/>
      <c r="I93" s="2240">
        <f>G93/118*9</f>
        <v>135</v>
      </c>
      <c r="J93" s="2240">
        <f>G93/118*9</f>
        <v>135</v>
      </c>
      <c r="L93" s="2240"/>
      <c r="M93" s="2240">
        <f>G93-H93-I93-J93</f>
        <v>1500</v>
      </c>
      <c r="N93" s="2241" t="s">
        <v>4224</v>
      </c>
      <c r="O93" s="2242" t="s">
        <v>93</v>
      </c>
      <c r="U93" s="2282" t="e">
        <f>VLOOKUP(M93,'FA Register Final'!$F$3:$F$150,1,0)</f>
        <v>#N/A</v>
      </c>
    </row>
    <row r="94" spans="1:21" s="2242" customFormat="1" ht="17.55" customHeight="1">
      <c r="A94" s="2234">
        <v>44692</v>
      </c>
      <c r="B94" s="2235" t="s">
        <v>1868</v>
      </c>
      <c r="C94" s="2236" t="s">
        <v>2621</v>
      </c>
      <c r="D94" s="2236" t="s">
        <v>4225</v>
      </c>
      <c r="E94" s="2236"/>
      <c r="F94" s="2237">
        <v>967</v>
      </c>
      <c r="G94" s="2223">
        <v>6800</v>
      </c>
      <c r="H94" s="2238"/>
      <c r="I94" s="2238"/>
      <c r="J94" s="2238"/>
      <c r="K94" s="2239"/>
      <c r="L94" s="2239"/>
      <c r="M94" s="2240">
        <f t="shared" ref="M94:M108" si="7">G94-H94-I94-J94</f>
        <v>6800</v>
      </c>
      <c r="N94" s="2241" t="s">
        <v>4226</v>
      </c>
      <c r="O94" s="2242" t="s">
        <v>1267</v>
      </c>
      <c r="U94" s="2282">
        <f>VLOOKUP(M94,'FA Register Final'!$F$3:$F$150,1,0)</f>
        <v>6800</v>
      </c>
    </row>
    <row r="95" spans="1:21" ht="17.55" customHeight="1">
      <c r="A95" s="2221" t="s">
        <v>4222</v>
      </c>
      <c r="B95" s="2213" t="s">
        <v>1868</v>
      </c>
      <c r="C95" s="2212" t="s">
        <v>1383</v>
      </c>
      <c r="D95" s="2212" t="s">
        <v>1875</v>
      </c>
      <c r="E95" s="2212"/>
      <c r="F95" s="2228">
        <v>995</v>
      </c>
      <c r="G95" s="2254">
        <v>118450</v>
      </c>
      <c r="H95" s="2229">
        <v>0</v>
      </c>
      <c r="I95" s="2229">
        <v>0</v>
      </c>
      <c r="J95" s="2229">
        <v>0</v>
      </c>
      <c r="K95" s="2217"/>
      <c r="L95" s="2217"/>
      <c r="M95" s="2224">
        <f t="shared" si="7"/>
        <v>118450</v>
      </c>
      <c r="N95" s="2226">
        <f>G95-M95</f>
        <v>0</v>
      </c>
      <c r="O95" s="2208" t="s">
        <v>1267</v>
      </c>
      <c r="U95" s="2282">
        <f>VLOOKUP(M95,'FA Register Final'!$F$3:$F$150,1,0)</f>
        <v>118450</v>
      </c>
    </row>
    <row r="96" spans="1:21" ht="17.55" customHeight="1">
      <c r="A96" s="2221" t="s">
        <v>4222</v>
      </c>
      <c r="B96" s="2213" t="s">
        <v>1868</v>
      </c>
      <c r="C96" s="2212" t="s">
        <v>1383</v>
      </c>
      <c r="D96" s="2212" t="s">
        <v>1875</v>
      </c>
      <c r="E96" s="2212"/>
      <c r="F96" s="2228">
        <v>996</v>
      </c>
      <c r="G96" s="2254">
        <v>118450</v>
      </c>
      <c r="H96" s="2229">
        <v>0</v>
      </c>
      <c r="I96" s="2229">
        <v>0</v>
      </c>
      <c r="J96" s="2229">
        <v>0</v>
      </c>
      <c r="K96" s="2217"/>
      <c r="L96" s="2217"/>
      <c r="M96" s="2224">
        <f t="shared" si="7"/>
        <v>118450</v>
      </c>
      <c r="N96" s="2226">
        <f t="shared" ref="N96:N115" si="8">G96-M96</f>
        <v>0</v>
      </c>
      <c r="O96" s="2208" t="s">
        <v>1267</v>
      </c>
      <c r="U96" s="2282">
        <f>VLOOKUP(M96,'FA Register Final'!$F$3:$F$150,1,0)</f>
        <v>118450</v>
      </c>
    </row>
    <row r="97" spans="1:21" ht="17.55" customHeight="1">
      <c r="A97" s="2221" t="s">
        <v>4222</v>
      </c>
      <c r="B97" s="2213" t="s">
        <v>1868</v>
      </c>
      <c r="C97" s="2212" t="s">
        <v>1947</v>
      </c>
      <c r="D97" s="2212" t="s">
        <v>1875</v>
      </c>
      <c r="E97" s="2212"/>
      <c r="F97" s="2228">
        <v>1022</v>
      </c>
      <c r="G97" s="2254">
        <v>2389500</v>
      </c>
      <c r="H97" s="2229">
        <v>0</v>
      </c>
      <c r="I97" s="2229">
        <f>G97/118*9</f>
        <v>182250</v>
      </c>
      <c r="J97" s="2229">
        <f>G97/118*9</f>
        <v>182250</v>
      </c>
      <c r="K97" s="2217"/>
      <c r="L97" s="2217"/>
      <c r="M97" s="2224">
        <f t="shared" si="7"/>
        <v>2025000</v>
      </c>
      <c r="N97" s="2226">
        <f t="shared" si="8"/>
        <v>364500</v>
      </c>
      <c r="O97" s="2208" t="s">
        <v>1267</v>
      </c>
      <c r="U97" s="2282">
        <f>VLOOKUP(M97,'FA Register Final'!$F$3:$F$150,1,0)</f>
        <v>2025000</v>
      </c>
    </row>
    <row r="98" spans="1:21" ht="17.55" customHeight="1">
      <c r="A98" s="2221" t="s">
        <v>4222</v>
      </c>
      <c r="B98" s="2213" t="s">
        <v>1868</v>
      </c>
      <c r="C98" s="2212" t="s">
        <v>1390</v>
      </c>
      <c r="D98" s="2212" t="s">
        <v>1875</v>
      </c>
      <c r="E98" s="2212"/>
      <c r="F98" s="2228">
        <v>1109</v>
      </c>
      <c r="G98" s="2254">
        <v>97898</v>
      </c>
      <c r="H98" s="2229">
        <v>0</v>
      </c>
      <c r="I98" s="2229">
        <f>G98/118*9</f>
        <v>7466.7966101694919</v>
      </c>
      <c r="J98" s="2229">
        <f>G98/118*9</f>
        <v>7466.7966101694919</v>
      </c>
      <c r="K98" s="2217"/>
      <c r="L98" s="2217"/>
      <c r="M98" s="2224">
        <f t="shared" si="7"/>
        <v>82964.406779661018</v>
      </c>
      <c r="N98" s="2226">
        <f t="shared" si="8"/>
        <v>14933.593220338982</v>
      </c>
      <c r="O98" s="2208" t="s">
        <v>1267</v>
      </c>
      <c r="U98" s="2282">
        <f>VLOOKUP(M98,'FA Register Final'!$F$3:$F$150,1,0)</f>
        <v>82964.406779661018</v>
      </c>
    </row>
    <row r="99" spans="1:21" ht="17.55" customHeight="1">
      <c r="A99" s="2221" t="s">
        <v>4222</v>
      </c>
      <c r="B99" s="2213" t="s">
        <v>1868</v>
      </c>
      <c r="C99" s="2212" t="s">
        <v>1670</v>
      </c>
      <c r="D99" s="2212" t="s">
        <v>1875</v>
      </c>
      <c r="E99" s="2212"/>
      <c r="F99" s="2228">
        <v>1138</v>
      </c>
      <c r="G99" s="2254">
        <v>44654</v>
      </c>
      <c r="H99" s="2229">
        <v>0</v>
      </c>
      <c r="I99" s="2229">
        <v>0</v>
      </c>
      <c r="J99" s="2229">
        <v>0</v>
      </c>
      <c r="K99" s="2217"/>
      <c r="L99" s="2217"/>
      <c r="M99" s="2224">
        <f t="shared" si="7"/>
        <v>44654</v>
      </c>
      <c r="N99" s="2226">
        <f t="shared" si="8"/>
        <v>0</v>
      </c>
      <c r="O99" s="2208" t="s">
        <v>1267</v>
      </c>
      <c r="U99" s="2282">
        <f>VLOOKUP(M99,'FA Register Final'!$F$3:$F$150,1,0)</f>
        <v>44654</v>
      </c>
    </row>
    <row r="100" spans="1:21" ht="17.55" customHeight="1">
      <c r="A100" s="2221" t="s">
        <v>4222</v>
      </c>
      <c r="B100" s="2213" t="s">
        <v>1868</v>
      </c>
      <c r="C100" s="2212" t="s">
        <v>1390</v>
      </c>
      <c r="D100" s="2212" t="s">
        <v>1875</v>
      </c>
      <c r="E100" s="2212"/>
      <c r="F100" s="2228">
        <v>1139</v>
      </c>
      <c r="G100" s="2254">
        <v>83224</v>
      </c>
      <c r="H100" s="2229">
        <v>0</v>
      </c>
      <c r="I100" s="2229">
        <f>G100/118*9</f>
        <v>6347.593220338983</v>
      </c>
      <c r="J100" s="2229">
        <f>G100/118*9</f>
        <v>6347.593220338983</v>
      </c>
      <c r="K100" s="2217"/>
      <c r="L100" s="2217"/>
      <c r="M100" s="2224">
        <f t="shared" si="7"/>
        <v>70528.813559322036</v>
      </c>
      <c r="N100" s="2226">
        <f t="shared" si="8"/>
        <v>12695.186440677964</v>
      </c>
      <c r="O100" s="2208" t="s">
        <v>1267</v>
      </c>
      <c r="U100" s="2282">
        <f>VLOOKUP(M100,'FA Register Final'!$F$3:$F$150,1,0)</f>
        <v>70528.813559322036</v>
      </c>
    </row>
    <row r="101" spans="1:21" ht="17.55" customHeight="1">
      <c r="A101" s="2221" t="s">
        <v>4222</v>
      </c>
      <c r="B101" s="2213" t="s">
        <v>1868</v>
      </c>
      <c r="C101" s="2212" t="s">
        <v>1390</v>
      </c>
      <c r="D101" s="2212" t="s">
        <v>1875</v>
      </c>
      <c r="E101" s="2212"/>
      <c r="F101" s="2228">
        <v>1140</v>
      </c>
      <c r="G101" s="2254">
        <v>344233</v>
      </c>
      <c r="H101" s="2229">
        <v>0</v>
      </c>
      <c r="I101" s="2229">
        <f>G101/118*9</f>
        <v>26255.0593220339</v>
      </c>
      <c r="J101" s="2229">
        <f>G101/118*9</f>
        <v>26255.0593220339</v>
      </c>
      <c r="K101" s="2217"/>
      <c r="L101" s="2217"/>
      <c r="M101" s="2224">
        <f t="shared" si="7"/>
        <v>291722.88135593222</v>
      </c>
      <c r="N101" s="2226">
        <f t="shared" si="8"/>
        <v>52510.118644067785</v>
      </c>
      <c r="O101" s="2208" t="s">
        <v>1267</v>
      </c>
      <c r="U101" s="2282">
        <f>VLOOKUP(M101,'FA Register Final'!$F$3:$F$150,1,0)</f>
        <v>291722.88135593222</v>
      </c>
    </row>
    <row r="102" spans="1:21" ht="17.55" customHeight="1">
      <c r="A102" s="2221" t="s">
        <v>4222</v>
      </c>
      <c r="B102" s="2213" t="s">
        <v>1868</v>
      </c>
      <c r="C102" s="2212" t="s">
        <v>3963</v>
      </c>
      <c r="D102" s="2212" t="s">
        <v>1875</v>
      </c>
      <c r="E102" s="2212"/>
      <c r="F102" s="2228">
        <v>1159</v>
      </c>
      <c r="G102" s="2254">
        <v>73750</v>
      </c>
      <c r="H102" s="2229">
        <v>0</v>
      </c>
      <c r="I102" s="2229">
        <f>G102/118*9</f>
        <v>5625</v>
      </c>
      <c r="J102" s="2229">
        <f>G102/118*9</f>
        <v>5625</v>
      </c>
      <c r="K102" s="2217"/>
      <c r="L102" s="2217"/>
      <c r="M102" s="2224">
        <f t="shared" si="7"/>
        <v>62500</v>
      </c>
      <c r="N102" s="2226">
        <f t="shared" si="8"/>
        <v>11250</v>
      </c>
      <c r="O102" s="2208" t="s">
        <v>1267</v>
      </c>
      <c r="U102" s="2282">
        <f>VLOOKUP(M102,'FA Register Final'!$F$3:$F$150,1,0)</f>
        <v>62500</v>
      </c>
    </row>
    <row r="103" spans="1:21" ht="17.55" customHeight="1">
      <c r="A103" s="2221" t="s">
        <v>4222</v>
      </c>
      <c r="B103" s="2213" t="s">
        <v>1868</v>
      </c>
      <c r="C103" s="2212" t="s">
        <v>3924</v>
      </c>
      <c r="D103" s="2212" t="s">
        <v>1875</v>
      </c>
      <c r="E103" s="2212"/>
      <c r="F103" s="2228">
        <v>1175</v>
      </c>
      <c r="G103" s="2254">
        <v>11210</v>
      </c>
      <c r="H103" s="2229">
        <v>0</v>
      </c>
      <c r="I103" s="2229">
        <f>G103/118*9</f>
        <v>855</v>
      </c>
      <c r="J103" s="2229">
        <f>G103/118*9</f>
        <v>855</v>
      </c>
      <c r="K103" s="2217"/>
      <c r="L103" s="2217"/>
      <c r="M103" s="2224">
        <f t="shared" si="7"/>
        <v>9500</v>
      </c>
      <c r="N103" s="2226">
        <f t="shared" si="8"/>
        <v>1710</v>
      </c>
      <c r="O103" s="2208" t="s">
        <v>1267</v>
      </c>
      <c r="U103" s="2282">
        <f>VLOOKUP(M103,'FA Register Final'!$F$3:$F$150,1,0)</f>
        <v>9500</v>
      </c>
    </row>
    <row r="104" spans="1:21" ht="17.55" customHeight="1">
      <c r="A104" s="2221" t="s">
        <v>4222</v>
      </c>
      <c r="B104" s="2213" t="s">
        <v>1868</v>
      </c>
      <c r="C104" s="2212" t="s">
        <v>3966</v>
      </c>
      <c r="D104" s="2212" t="s">
        <v>1875</v>
      </c>
      <c r="E104" s="2212"/>
      <c r="F104" s="2228">
        <v>1178</v>
      </c>
      <c r="G104" s="2254">
        <v>31624</v>
      </c>
      <c r="H104" s="2229">
        <f>G104/118*18</f>
        <v>4824</v>
      </c>
      <c r="I104" s="2229">
        <v>0</v>
      </c>
      <c r="J104" s="2229">
        <v>0</v>
      </c>
      <c r="K104" s="2217"/>
      <c r="L104" s="2217"/>
      <c r="M104" s="2224">
        <f t="shared" si="7"/>
        <v>26800</v>
      </c>
      <c r="N104" s="2226">
        <f t="shared" si="8"/>
        <v>4824</v>
      </c>
      <c r="O104" s="2208" t="s">
        <v>1267</v>
      </c>
      <c r="U104" s="2282">
        <f>VLOOKUP(M104,'FA Register Final'!$F$3:$F$150,1,0)</f>
        <v>26800</v>
      </c>
    </row>
    <row r="105" spans="1:21" ht="17.55" customHeight="1">
      <c r="A105" s="2221" t="s">
        <v>4222</v>
      </c>
      <c r="B105" s="2213" t="s">
        <v>1868</v>
      </c>
      <c r="C105" s="2212" t="s">
        <v>1402</v>
      </c>
      <c r="D105" s="2212" t="s">
        <v>1875</v>
      </c>
      <c r="E105" s="2212"/>
      <c r="F105" s="2228">
        <v>1232</v>
      </c>
      <c r="G105" s="2254">
        <v>240508</v>
      </c>
      <c r="H105" s="2229">
        <v>0</v>
      </c>
      <c r="I105" s="2229">
        <f>G105/118*9</f>
        <v>18343.830508474577</v>
      </c>
      <c r="J105" s="2229">
        <f>G105/118*9</f>
        <v>18343.830508474577</v>
      </c>
      <c r="K105" s="2217"/>
      <c r="L105" s="2217"/>
      <c r="M105" s="2224">
        <f t="shared" si="7"/>
        <v>203820.33898305084</v>
      </c>
      <c r="N105" s="2226">
        <f t="shared" si="8"/>
        <v>36687.661016949161</v>
      </c>
      <c r="O105" s="2208" t="s">
        <v>1267</v>
      </c>
      <c r="U105" s="2282">
        <f>VLOOKUP(M105,'FA Register Final'!$F$3:$F$150,1,0)</f>
        <v>203820.33898305084</v>
      </c>
    </row>
    <row r="106" spans="1:21" ht="17.55" customHeight="1">
      <c r="A106" s="2221" t="s">
        <v>4222</v>
      </c>
      <c r="B106" s="2213" t="s">
        <v>1868</v>
      </c>
      <c r="C106" s="2212" t="s">
        <v>1402</v>
      </c>
      <c r="D106" s="2212" t="s">
        <v>1875</v>
      </c>
      <c r="E106" s="2212"/>
      <c r="F106" s="2228">
        <v>1233</v>
      </c>
      <c r="G106" s="2254">
        <v>363617</v>
      </c>
      <c r="H106" s="2229">
        <v>0</v>
      </c>
      <c r="I106" s="2229">
        <f>G106/118*9</f>
        <v>27733.5</v>
      </c>
      <c r="J106" s="2229">
        <f>G106/118*9</f>
        <v>27733.5</v>
      </c>
      <c r="K106" s="2217"/>
      <c r="L106" s="2217"/>
      <c r="M106" s="2224">
        <f t="shared" si="7"/>
        <v>308150</v>
      </c>
      <c r="N106" s="2226">
        <f t="shared" si="8"/>
        <v>55467</v>
      </c>
      <c r="O106" s="2208" t="s">
        <v>1267</v>
      </c>
      <c r="U106" s="2282">
        <f>VLOOKUP(M106,'FA Register Final'!$F$3:$F$150,1,0)</f>
        <v>308150</v>
      </c>
    </row>
    <row r="107" spans="1:21" ht="17.55" customHeight="1">
      <c r="A107" s="2221" t="s">
        <v>4222</v>
      </c>
      <c r="B107" s="2213" t="s">
        <v>1868</v>
      </c>
      <c r="C107" s="2212" t="s">
        <v>1402</v>
      </c>
      <c r="D107" s="2212" t="s">
        <v>1875</v>
      </c>
      <c r="E107" s="2212"/>
      <c r="F107" s="2228">
        <v>1234</v>
      </c>
      <c r="G107" s="2254">
        <v>119687</v>
      </c>
      <c r="H107" s="2229">
        <v>0</v>
      </c>
      <c r="I107" s="2229">
        <f>G107/118*9</f>
        <v>9128.6694915254229</v>
      </c>
      <c r="J107" s="2229">
        <f>G107/118*9</f>
        <v>9128.6694915254229</v>
      </c>
      <c r="K107" s="2217"/>
      <c r="L107" s="2217"/>
      <c r="M107" s="2224">
        <f t="shared" si="7"/>
        <v>101429.66101694916</v>
      </c>
      <c r="N107" s="2226">
        <f t="shared" si="8"/>
        <v>18257.338983050839</v>
      </c>
      <c r="O107" s="2208" t="s">
        <v>1267</v>
      </c>
      <c r="U107" s="2282">
        <f>VLOOKUP(M107,'FA Register Final'!$F$3:$F$150,1,0)</f>
        <v>101429.66101694916</v>
      </c>
    </row>
    <row r="108" spans="1:21" ht="17.55" customHeight="1">
      <c r="A108" s="2221" t="s">
        <v>4222</v>
      </c>
      <c r="B108" s="2213" t="s">
        <v>1868</v>
      </c>
      <c r="C108" s="2212" t="s">
        <v>3873</v>
      </c>
      <c r="D108" s="2212" t="s">
        <v>1875</v>
      </c>
      <c r="E108" s="2212"/>
      <c r="F108" s="2228">
        <v>1239</v>
      </c>
      <c r="G108" s="2254">
        <v>613600</v>
      </c>
      <c r="H108" s="2229">
        <f>G108/118*18</f>
        <v>93600</v>
      </c>
      <c r="I108" s="2229">
        <v>0</v>
      </c>
      <c r="J108" s="2229">
        <v>0</v>
      </c>
      <c r="K108" s="2217"/>
      <c r="L108" s="2217"/>
      <c r="M108" s="2224">
        <f t="shared" si="7"/>
        <v>520000</v>
      </c>
      <c r="N108" s="2226">
        <f t="shared" si="8"/>
        <v>93600</v>
      </c>
      <c r="O108" s="2208" t="s">
        <v>1267</v>
      </c>
      <c r="U108" s="2282">
        <f>VLOOKUP(M108,'FA Register Final'!$F$3:$F$150,1,0)</f>
        <v>520000</v>
      </c>
    </row>
    <row r="109" spans="1:21" ht="17.55" hidden="1" customHeight="1">
      <c r="A109" s="2221" t="s">
        <v>4222</v>
      </c>
      <c r="B109" s="2213" t="s">
        <v>1868</v>
      </c>
      <c r="C109" s="2212" t="s">
        <v>1889</v>
      </c>
      <c r="D109" s="2212" t="s">
        <v>1875</v>
      </c>
      <c r="E109" s="2212"/>
      <c r="F109" s="2228">
        <v>1253</v>
      </c>
      <c r="G109" s="2255">
        <v>67500</v>
      </c>
      <c r="H109" s="2224">
        <v>0</v>
      </c>
      <c r="I109" s="2224">
        <f>G109/118*9</f>
        <v>5148.3050847457635</v>
      </c>
      <c r="J109" s="2224">
        <f>G109/118*9</f>
        <v>5148.3050847457635</v>
      </c>
      <c r="L109" s="2224"/>
      <c r="M109" s="2224">
        <f>G109-H109-I109-J109</f>
        <v>57203.389830508473</v>
      </c>
      <c r="N109" s="2226">
        <f t="shared" si="8"/>
        <v>10296.610169491527</v>
      </c>
      <c r="O109" s="2208" t="s">
        <v>93</v>
      </c>
      <c r="U109" s="2282">
        <f>VLOOKUP(M109,'FA Register Final'!$F$3:$F$150,1,0)</f>
        <v>57203.389830508473</v>
      </c>
    </row>
    <row r="110" spans="1:21" ht="17.55" customHeight="1">
      <c r="A110" s="2221" t="s">
        <v>4222</v>
      </c>
      <c r="B110" s="2213" t="s">
        <v>1868</v>
      </c>
      <c r="C110" s="2212" t="s">
        <v>2292</v>
      </c>
      <c r="D110" s="2212" t="s">
        <v>1875</v>
      </c>
      <c r="E110" s="2212"/>
      <c r="F110" s="2228">
        <v>1324</v>
      </c>
      <c r="G110" s="2254">
        <v>25180</v>
      </c>
      <c r="H110" s="2229">
        <v>0</v>
      </c>
      <c r="I110" s="2229">
        <v>0</v>
      </c>
      <c r="J110" s="2229">
        <v>0</v>
      </c>
      <c r="K110" s="2217"/>
      <c r="L110" s="2217"/>
      <c r="M110" s="2224">
        <f t="shared" ref="M110:M127" si="9">G110-H110-I110-J110</f>
        <v>25180</v>
      </c>
      <c r="N110" s="2226">
        <f t="shared" si="8"/>
        <v>0</v>
      </c>
      <c r="O110" s="2208" t="s">
        <v>1267</v>
      </c>
      <c r="U110" s="2282">
        <f>VLOOKUP(M110,'FA Register Final'!$F$3:$F$150,1,0)</f>
        <v>25180</v>
      </c>
    </row>
    <row r="111" spans="1:21" ht="17.55" customHeight="1">
      <c r="A111" s="2221" t="s">
        <v>4222</v>
      </c>
      <c r="B111" s="2213" t="s">
        <v>1868</v>
      </c>
      <c r="C111" s="2212" t="s">
        <v>2292</v>
      </c>
      <c r="D111" s="2212" t="s">
        <v>1875</v>
      </c>
      <c r="E111" s="2212"/>
      <c r="F111" s="2228">
        <v>1325</v>
      </c>
      <c r="G111" s="2254">
        <v>7720</v>
      </c>
      <c r="H111" s="2229">
        <v>0</v>
      </c>
      <c r="I111" s="2229">
        <v>0</v>
      </c>
      <c r="J111" s="2229">
        <v>0</v>
      </c>
      <c r="K111" s="2217"/>
      <c r="L111" s="2217"/>
      <c r="M111" s="2224">
        <f t="shared" si="9"/>
        <v>7720</v>
      </c>
      <c r="N111" s="2226">
        <f t="shared" si="8"/>
        <v>0</v>
      </c>
      <c r="O111" s="2208" t="s">
        <v>1267</v>
      </c>
      <c r="U111" s="2282">
        <f>VLOOKUP(M111,'FA Register Final'!$F$3:$F$150,1,0)</f>
        <v>7720</v>
      </c>
    </row>
    <row r="112" spans="1:21" ht="17.55" customHeight="1">
      <c r="A112" s="2221" t="s">
        <v>4222</v>
      </c>
      <c r="B112" s="2213" t="s">
        <v>1868</v>
      </c>
      <c r="C112" s="2212" t="s">
        <v>1402</v>
      </c>
      <c r="D112" s="2212" t="s">
        <v>1875</v>
      </c>
      <c r="E112" s="2212"/>
      <c r="F112" s="2228">
        <v>1448</v>
      </c>
      <c r="G112" s="2254">
        <v>130762</v>
      </c>
      <c r="H112" s="2229">
        <v>0</v>
      </c>
      <c r="I112" s="2229">
        <f>G112/118*9</f>
        <v>9973.3728813559319</v>
      </c>
      <c r="J112" s="2229">
        <f>G112/118*9</f>
        <v>9973.3728813559319</v>
      </c>
      <c r="K112" s="2217"/>
      <c r="L112" s="2217"/>
      <c r="M112" s="2224">
        <f t="shared" si="9"/>
        <v>110815.25423728814</v>
      </c>
      <c r="N112" s="2226">
        <f t="shared" si="8"/>
        <v>19946.745762711857</v>
      </c>
      <c r="O112" s="2208" t="s">
        <v>1267</v>
      </c>
      <c r="U112" s="2282">
        <f>VLOOKUP(M112,'FA Register Final'!$F$3:$F$150,1,0)</f>
        <v>110815.25423728814</v>
      </c>
    </row>
    <row r="113" spans="1:21" ht="17.55" customHeight="1">
      <c r="A113" s="2221" t="s">
        <v>4222</v>
      </c>
      <c r="B113" s="2213" t="s">
        <v>1868</v>
      </c>
      <c r="C113" s="2212" t="s">
        <v>2292</v>
      </c>
      <c r="D113" s="2212" t="s">
        <v>1875</v>
      </c>
      <c r="E113" s="2212"/>
      <c r="F113" s="2228">
        <v>1450</v>
      </c>
      <c r="G113" s="2254">
        <v>10972</v>
      </c>
      <c r="H113" s="2229">
        <v>0</v>
      </c>
      <c r="I113" s="2229">
        <v>0</v>
      </c>
      <c r="J113" s="2229">
        <v>0</v>
      </c>
      <c r="K113" s="2217"/>
      <c r="L113" s="2217"/>
      <c r="M113" s="2224">
        <f t="shared" si="9"/>
        <v>10972</v>
      </c>
      <c r="N113" s="2226">
        <f t="shared" si="8"/>
        <v>0</v>
      </c>
      <c r="O113" s="2208" t="s">
        <v>1267</v>
      </c>
      <c r="U113" s="2282">
        <f>VLOOKUP(M113,'FA Register Final'!$F$3:$F$150,1,0)</f>
        <v>10972</v>
      </c>
    </row>
    <row r="114" spans="1:21" ht="17.55" customHeight="1">
      <c r="A114" s="2221" t="s">
        <v>4222</v>
      </c>
      <c r="B114" s="2213" t="s">
        <v>1868</v>
      </c>
      <c r="C114" s="2212" t="s">
        <v>1390</v>
      </c>
      <c r="D114" s="2212" t="s">
        <v>1875</v>
      </c>
      <c r="E114" s="2212"/>
      <c r="F114" s="2228">
        <v>1451</v>
      </c>
      <c r="G114" s="2254">
        <v>339014</v>
      </c>
      <c r="H114" s="2229">
        <v>0</v>
      </c>
      <c r="I114" s="2229">
        <f>G114/118*9</f>
        <v>25857</v>
      </c>
      <c r="J114" s="2229">
        <f>G114/118*9</f>
        <v>25857</v>
      </c>
      <c r="K114" s="2217"/>
      <c r="L114" s="2217"/>
      <c r="M114" s="2224">
        <f t="shared" si="9"/>
        <v>287300</v>
      </c>
      <c r="N114" s="2226">
        <f t="shared" si="8"/>
        <v>51714</v>
      </c>
      <c r="O114" s="2208" t="s">
        <v>1267</v>
      </c>
      <c r="U114" s="2282">
        <f>VLOOKUP(M114,'FA Register Final'!$F$3:$F$150,1,0)</f>
        <v>287300</v>
      </c>
    </row>
    <row r="115" spans="1:21" ht="17.55" customHeight="1">
      <c r="A115" s="2221" t="s">
        <v>4222</v>
      </c>
      <c r="B115" s="2213" t="s">
        <v>1868</v>
      </c>
      <c r="C115" s="2212" t="s">
        <v>3892</v>
      </c>
      <c r="D115" s="2212" t="s">
        <v>1875</v>
      </c>
      <c r="E115" s="2212"/>
      <c r="F115" s="2228">
        <v>1514</v>
      </c>
      <c r="G115" s="2254">
        <v>2242000</v>
      </c>
      <c r="H115" s="2229">
        <f>G115/118*18</f>
        <v>342000</v>
      </c>
      <c r="I115" s="2229">
        <v>0</v>
      </c>
      <c r="J115" s="2229">
        <v>0</v>
      </c>
      <c r="K115" s="2217"/>
      <c r="L115" s="2217"/>
      <c r="M115" s="2224">
        <f t="shared" si="9"/>
        <v>1900000</v>
      </c>
      <c r="N115" s="2226">
        <f t="shared" si="8"/>
        <v>342000</v>
      </c>
      <c r="O115" s="2208" t="s">
        <v>1267</v>
      </c>
      <c r="U115" s="2282">
        <f>VLOOKUP(M115,'FA Register Final'!$F$3:$F$150,1,0)</f>
        <v>1900000</v>
      </c>
    </row>
    <row r="116" spans="1:21" ht="17.55" customHeight="1">
      <c r="A116" s="2221" t="s">
        <v>4222</v>
      </c>
      <c r="B116" s="2213" t="s">
        <v>1868</v>
      </c>
      <c r="C116" s="2212" t="s">
        <v>2262</v>
      </c>
      <c r="D116" s="2212" t="s">
        <v>1875</v>
      </c>
      <c r="E116" s="2212"/>
      <c r="F116" s="2228">
        <v>1515</v>
      </c>
      <c r="G116" s="2254">
        <v>944000</v>
      </c>
      <c r="H116" s="2229">
        <f>G116/118*18</f>
        <v>144000</v>
      </c>
      <c r="I116" s="2229">
        <v>0</v>
      </c>
      <c r="J116" s="2229">
        <v>0</v>
      </c>
      <c r="K116" s="2217"/>
      <c r="L116" s="2217"/>
      <c r="M116" s="2231">
        <f t="shared" si="9"/>
        <v>800000</v>
      </c>
      <c r="N116" s="2225"/>
      <c r="O116" s="2208" t="s">
        <v>1267</v>
      </c>
      <c r="U116" s="2282">
        <f>VLOOKUP(M116,'FA Register Final'!$F$3:$F$150,1,0)</f>
        <v>800000</v>
      </c>
    </row>
    <row r="117" spans="1:21" ht="17.55" customHeight="1">
      <c r="A117" s="2221" t="s">
        <v>4222</v>
      </c>
      <c r="B117" s="2213" t="s">
        <v>1868</v>
      </c>
      <c r="C117" s="2212" t="s">
        <v>3873</v>
      </c>
      <c r="D117" s="2212" t="s">
        <v>1875</v>
      </c>
      <c r="E117" s="2212"/>
      <c r="F117" s="2228">
        <v>1614</v>
      </c>
      <c r="G117" s="2254">
        <v>613600</v>
      </c>
      <c r="H117" s="2229">
        <f>G117/118*18</f>
        <v>93600</v>
      </c>
      <c r="I117" s="2229">
        <v>0</v>
      </c>
      <c r="J117" s="2229">
        <v>0</v>
      </c>
      <c r="K117" s="2217"/>
      <c r="L117" s="2217"/>
      <c r="M117" s="2224">
        <f t="shared" si="9"/>
        <v>520000</v>
      </c>
      <c r="N117" s="2257">
        <f>G117-M117</f>
        <v>93600</v>
      </c>
      <c r="O117" s="2208" t="s">
        <v>1267</v>
      </c>
      <c r="U117" s="2282">
        <f>VLOOKUP(M117,'FA Register Final'!$F$3:$F$150,1,0)</f>
        <v>520000</v>
      </c>
    </row>
    <row r="118" spans="1:21" ht="17.55" customHeight="1">
      <c r="A118" s="2221" t="s">
        <v>4222</v>
      </c>
      <c r="B118" s="2213" t="s">
        <v>1868</v>
      </c>
      <c r="C118" s="2212" t="s">
        <v>3924</v>
      </c>
      <c r="D118" s="2212" t="s">
        <v>1875</v>
      </c>
      <c r="E118" s="2212"/>
      <c r="F118" s="2228">
        <v>1624</v>
      </c>
      <c r="G118" s="2254">
        <v>81715</v>
      </c>
      <c r="H118" s="2229">
        <v>0</v>
      </c>
      <c r="I118" s="2229">
        <f>G118/118*9</f>
        <v>6232.5</v>
      </c>
      <c r="J118" s="2229">
        <f>G118/118*9</f>
        <v>6232.5</v>
      </c>
      <c r="K118" s="2217"/>
      <c r="L118" s="2217"/>
      <c r="M118" s="2224">
        <f t="shared" si="9"/>
        <v>69250</v>
      </c>
      <c r="N118" s="2257">
        <f t="shared" ref="N118:N125" si="10">G118-M118</f>
        <v>12465</v>
      </c>
      <c r="O118" s="2208" t="s">
        <v>1267</v>
      </c>
      <c r="U118" s="2282">
        <f>VLOOKUP(M118,'FA Register Final'!$F$3:$F$150,1,0)</f>
        <v>69250</v>
      </c>
    </row>
    <row r="119" spans="1:21" ht="17.55" customHeight="1">
      <c r="A119" s="2221" t="s">
        <v>4222</v>
      </c>
      <c r="B119" s="2213" t="s">
        <v>1868</v>
      </c>
      <c r="C119" s="2212" t="s">
        <v>1970</v>
      </c>
      <c r="D119" s="2212" t="s">
        <v>1875</v>
      </c>
      <c r="E119" s="2212"/>
      <c r="F119" s="2228">
        <v>1629</v>
      </c>
      <c r="G119" s="2254">
        <v>142780</v>
      </c>
      <c r="H119" s="2229">
        <v>0</v>
      </c>
      <c r="I119" s="2229">
        <f>G119/118*9</f>
        <v>10890</v>
      </c>
      <c r="J119" s="2229">
        <f>G119/118*9</f>
        <v>10890</v>
      </c>
      <c r="K119" s="2217"/>
      <c r="L119" s="2217"/>
      <c r="M119" s="2224">
        <f t="shared" si="9"/>
        <v>121000</v>
      </c>
      <c r="N119" s="2257">
        <f t="shared" si="10"/>
        <v>21780</v>
      </c>
      <c r="O119" s="2208" t="s">
        <v>1267</v>
      </c>
      <c r="U119" s="2282">
        <f>VLOOKUP(M119,'FA Register Final'!$F$3:$F$150,1,0)</f>
        <v>121000</v>
      </c>
    </row>
    <row r="120" spans="1:21" ht="17.55" customHeight="1">
      <c r="A120" s="2221" t="s">
        <v>4222</v>
      </c>
      <c r="B120" s="2213" t="s">
        <v>1868</v>
      </c>
      <c r="C120" s="2212" t="s">
        <v>3924</v>
      </c>
      <c r="D120" s="2212" t="s">
        <v>1875</v>
      </c>
      <c r="E120" s="2212"/>
      <c r="F120" s="2228">
        <v>1698</v>
      </c>
      <c r="G120" s="2254">
        <v>118000</v>
      </c>
      <c r="H120" s="2229">
        <v>0</v>
      </c>
      <c r="I120" s="2229">
        <f>G120/118*9</f>
        <v>9000</v>
      </c>
      <c r="J120" s="2229">
        <f>G120/118*9</f>
        <v>9000</v>
      </c>
      <c r="K120" s="2217"/>
      <c r="L120" s="2217"/>
      <c r="M120" s="2224">
        <f t="shared" si="9"/>
        <v>100000</v>
      </c>
      <c r="N120" s="2257">
        <f t="shared" si="10"/>
        <v>18000</v>
      </c>
      <c r="O120" s="2208" t="s">
        <v>1267</v>
      </c>
      <c r="U120" s="2282">
        <f>VLOOKUP(M120,'FA Register Final'!$F$3:$F$150,1,0)</f>
        <v>100000</v>
      </c>
    </row>
    <row r="121" spans="1:21" ht="17.55" customHeight="1">
      <c r="A121" s="2221" t="s">
        <v>4222</v>
      </c>
      <c r="B121" s="2213" t="s">
        <v>1868</v>
      </c>
      <c r="C121" s="2212" t="s">
        <v>3892</v>
      </c>
      <c r="D121" s="2212" t="s">
        <v>1875</v>
      </c>
      <c r="E121" s="2212"/>
      <c r="F121" s="2228">
        <v>1709</v>
      </c>
      <c r="G121" s="2254">
        <v>330400</v>
      </c>
      <c r="H121" s="2229">
        <f>G121/118*18</f>
        <v>50400</v>
      </c>
      <c r="I121" s="2229">
        <v>0</v>
      </c>
      <c r="J121" s="2229">
        <v>0</v>
      </c>
      <c r="K121" s="2217"/>
      <c r="L121" s="2217"/>
      <c r="M121" s="2224">
        <f t="shared" si="9"/>
        <v>280000</v>
      </c>
      <c r="N121" s="2257">
        <f t="shared" si="10"/>
        <v>50400</v>
      </c>
      <c r="O121" s="2208" t="s">
        <v>1267</v>
      </c>
      <c r="U121" s="2282">
        <f>VLOOKUP(M121,'FA Register Final'!$F$3:$F$150,1,0)</f>
        <v>280000</v>
      </c>
    </row>
    <row r="122" spans="1:21" ht="17.55" hidden="1" customHeight="1">
      <c r="A122" s="2221" t="s">
        <v>4222</v>
      </c>
      <c r="B122" s="2213" t="s">
        <v>1868</v>
      </c>
      <c r="C122" s="2212" t="s">
        <v>3958</v>
      </c>
      <c r="D122" s="2212" t="s">
        <v>1875</v>
      </c>
      <c r="E122" s="2212"/>
      <c r="F122" s="2228">
        <v>1717</v>
      </c>
      <c r="G122" s="2258">
        <v>210000</v>
      </c>
      <c r="H122" s="2224">
        <v>0</v>
      </c>
      <c r="I122" s="2224">
        <v>0</v>
      </c>
      <c r="J122" s="2224">
        <v>0</v>
      </c>
      <c r="K122" s="2225"/>
      <c r="L122" s="2224"/>
      <c r="M122" s="2224">
        <f t="shared" si="9"/>
        <v>210000</v>
      </c>
      <c r="N122" s="2257">
        <f t="shared" si="10"/>
        <v>0</v>
      </c>
      <c r="O122" s="2208" t="s">
        <v>1266</v>
      </c>
      <c r="U122" s="2282">
        <f>VLOOKUP(M122,'FA Register Final'!$F$3:$F$150,1,0)</f>
        <v>210000</v>
      </c>
    </row>
    <row r="123" spans="1:21" ht="17.55" hidden="1" customHeight="1">
      <c r="A123" s="2221" t="s">
        <v>4222</v>
      </c>
      <c r="B123" s="2213" t="s">
        <v>1868</v>
      </c>
      <c r="C123" s="2212" t="s">
        <v>3958</v>
      </c>
      <c r="D123" s="2212" t="s">
        <v>1875</v>
      </c>
      <c r="E123" s="2212"/>
      <c r="F123" s="2228">
        <v>1718</v>
      </c>
      <c r="G123" s="2258">
        <v>210000</v>
      </c>
      <c r="H123" s="2224">
        <v>0</v>
      </c>
      <c r="I123" s="2224">
        <v>0</v>
      </c>
      <c r="J123" s="2224">
        <v>0</v>
      </c>
      <c r="K123" s="2225"/>
      <c r="L123" s="2224"/>
      <c r="M123" s="2224">
        <f t="shared" si="9"/>
        <v>210000</v>
      </c>
      <c r="N123" s="2257">
        <f t="shared" si="10"/>
        <v>0</v>
      </c>
      <c r="O123" s="2208" t="s">
        <v>1266</v>
      </c>
      <c r="U123" s="2282">
        <f>VLOOKUP(M123,'FA Register Final'!$F$3:$F$150,1,0)</f>
        <v>210000</v>
      </c>
    </row>
    <row r="124" spans="1:21" ht="17.55" hidden="1" customHeight="1">
      <c r="A124" s="2230" t="s">
        <v>4222</v>
      </c>
      <c r="B124" s="2213" t="s">
        <v>1868</v>
      </c>
      <c r="C124" s="2212" t="s">
        <v>3958</v>
      </c>
      <c r="D124" s="2212" t="s">
        <v>1875</v>
      </c>
      <c r="E124" s="2212"/>
      <c r="F124" s="2222">
        <v>1719</v>
      </c>
      <c r="G124" s="2258">
        <v>315000</v>
      </c>
      <c r="H124" s="2224">
        <v>0</v>
      </c>
      <c r="I124" s="2224">
        <v>0</v>
      </c>
      <c r="J124" s="2224">
        <v>0</v>
      </c>
      <c r="K124" s="2225"/>
      <c r="L124" s="2224"/>
      <c r="M124" s="2224">
        <f t="shared" si="9"/>
        <v>315000</v>
      </c>
      <c r="N124" s="2257">
        <f t="shared" si="10"/>
        <v>0</v>
      </c>
      <c r="O124" s="2208" t="s">
        <v>1266</v>
      </c>
      <c r="U124" s="2282" t="e">
        <f>VLOOKUP(M124,'FA Register Final'!$F$3:$F$150,1,0)</f>
        <v>#N/A</v>
      </c>
    </row>
    <row r="125" spans="1:21" ht="17.55" hidden="1" customHeight="1">
      <c r="A125" s="2221" t="s">
        <v>4222</v>
      </c>
      <c r="B125" s="2213" t="s">
        <v>1868</v>
      </c>
      <c r="C125" s="2212" t="s">
        <v>3958</v>
      </c>
      <c r="D125" s="2212" t="s">
        <v>1875</v>
      </c>
      <c r="E125" s="2212"/>
      <c r="F125" s="2222">
        <v>1720</v>
      </c>
      <c r="G125" s="2258">
        <v>315000</v>
      </c>
      <c r="H125" s="2224">
        <v>0</v>
      </c>
      <c r="I125" s="2224">
        <v>0</v>
      </c>
      <c r="J125" s="2224">
        <v>0</v>
      </c>
      <c r="K125" s="2225"/>
      <c r="L125" s="2224"/>
      <c r="M125" s="2224">
        <f t="shared" si="9"/>
        <v>315000</v>
      </c>
      <c r="N125" s="2257">
        <f t="shared" si="10"/>
        <v>0</v>
      </c>
      <c r="O125" s="2208" t="s">
        <v>1266</v>
      </c>
      <c r="U125" s="2282" t="e">
        <f>VLOOKUP(M125,'FA Register Final'!$F$3:$F$150,1,0)</f>
        <v>#N/A</v>
      </c>
    </row>
    <row r="126" spans="1:21" s="2242" customFormat="1" ht="17.399999999999999">
      <c r="A126" s="2234">
        <v>44769</v>
      </c>
      <c r="B126" s="2235" t="s">
        <v>1868</v>
      </c>
      <c r="C126" s="2236" t="s">
        <v>2621</v>
      </c>
      <c r="D126" s="2236" t="s">
        <v>4225</v>
      </c>
      <c r="E126" s="2236"/>
      <c r="F126" s="2237">
        <v>2664</v>
      </c>
      <c r="G126" s="2248">
        <v>20500</v>
      </c>
      <c r="H126" s="2238"/>
      <c r="I126" s="2238"/>
      <c r="J126" s="2238"/>
      <c r="K126" s="2239"/>
      <c r="L126" s="2239"/>
      <c r="M126" s="2240">
        <f t="shared" si="9"/>
        <v>20500</v>
      </c>
      <c r="N126" s="2241" t="s">
        <v>4227</v>
      </c>
      <c r="O126" s="2242" t="s">
        <v>1267</v>
      </c>
      <c r="U126" s="2282">
        <f>VLOOKUP(M126,'FA Register Final'!$F$3:$F$150,1,0)</f>
        <v>20500</v>
      </c>
    </row>
    <row r="127" spans="1:21" s="2242" customFormat="1" ht="17.399999999999999" hidden="1">
      <c r="A127" s="2259">
        <v>44900</v>
      </c>
      <c r="B127" s="2235" t="s">
        <v>1868</v>
      </c>
      <c r="C127" s="2236" t="s">
        <v>2621</v>
      </c>
      <c r="D127" s="2236" t="s">
        <v>4225</v>
      </c>
      <c r="E127" s="2236"/>
      <c r="F127" s="2237">
        <v>5652</v>
      </c>
      <c r="G127" s="2260">
        <v>155000</v>
      </c>
      <c r="H127" s="2240"/>
      <c r="I127" s="2240"/>
      <c r="J127" s="2240"/>
      <c r="L127" s="2240"/>
      <c r="M127" s="2240">
        <f t="shared" si="9"/>
        <v>155000</v>
      </c>
      <c r="N127" s="2241" t="s">
        <v>4227</v>
      </c>
      <c r="O127" s="2242" t="s">
        <v>1266</v>
      </c>
      <c r="U127" s="2282">
        <f>VLOOKUP(M127,'FA Register Final'!$F$3:$F$150,1,0)</f>
        <v>155000</v>
      </c>
    </row>
    <row r="128" spans="1:21" s="2242" customFormat="1" ht="17.399999999999999" hidden="1">
      <c r="A128" s="2259">
        <v>44883</v>
      </c>
      <c r="B128" s="2235" t="s">
        <v>4228</v>
      </c>
      <c r="C128" s="2236" t="s">
        <v>2252</v>
      </c>
      <c r="D128" s="2236" t="s">
        <v>4229</v>
      </c>
      <c r="E128" s="2236"/>
      <c r="F128" s="2261">
        <v>6625</v>
      </c>
      <c r="G128" s="2262">
        <v>260000</v>
      </c>
      <c r="H128" s="2262"/>
      <c r="I128" s="2240"/>
      <c r="J128" s="2240"/>
      <c r="K128" s="2240"/>
      <c r="L128" s="2240"/>
      <c r="M128" s="2240">
        <f>G128-I128-J128-K128</f>
        <v>260000</v>
      </c>
      <c r="N128" s="2241" t="s">
        <v>4230</v>
      </c>
      <c r="O128" s="2242" t="s">
        <v>1266</v>
      </c>
      <c r="U128" s="2282" t="e">
        <f>VLOOKUP(M128,'FA Register Final'!$F$3:$F$150,1,0)</f>
        <v>#N/A</v>
      </c>
    </row>
    <row r="129" spans="1:21" s="2242" customFormat="1" ht="17.399999999999999" hidden="1">
      <c r="A129" s="2234">
        <v>44883</v>
      </c>
      <c r="B129" s="2235" t="s">
        <v>1868</v>
      </c>
      <c r="C129" s="2236" t="s">
        <v>2252</v>
      </c>
      <c r="D129" s="2236" t="s">
        <v>4229</v>
      </c>
      <c r="E129" s="2236"/>
      <c r="F129" s="2237">
        <v>6626</v>
      </c>
      <c r="G129" s="2260">
        <f>458139+15030+7810+800</f>
        <v>481779</v>
      </c>
      <c r="H129" s="2240">
        <f>1405+144</f>
        <v>1549</v>
      </c>
      <c r="I129" s="2240">
        <f>64140+1353</f>
        <v>65493</v>
      </c>
      <c r="J129" s="2240">
        <f>64140+1353</f>
        <v>65493</v>
      </c>
      <c r="K129" s="2240">
        <v>4581</v>
      </c>
      <c r="M129" s="2240">
        <f>G129-H129-I129-J129</f>
        <v>349244</v>
      </c>
      <c r="N129" s="2241" t="s">
        <v>4231</v>
      </c>
      <c r="O129" s="2242" t="s">
        <v>1266</v>
      </c>
      <c r="U129" s="2282" t="e">
        <f>VLOOKUP(M129,'FA Register Final'!$F$3:$F$150,1,0)</f>
        <v>#N/A</v>
      </c>
    </row>
    <row r="130" spans="1:21" s="2269" customFormat="1" ht="17.399999999999999" hidden="1">
      <c r="A130" s="2263">
        <v>44673</v>
      </c>
      <c r="B130" s="2264"/>
      <c r="C130" s="2265" t="s">
        <v>3877</v>
      </c>
      <c r="D130" s="2265"/>
      <c r="E130" s="2265"/>
      <c r="F130" s="2266">
        <v>64</v>
      </c>
      <c r="G130" s="2267">
        <v>19116</v>
      </c>
      <c r="H130" s="2268"/>
      <c r="I130" s="2268">
        <f>G130/118*9</f>
        <v>1458</v>
      </c>
      <c r="J130" s="2268">
        <f>G130/118*9</f>
        <v>1458</v>
      </c>
      <c r="K130" s="2268"/>
      <c r="M130" s="2270"/>
      <c r="N130" s="2271" t="s">
        <v>4232</v>
      </c>
      <c r="O130" s="2269" t="s">
        <v>93</v>
      </c>
      <c r="U130" s="2282" t="e">
        <f>VLOOKUP(M130,'FA Register Final'!$F$3:$F$150,1,0)</f>
        <v>#N/A</v>
      </c>
    </row>
    <row r="131" spans="1:21" ht="17.55" hidden="1" customHeight="1">
      <c r="A131" s="2272" t="s">
        <v>4233</v>
      </c>
      <c r="B131" s="2272"/>
      <c r="C131" s="2272"/>
      <c r="D131" s="2272"/>
      <c r="E131" s="2272"/>
      <c r="F131" s="2272"/>
      <c r="G131" s="2272"/>
      <c r="H131" s="2272"/>
      <c r="I131" s="2272"/>
      <c r="J131" s="2272"/>
      <c r="K131" s="2272"/>
      <c r="L131" s="2272"/>
      <c r="M131" s="2272"/>
      <c r="N131" s="2273">
        <f>SUM(N11:N129)</f>
        <v>4322218.1355932206</v>
      </c>
    </row>
    <row r="132" spans="1:21" ht="17.55" customHeight="1">
      <c r="A132" s="2274"/>
      <c r="B132" s="2274"/>
      <c r="C132" s="2274"/>
      <c r="D132" s="2274"/>
      <c r="E132" s="2274"/>
      <c r="F132" s="2274"/>
      <c r="G132" s="2274"/>
      <c r="H132" s="2274"/>
      <c r="I132" s="2274"/>
      <c r="J132" s="2274"/>
      <c r="K132" s="2274"/>
      <c r="L132" s="2274"/>
      <c r="M132" s="2274"/>
      <c r="N132" s="2275">
        <f>H129+I129+J129+K129</f>
        <v>137116</v>
      </c>
      <c r="O132" s="2276">
        <f>SUM(N131:N132)</f>
        <v>4459334.1355932206</v>
      </c>
    </row>
    <row r="133" spans="1:21" ht="17.399999999999999">
      <c r="A133" s="2277"/>
      <c r="B133" s="2277"/>
      <c r="C133" s="2277"/>
      <c r="D133" s="2277"/>
      <c r="E133" s="2277"/>
      <c r="F133" s="2277"/>
      <c r="G133" s="2277"/>
      <c r="H133" s="2278"/>
      <c r="I133" s="2207"/>
      <c r="J133" s="2207"/>
      <c r="K133" s="2207"/>
      <c r="L133" s="2207"/>
      <c r="M133" s="2207" t="s">
        <v>4234</v>
      </c>
    </row>
    <row r="135" spans="1:21">
      <c r="M135" s="2276"/>
    </row>
    <row r="136" spans="1:21">
      <c r="M136" s="2294">
        <v>26162783</v>
      </c>
    </row>
    <row r="137" spans="1:21">
      <c r="N137" s="2208">
        <v>28307</v>
      </c>
    </row>
    <row r="138" spans="1:21">
      <c r="N138" s="2208">
        <v>4269575</v>
      </c>
    </row>
  </sheetData>
  <autoFilter ref="A10:U131" xr:uid="{00000000-0009-0000-0000-000019000000}">
    <filterColumn colId="14">
      <filters>
        <filter val="PLANT &amp; MACHINERY"/>
      </filters>
    </filterColumn>
  </autoFilter>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P90"/>
  <sheetViews>
    <sheetView workbookViewId="0">
      <selection activeCell="F52" sqref="F52:F57"/>
    </sheetView>
  </sheetViews>
  <sheetFormatPr defaultRowHeight="14.4"/>
  <cols>
    <col min="1" max="1" width="10.5546875" bestFit="1" customWidth="1"/>
    <col min="2" max="2" width="19.5546875" bestFit="1" customWidth="1"/>
    <col min="3" max="3" width="15.44140625" bestFit="1" customWidth="1"/>
    <col min="4" max="4" width="12.5546875" bestFit="1" customWidth="1"/>
    <col min="5" max="5" width="11.5546875" bestFit="1" customWidth="1"/>
    <col min="6" max="6" width="15.44140625" bestFit="1" customWidth="1"/>
    <col min="7" max="8" width="14.44140625" bestFit="1" customWidth="1"/>
    <col min="9" max="9" width="15.44140625" bestFit="1" customWidth="1"/>
    <col min="10" max="11" width="15.5546875" bestFit="1" customWidth="1"/>
    <col min="12" max="12" width="14.44140625" bestFit="1" customWidth="1"/>
    <col min="13" max="13" width="14.5546875" bestFit="1" customWidth="1"/>
    <col min="14" max="14" width="19.5546875" bestFit="1" customWidth="1"/>
    <col min="15" max="15" width="25.44140625" bestFit="1" customWidth="1"/>
    <col min="16" max="16" width="22.5546875" bestFit="1" customWidth="1"/>
  </cols>
  <sheetData>
    <row r="2" spans="1:16" ht="15" thickBot="1">
      <c r="A2" s="254" t="s">
        <v>3552</v>
      </c>
      <c r="B2" s="254" t="s">
        <v>3553</v>
      </c>
      <c r="M2" t="s">
        <v>3554</v>
      </c>
      <c r="N2" t="s">
        <v>3555</v>
      </c>
      <c r="O2" t="s">
        <v>3556</v>
      </c>
      <c r="P2" t="s">
        <v>3557</v>
      </c>
    </row>
    <row r="3" spans="1:16">
      <c r="B3" s="1869"/>
      <c r="C3" s="3196" t="s">
        <v>1123</v>
      </c>
      <c r="D3" s="3197"/>
      <c r="E3" s="3197"/>
      <c r="F3" s="3198"/>
      <c r="G3" s="3196" t="s">
        <v>30</v>
      </c>
      <c r="H3" s="3197"/>
      <c r="I3" s="3198"/>
      <c r="J3" s="3196" t="s">
        <v>3558</v>
      </c>
      <c r="K3" s="3198"/>
      <c r="M3" t="s">
        <v>3559</v>
      </c>
      <c r="N3" s="371">
        <v>3467811.9679089044</v>
      </c>
      <c r="O3" s="371">
        <v>9394749.8969468046</v>
      </c>
      <c r="P3" s="371">
        <v>5926937.9290379006</v>
      </c>
    </row>
    <row r="4" spans="1:16">
      <c r="B4" s="1870" t="s">
        <v>1</v>
      </c>
      <c r="C4" s="1871" t="s">
        <v>1331</v>
      </c>
      <c r="D4" s="254" t="s">
        <v>3560</v>
      </c>
      <c r="E4" s="254" t="s">
        <v>1126</v>
      </c>
      <c r="F4" s="1622" t="s">
        <v>1333</v>
      </c>
      <c r="G4" s="1871" t="s">
        <v>3561</v>
      </c>
      <c r="H4" s="254" t="s">
        <v>3562</v>
      </c>
      <c r="I4" s="1622" t="s">
        <v>3563</v>
      </c>
      <c r="J4" s="1871" t="s">
        <v>3564</v>
      </c>
      <c r="K4" s="1622" t="s">
        <v>3565</v>
      </c>
      <c r="M4" t="s">
        <v>3566</v>
      </c>
      <c r="N4" s="371">
        <v>3900665.1686071744</v>
      </c>
      <c r="O4" s="371">
        <v>9342521.6388893165</v>
      </c>
      <c r="P4" s="371">
        <v>5441856.4702821421</v>
      </c>
    </row>
    <row r="5" spans="1:16">
      <c r="B5" s="1872"/>
      <c r="C5" s="1732"/>
      <c r="F5" s="1873"/>
      <c r="G5" s="1732"/>
      <c r="I5" s="1873"/>
      <c r="J5" s="1732"/>
      <c r="K5" s="1873"/>
      <c r="M5" t="s">
        <v>3567</v>
      </c>
      <c r="N5" s="371">
        <v>4608965.7521815198</v>
      </c>
      <c r="O5" s="371">
        <v>9761460.7641878538</v>
      </c>
    </row>
    <row r="6" spans="1:16">
      <c r="B6" s="1872" t="s">
        <v>1361</v>
      </c>
      <c r="C6" s="1874">
        <v>868251</v>
      </c>
      <c r="D6" s="1875">
        <v>0</v>
      </c>
      <c r="E6" s="1875">
        <v>0</v>
      </c>
      <c r="F6" s="1876">
        <v>868251</v>
      </c>
      <c r="G6" s="1874">
        <v>0</v>
      </c>
      <c r="H6" s="1875">
        <v>0</v>
      </c>
      <c r="I6" s="1876">
        <v>0</v>
      </c>
      <c r="J6" s="1874">
        <v>868251</v>
      </c>
      <c r="K6" s="1876">
        <v>868251</v>
      </c>
      <c r="P6" s="371">
        <f>SUM(P3:P5)</f>
        <v>11368794.399320044</v>
      </c>
    </row>
    <row r="7" spans="1:16">
      <c r="B7" s="1872" t="s">
        <v>1130</v>
      </c>
      <c r="C7" s="1874">
        <v>114197280</v>
      </c>
      <c r="D7" s="1875">
        <v>7764316</v>
      </c>
      <c r="E7" s="1875">
        <v>0</v>
      </c>
      <c r="F7" s="1876">
        <v>121961596</v>
      </c>
      <c r="G7" s="1874">
        <v>74314728</v>
      </c>
      <c r="H7" s="1875">
        <v>2689108.9708301448</v>
      </c>
      <c r="I7" s="1876">
        <v>77003836.970830142</v>
      </c>
      <c r="J7" s="1874">
        <v>44957759.029169858</v>
      </c>
      <c r="K7" s="1876">
        <v>39882552</v>
      </c>
    </row>
    <row r="8" spans="1:16">
      <c r="B8" s="1872" t="s">
        <v>1131</v>
      </c>
      <c r="C8" s="1874">
        <v>3375466</v>
      </c>
      <c r="D8" s="1875">
        <v>217883</v>
      </c>
      <c r="E8" s="1875">
        <v>0</v>
      </c>
      <c r="F8" s="1876">
        <v>3593349</v>
      </c>
      <c r="G8" s="1874">
        <v>2732869</v>
      </c>
      <c r="H8" s="1875">
        <v>233440.38161023887</v>
      </c>
      <c r="I8" s="1876">
        <v>2966309.3816102389</v>
      </c>
      <c r="J8" s="1874">
        <v>627039.61838976108</v>
      </c>
      <c r="K8" s="1876">
        <v>642597</v>
      </c>
      <c r="O8" t="s">
        <v>3573</v>
      </c>
    </row>
    <row r="9" spans="1:16">
      <c r="B9" s="1872" t="s">
        <v>1132</v>
      </c>
      <c r="C9" s="1874">
        <v>681807</v>
      </c>
      <c r="D9" s="1875">
        <v>0</v>
      </c>
      <c r="E9" s="1875">
        <v>0</v>
      </c>
      <c r="F9" s="1876">
        <v>681807</v>
      </c>
      <c r="G9" s="1874">
        <v>647717</v>
      </c>
      <c r="H9" s="1875">
        <v>0</v>
      </c>
      <c r="I9" s="1876">
        <v>647717</v>
      </c>
      <c r="J9" s="1874">
        <v>34090</v>
      </c>
      <c r="K9" s="1876">
        <v>34090</v>
      </c>
      <c r="O9" t="s">
        <v>3574</v>
      </c>
      <c r="P9">
        <v>45976627</v>
      </c>
    </row>
    <row r="10" spans="1:16" ht="15" thickBot="1">
      <c r="B10" s="1877" t="s">
        <v>1133</v>
      </c>
      <c r="C10" s="1878">
        <v>12467748</v>
      </c>
      <c r="D10" s="1879">
        <v>77282</v>
      </c>
      <c r="E10" s="1879">
        <v>0</v>
      </c>
      <c r="F10" s="1880">
        <v>12545030</v>
      </c>
      <c r="G10" s="1878">
        <v>7918611</v>
      </c>
      <c r="H10" s="1879">
        <v>545262.61546852067</v>
      </c>
      <c r="I10" s="1880">
        <v>8463873.6154685207</v>
      </c>
      <c r="J10" s="1878">
        <v>4081156.3845314793</v>
      </c>
      <c r="K10" s="1880">
        <v>4549137</v>
      </c>
      <c r="O10" t="s">
        <v>3575</v>
      </c>
      <c r="P10">
        <v>49702514</v>
      </c>
    </row>
    <row r="11" spans="1:16">
      <c r="H11" s="382">
        <v>3467811.9679089044</v>
      </c>
      <c r="J11" s="371">
        <f>SUM(J6:J10)</f>
        <v>50568296.032091096</v>
      </c>
      <c r="M11" s="1760">
        <v>49510034</v>
      </c>
    </row>
    <row r="12" spans="1:16">
      <c r="N12" s="371">
        <f>J11-M11</f>
        <v>1058262.032091096</v>
      </c>
      <c r="P12">
        <f>P9-P10</f>
        <v>-3725887</v>
      </c>
    </row>
    <row r="13" spans="1:16" ht="15" thickBot="1">
      <c r="B13" s="254" t="s">
        <v>3568</v>
      </c>
      <c r="N13" s="371">
        <f>N12*26%</f>
        <v>275148.12834368501</v>
      </c>
      <c r="P13">
        <f>P12*26%</f>
        <v>-968730.62</v>
      </c>
    </row>
    <row r="14" spans="1:16">
      <c r="B14" s="1869"/>
      <c r="C14" s="3196" t="s">
        <v>1123</v>
      </c>
      <c r="D14" s="3197"/>
      <c r="E14" s="3197"/>
      <c r="F14" s="3198"/>
      <c r="G14" s="3196" t="s">
        <v>30</v>
      </c>
      <c r="H14" s="3197"/>
      <c r="I14" s="3198"/>
      <c r="J14" s="3196" t="s">
        <v>3558</v>
      </c>
      <c r="K14" s="3198"/>
      <c r="O14" s="371"/>
    </row>
    <row r="15" spans="1:16">
      <c r="B15" s="1870" t="s">
        <v>1</v>
      </c>
      <c r="C15" s="1871" t="s">
        <v>1331</v>
      </c>
      <c r="D15" s="254" t="s">
        <v>3560</v>
      </c>
      <c r="E15" s="254" t="s">
        <v>1126</v>
      </c>
      <c r="F15" s="1622" t="s">
        <v>1333</v>
      </c>
      <c r="G15" s="1871" t="s">
        <v>3561</v>
      </c>
      <c r="H15" s="254" t="s">
        <v>3562</v>
      </c>
      <c r="I15" s="1622" t="s">
        <v>3563</v>
      </c>
      <c r="J15" s="1871" t="s">
        <v>3564</v>
      </c>
      <c r="K15" s="1622" t="s">
        <v>3565</v>
      </c>
    </row>
    <row r="16" spans="1:16">
      <c r="B16" s="1872"/>
      <c r="C16" s="1732"/>
      <c r="F16" s="1873"/>
      <c r="G16" s="1732"/>
      <c r="I16" s="1873"/>
      <c r="J16" s="1732"/>
      <c r="K16" s="1873"/>
    </row>
    <row r="17" spans="1:13">
      <c r="B17" s="1872" t="s">
        <v>1361</v>
      </c>
      <c r="C17" s="1874">
        <v>868251</v>
      </c>
      <c r="D17" s="1875">
        <v>0</v>
      </c>
      <c r="E17" s="1875">
        <v>0</v>
      </c>
      <c r="F17" s="1876">
        <v>868251</v>
      </c>
      <c r="G17" s="1874">
        <v>0</v>
      </c>
      <c r="H17" s="1875">
        <v>0</v>
      </c>
      <c r="I17" s="1876">
        <v>0</v>
      </c>
      <c r="J17" s="1874">
        <v>868251</v>
      </c>
      <c r="K17" s="1876">
        <v>868251</v>
      </c>
      <c r="M17" s="371">
        <f>H17-H6</f>
        <v>0</v>
      </c>
    </row>
    <row r="18" spans="1:13">
      <c r="B18" s="1872" t="s">
        <v>1130</v>
      </c>
      <c r="C18" s="1874">
        <v>114197280</v>
      </c>
      <c r="D18" s="1875">
        <v>7764316</v>
      </c>
      <c r="E18" s="1875">
        <v>0</v>
      </c>
      <c r="F18" s="1876">
        <v>121961596</v>
      </c>
      <c r="G18" s="1874">
        <v>74314728</v>
      </c>
      <c r="H18" s="1875">
        <v>7403238.4970776271</v>
      </c>
      <c r="I18" s="1876">
        <v>81717966.497077629</v>
      </c>
      <c r="J18" s="1874">
        <v>40243629.502922371</v>
      </c>
      <c r="K18" s="1876">
        <v>39882552</v>
      </c>
      <c r="M18" s="371">
        <f t="shared" ref="M18:M21" si="0">H18-H7</f>
        <v>4714129.5262474827</v>
      </c>
    </row>
    <row r="19" spans="1:13">
      <c r="B19" s="1872" t="s">
        <v>1131</v>
      </c>
      <c r="C19" s="1874">
        <v>3375466</v>
      </c>
      <c r="D19" s="1875">
        <v>217883</v>
      </c>
      <c r="E19" s="1875">
        <v>0</v>
      </c>
      <c r="F19" s="1876">
        <v>3593349</v>
      </c>
      <c r="G19" s="1874">
        <v>2732869</v>
      </c>
      <c r="H19" s="1875">
        <v>505517.97342465748</v>
      </c>
      <c r="I19" s="1876">
        <v>3238386.9734246572</v>
      </c>
      <c r="J19" s="1874">
        <v>354962.02657534275</v>
      </c>
      <c r="K19" s="1876">
        <v>642597</v>
      </c>
      <c r="M19" s="371">
        <f t="shared" si="0"/>
        <v>272077.59181441861</v>
      </c>
    </row>
    <row r="20" spans="1:13">
      <c r="B20" s="1872" t="s">
        <v>1132</v>
      </c>
      <c r="C20" s="1874">
        <v>681807</v>
      </c>
      <c r="D20" s="1875">
        <v>0</v>
      </c>
      <c r="E20" s="1875">
        <v>0</v>
      </c>
      <c r="F20" s="1876">
        <v>681807</v>
      </c>
      <c r="G20" s="1874">
        <v>647717</v>
      </c>
      <c r="H20" s="1875">
        <v>0</v>
      </c>
      <c r="I20" s="1876">
        <v>647717</v>
      </c>
      <c r="J20" s="1874">
        <v>34090</v>
      </c>
      <c r="K20" s="1876">
        <v>34090</v>
      </c>
      <c r="M20" s="371">
        <f t="shared" si="0"/>
        <v>0</v>
      </c>
    </row>
    <row r="21" spans="1:13" ht="15" thickBot="1">
      <c r="B21" s="1877" t="s">
        <v>1133</v>
      </c>
      <c r="C21" s="1878">
        <v>12467748</v>
      </c>
      <c r="D21" s="1879">
        <v>77282</v>
      </c>
      <c r="E21" s="1879">
        <v>0</v>
      </c>
      <c r="F21" s="1880">
        <v>12545030</v>
      </c>
      <c r="G21" s="1878">
        <v>7918611</v>
      </c>
      <c r="H21" s="1879">
        <v>1485993.4264445207</v>
      </c>
      <c r="I21" s="1880">
        <v>9404604.4264445212</v>
      </c>
      <c r="J21" s="1878">
        <v>3140425.5735554788</v>
      </c>
      <c r="K21" s="1880">
        <v>4549137</v>
      </c>
      <c r="M21" s="371">
        <f t="shared" si="0"/>
        <v>940730.81097600004</v>
      </c>
    </row>
    <row r="22" spans="1:13">
      <c r="H22" s="382">
        <v>9394749.8969468046</v>
      </c>
    </row>
    <row r="25" spans="1:13" ht="15" thickBot="1">
      <c r="A25" s="254" t="s">
        <v>3569</v>
      </c>
      <c r="B25" s="254" t="s">
        <v>3553</v>
      </c>
    </row>
    <row r="26" spans="1:13">
      <c r="B26" s="1869"/>
      <c r="C26" s="3196" t="s">
        <v>1123</v>
      </c>
      <c r="D26" s="3197"/>
      <c r="E26" s="3197"/>
      <c r="F26" s="3198"/>
      <c r="G26" s="3196" t="s">
        <v>30</v>
      </c>
      <c r="H26" s="3197"/>
      <c r="I26" s="3198"/>
      <c r="J26" s="3196" t="s">
        <v>3558</v>
      </c>
      <c r="K26" s="3198"/>
    </row>
    <row r="27" spans="1:13">
      <c r="B27" s="1870" t="s">
        <v>1</v>
      </c>
      <c r="C27" s="1871" t="s">
        <v>1331</v>
      </c>
      <c r="D27" s="254" t="s">
        <v>3560</v>
      </c>
      <c r="E27" s="254" t="s">
        <v>1126</v>
      </c>
      <c r="F27" s="1622" t="s">
        <v>1333</v>
      </c>
      <c r="G27" s="1871" t="s">
        <v>3561</v>
      </c>
      <c r="H27" s="254" t="s">
        <v>3562</v>
      </c>
      <c r="I27" s="1622" t="s">
        <v>3563</v>
      </c>
      <c r="J27" s="1871" t="s">
        <v>3570</v>
      </c>
      <c r="K27" s="1622" t="s">
        <v>3564</v>
      </c>
    </row>
    <row r="28" spans="1:13">
      <c r="B28" s="1872"/>
      <c r="C28" s="1732"/>
      <c r="F28" s="1873"/>
      <c r="G28" s="1732"/>
      <c r="I28" s="1873"/>
      <c r="J28" s="1732"/>
      <c r="K28" s="1873"/>
    </row>
    <row r="29" spans="1:13">
      <c r="B29" s="1872" t="s">
        <v>1361</v>
      </c>
      <c r="C29" s="1874">
        <v>868251</v>
      </c>
      <c r="D29" s="1875">
        <v>0</v>
      </c>
      <c r="E29" s="1875">
        <v>0</v>
      </c>
      <c r="F29" s="1876">
        <v>868251</v>
      </c>
      <c r="G29" s="1874">
        <v>0</v>
      </c>
      <c r="H29" s="1875">
        <v>0</v>
      </c>
      <c r="I29" s="1876">
        <v>0</v>
      </c>
      <c r="J29" s="1874">
        <v>868251</v>
      </c>
      <c r="K29" s="1876">
        <v>868251</v>
      </c>
    </row>
    <row r="30" spans="1:13">
      <c r="B30" s="1872" t="s">
        <v>1130</v>
      </c>
      <c r="C30" s="1874">
        <v>121961596</v>
      </c>
      <c r="D30" s="1875">
        <v>3855777</v>
      </c>
      <c r="E30" s="1875">
        <v>313644</v>
      </c>
      <c r="F30" s="1876">
        <v>125503729</v>
      </c>
      <c r="G30" s="1874">
        <v>77003836.970830142</v>
      </c>
      <c r="H30" s="1875">
        <v>3059210.765681162</v>
      </c>
      <c r="I30" s="1876">
        <v>80063047.736511305</v>
      </c>
      <c r="J30" s="1874">
        <v>45440681.263488695</v>
      </c>
      <c r="K30" s="1876">
        <v>44957759.029169858</v>
      </c>
    </row>
    <row r="31" spans="1:13">
      <c r="B31" s="1872" t="s">
        <v>1131</v>
      </c>
      <c r="C31" s="1874">
        <v>3593349</v>
      </c>
      <c r="D31" s="1875">
        <v>255089</v>
      </c>
      <c r="E31" s="1875">
        <v>0</v>
      </c>
      <c r="F31" s="1876">
        <v>3848438</v>
      </c>
      <c r="G31" s="1874">
        <v>2966309.3816102389</v>
      </c>
      <c r="H31" s="1875">
        <v>291835.64990201226</v>
      </c>
      <c r="I31" s="1876">
        <v>3258145.0315122511</v>
      </c>
      <c r="J31" s="1874">
        <v>590292.96848774888</v>
      </c>
      <c r="K31" s="1876">
        <v>627039.61838976108</v>
      </c>
    </row>
    <row r="32" spans="1:13">
      <c r="B32" s="1872" t="s">
        <v>1132</v>
      </c>
      <c r="C32" s="1874">
        <v>681807</v>
      </c>
      <c r="D32" s="1875">
        <v>0</v>
      </c>
      <c r="E32" s="1875">
        <v>0</v>
      </c>
      <c r="F32" s="1876">
        <v>681807</v>
      </c>
      <c r="G32" s="1874">
        <v>647717</v>
      </c>
      <c r="H32" s="1875">
        <v>0</v>
      </c>
      <c r="I32" s="1876">
        <v>647717</v>
      </c>
      <c r="J32" s="1874">
        <v>34090</v>
      </c>
      <c r="K32" s="1876">
        <v>34090</v>
      </c>
    </row>
    <row r="33" spans="1:15" ht="15" thickBot="1">
      <c r="B33" s="1877" t="s">
        <v>1133</v>
      </c>
      <c r="C33" s="1878">
        <v>12545030</v>
      </c>
      <c r="D33" s="1879">
        <v>0</v>
      </c>
      <c r="E33" s="1879">
        <v>0</v>
      </c>
      <c r="F33" s="1880">
        <v>12545030</v>
      </c>
      <c r="G33" s="1878">
        <v>8463873.6154685207</v>
      </c>
      <c r="H33" s="1879">
        <v>549618.75302400009</v>
      </c>
      <c r="I33" s="1880">
        <v>9013492.3684925213</v>
      </c>
      <c r="J33" s="1878">
        <v>3531537.6315074787</v>
      </c>
      <c r="K33" s="1880">
        <v>4081156.3845314793</v>
      </c>
    </row>
    <row r="34" spans="1:15">
      <c r="H34" s="382">
        <v>3900665.1686071744</v>
      </c>
      <c r="J34" s="371">
        <f>SUM(J29:J33)</f>
        <v>50464852.863483921</v>
      </c>
      <c r="M34" s="1760">
        <v>53048392</v>
      </c>
    </row>
    <row r="35" spans="1:15">
      <c r="N35" s="371">
        <f>M34-J34</f>
        <v>2583539.1365160793</v>
      </c>
    </row>
    <row r="36" spans="1:15" ht="15" thickBot="1">
      <c r="B36" s="254" t="s">
        <v>3568</v>
      </c>
      <c r="N36" s="371">
        <f>N35*25.18%</f>
        <v>650535.15457474883</v>
      </c>
    </row>
    <row r="37" spans="1:15">
      <c r="B37" s="1869"/>
      <c r="C37" s="3196" t="s">
        <v>1123</v>
      </c>
      <c r="D37" s="3197"/>
      <c r="E37" s="3197"/>
      <c r="F37" s="3198"/>
      <c r="G37" s="3196" t="s">
        <v>30</v>
      </c>
      <c r="H37" s="3197"/>
      <c r="I37" s="3198"/>
      <c r="J37" s="3196" t="s">
        <v>3558</v>
      </c>
      <c r="K37" s="3198"/>
    </row>
    <row r="38" spans="1:15">
      <c r="B38" s="1870" t="s">
        <v>1</v>
      </c>
      <c r="C38" s="1871" t="s">
        <v>1331</v>
      </c>
      <c r="D38" s="254" t="s">
        <v>3560</v>
      </c>
      <c r="E38" s="254" t="s">
        <v>1126</v>
      </c>
      <c r="F38" s="1622" t="s">
        <v>1333</v>
      </c>
      <c r="G38" s="1871" t="s">
        <v>3561</v>
      </c>
      <c r="H38" s="254" t="s">
        <v>3562</v>
      </c>
      <c r="I38" s="1622" t="s">
        <v>3563</v>
      </c>
      <c r="J38" s="1871" t="s">
        <v>3570</v>
      </c>
      <c r="K38" s="1622" t="s">
        <v>3564</v>
      </c>
    </row>
    <row r="39" spans="1:15">
      <c r="B39" s="1872"/>
      <c r="C39" s="1732"/>
      <c r="F39" s="1873"/>
      <c r="G39" s="1732"/>
      <c r="I39" s="1873"/>
      <c r="J39" s="1732"/>
      <c r="K39" s="1873"/>
    </row>
    <row r="40" spans="1:15">
      <c r="B40" s="1872" t="s">
        <v>1361</v>
      </c>
      <c r="C40" s="1874">
        <v>868251</v>
      </c>
      <c r="D40" s="1875">
        <v>0</v>
      </c>
      <c r="E40" s="1875">
        <v>0</v>
      </c>
      <c r="F40" s="1876">
        <v>868251</v>
      </c>
      <c r="G40" s="1874">
        <v>0</v>
      </c>
      <c r="H40" s="1875">
        <v>0</v>
      </c>
      <c r="I40" s="1876">
        <v>0</v>
      </c>
      <c r="J40" s="1874">
        <v>868251</v>
      </c>
      <c r="K40" s="1876">
        <v>868251</v>
      </c>
      <c r="M40" s="371">
        <f>H40-H29</f>
        <v>0</v>
      </c>
      <c r="N40">
        <v>0</v>
      </c>
      <c r="O40" s="371">
        <f>M40+N40</f>
        <v>0</v>
      </c>
    </row>
    <row r="41" spans="1:15">
      <c r="B41" s="1872" t="s">
        <v>1130</v>
      </c>
      <c r="C41" s="1874">
        <v>121961596</v>
      </c>
      <c r="D41" s="1875">
        <v>3855777</v>
      </c>
      <c r="E41" s="1875">
        <v>313644</v>
      </c>
      <c r="F41" s="1876">
        <v>125503729</v>
      </c>
      <c r="G41" s="1874">
        <v>81717966.497077644</v>
      </c>
      <c r="H41" s="1875">
        <v>7762619.7325966228</v>
      </c>
      <c r="I41" s="1876">
        <v>89480586.229674265</v>
      </c>
      <c r="J41" s="1874">
        <v>36023142.770325735</v>
      </c>
      <c r="K41" s="1876">
        <v>40243629.502922371</v>
      </c>
      <c r="M41" s="371">
        <f t="shared" ref="M41:M44" si="1">H41-H30</f>
        <v>4703408.9669154603</v>
      </c>
      <c r="N41">
        <v>4714129.5262474827</v>
      </c>
      <c r="O41" s="371">
        <f t="shared" ref="O41:O44" si="2">M41+N41</f>
        <v>9417538.4931629431</v>
      </c>
    </row>
    <row r="42" spans="1:15">
      <c r="B42" s="1872" t="s">
        <v>1131</v>
      </c>
      <c r="C42" s="1874">
        <v>3593349</v>
      </c>
      <c r="D42" s="1875">
        <v>255089</v>
      </c>
      <c r="E42" s="1875">
        <v>0</v>
      </c>
      <c r="F42" s="1876">
        <v>3848438</v>
      </c>
      <c r="G42" s="1874">
        <v>3238386.9734246577</v>
      </c>
      <c r="H42" s="1875">
        <v>89556.206392693872</v>
      </c>
      <c r="I42" s="1876">
        <v>3327943.1798173515</v>
      </c>
      <c r="J42" s="1874">
        <v>520494.82018264849</v>
      </c>
      <c r="K42" s="1876">
        <v>354962.02657534275</v>
      </c>
      <c r="M42" s="371">
        <f t="shared" si="1"/>
        <v>-202279.4435093184</v>
      </c>
      <c r="N42">
        <v>272077.59181441861</v>
      </c>
      <c r="O42" s="371">
        <f t="shared" si="2"/>
        <v>69798.148305100214</v>
      </c>
    </row>
    <row r="43" spans="1:15">
      <c r="B43" s="1872" t="s">
        <v>1132</v>
      </c>
      <c r="C43" s="1874">
        <v>681807</v>
      </c>
      <c r="D43" s="1875">
        <v>0</v>
      </c>
      <c r="E43" s="1875">
        <v>0</v>
      </c>
      <c r="F43" s="1876">
        <v>681807</v>
      </c>
      <c r="G43" s="1874">
        <v>647717</v>
      </c>
      <c r="H43" s="1875">
        <v>0</v>
      </c>
      <c r="I43" s="1876">
        <v>647717</v>
      </c>
      <c r="J43" s="1874">
        <v>34090</v>
      </c>
      <c r="K43" s="1876">
        <v>34090</v>
      </c>
      <c r="M43" s="371">
        <f t="shared" si="1"/>
        <v>0</v>
      </c>
      <c r="N43">
        <v>0</v>
      </c>
      <c r="O43" s="371">
        <f t="shared" si="2"/>
        <v>0</v>
      </c>
    </row>
    <row r="44" spans="1:15" ht="15" thickBot="1">
      <c r="B44" s="1877" t="s">
        <v>1133</v>
      </c>
      <c r="C44" s="1878">
        <v>12545030</v>
      </c>
      <c r="D44" s="1879">
        <v>0</v>
      </c>
      <c r="E44" s="1879">
        <v>0</v>
      </c>
      <c r="F44" s="1880">
        <v>12545030</v>
      </c>
      <c r="G44" s="1878">
        <v>9404604.4264445212</v>
      </c>
      <c r="H44" s="1879">
        <v>1490345.6999000001</v>
      </c>
      <c r="I44" s="1880">
        <v>10894950.126344521</v>
      </c>
      <c r="J44" s="1878">
        <v>1650079.8736554794</v>
      </c>
      <c r="K44" s="1880">
        <v>3140425.5735554788</v>
      </c>
      <c r="M44" s="371">
        <f t="shared" si="1"/>
        <v>940726.94687600003</v>
      </c>
      <c r="N44">
        <v>940730.81097600004</v>
      </c>
      <c r="O44" s="371">
        <f t="shared" si="2"/>
        <v>1881457.7578520002</v>
      </c>
    </row>
    <row r="45" spans="1:15">
      <c r="H45" s="382">
        <v>9342521.6388893165</v>
      </c>
      <c r="O45" s="371">
        <f>SUM(O40:O44)</f>
        <v>11368794.399320044</v>
      </c>
    </row>
    <row r="46" spans="1:15">
      <c r="J46" s="371"/>
    </row>
    <row r="48" spans="1:15" ht="15" thickBot="1">
      <c r="A48" s="254" t="s">
        <v>3571</v>
      </c>
      <c r="B48" s="254" t="s">
        <v>3553</v>
      </c>
    </row>
    <row r="49" spans="2:14">
      <c r="B49" s="1869"/>
      <c r="C49" s="3196" t="s">
        <v>1123</v>
      </c>
      <c r="D49" s="3197"/>
      <c r="E49" s="3197"/>
      <c r="F49" s="3198"/>
      <c r="G49" s="3196" t="s">
        <v>30</v>
      </c>
      <c r="H49" s="3197"/>
      <c r="I49" s="3198"/>
      <c r="J49" s="3196" t="s">
        <v>3558</v>
      </c>
      <c r="K49" s="3198"/>
    </row>
    <row r="50" spans="2:14">
      <c r="B50" s="1870" t="s">
        <v>1</v>
      </c>
      <c r="C50" s="1871" t="s">
        <v>1331</v>
      </c>
      <c r="D50" s="254" t="s">
        <v>3560</v>
      </c>
      <c r="E50" s="254" t="s">
        <v>1126</v>
      </c>
      <c r="F50" s="1622" t="s">
        <v>1333</v>
      </c>
      <c r="G50" s="1871" t="s">
        <v>3561</v>
      </c>
      <c r="H50" s="254" t="s">
        <v>3562</v>
      </c>
      <c r="I50" s="1622" t="s">
        <v>3563</v>
      </c>
      <c r="J50" s="1871" t="s">
        <v>3572</v>
      </c>
      <c r="K50" s="1622" t="s">
        <v>3570</v>
      </c>
    </row>
    <row r="51" spans="2:14">
      <c r="B51" s="1872"/>
      <c r="C51" s="1732"/>
      <c r="F51" s="1873"/>
      <c r="G51" s="1732"/>
      <c r="I51" s="1873"/>
      <c r="J51" s="1732"/>
      <c r="K51" s="1873"/>
    </row>
    <row r="52" spans="2:14">
      <c r="B52" s="1872" t="s">
        <v>1361</v>
      </c>
      <c r="C52" s="1874">
        <v>868251</v>
      </c>
      <c r="D52" s="1875">
        <v>0</v>
      </c>
      <c r="E52" s="1875">
        <v>0</v>
      </c>
      <c r="F52" s="1876">
        <v>868251</v>
      </c>
      <c r="G52" s="1874">
        <v>0</v>
      </c>
      <c r="H52" s="1875">
        <v>0</v>
      </c>
      <c r="I52" s="1876">
        <v>0</v>
      </c>
      <c r="J52" s="1876">
        <v>868251</v>
      </c>
      <c r="K52" s="1876">
        <v>868251</v>
      </c>
      <c r="M52" s="371">
        <f>G52+O40</f>
        <v>0</v>
      </c>
    </row>
    <row r="53" spans="2:14">
      <c r="B53" s="1872" t="s">
        <v>1130</v>
      </c>
      <c r="C53" s="1874">
        <v>125503729</v>
      </c>
      <c r="D53" s="1875">
        <v>8489324</v>
      </c>
      <c r="E53" s="1875">
        <v>0</v>
      </c>
      <c r="F53" s="1876">
        <v>133993053</v>
      </c>
      <c r="G53" s="1874">
        <v>80063047.736511305</v>
      </c>
      <c r="H53" s="1875">
        <v>3375677.2159541226</v>
      </c>
      <c r="I53" s="1876">
        <v>83438724.95246543</v>
      </c>
      <c r="J53" s="1874">
        <v>50554328.04753457</v>
      </c>
      <c r="K53" s="1876">
        <v>45440681.263488695</v>
      </c>
      <c r="M53" s="371">
        <f t="shared" ref="M53:M56" si="3">G53+O41</f>
        <v>89480586.22967425</v>
      </c>
    </row>
    <row r="54" spans="2:14">
      <c r="B54" s="1872" t="s">
        <v>1131</v>
      </c>
      <c r="C54" s="1874">
        <v>3848438</v>
      </c>
      <c r="D54" s="1875">
        <v>470546</v>
      </c>
      <c r="E54" s="1875">
        <v>0</v>
      </c>
      <c r="F54" s="1876">
        <v>4318984</v>
      </c>
      <c r="G54" s="1874">
        <v>3258145.0315122511</v>
      </c>
      <c r="H54" s="1875">
        <v>384873.98732602736</v>
      </c>
      <c r="I54" s="1876">
        <v>3643019.0188382785</v>
      </c>
      <c r="J54" s="1874">
        <v>675964.98116172152</v>
      </c>
      <c r="K54" s="1876">
        <v>590292.96848774888</v>
      </c>
      <c r="M54" s="371">
        <f t="shared" si="3"/>
        <v>3327943.1798173515</v>
      </c>
    </row>
    <row r="55" spans="2:14">
      <c r="B55" s="1872" t="s">
        <v>1132</v>
      </c>
      <c r="C55" s="1874">
        <v>681807</v>
      </c>
      <c r="D55" s="1875">
        <v>316999</v>
      </c>
      <c r="E55" s="1875">
        <v>0</v>
      </c>
      <c r="F55" s="1876">
        <v>998806</v>
      </c>
      <c r="G55" s="1874">
        <v>647721</v>
      </c>
      <c r="H55" s="1875">
        <v>5949.7518767123283</v>
      </c>
      <c r="I55" s="1876">
        <v>653670.75187671231</v>
      </c>
      <c r="J55" s="1874">
        <v>345135.24812328769</v>
      </c>
      <c r="K55" s="1876">
        <v>34090</v>
      </c>
      <c r="M55" s="371">
        <f t="shared" si="3"/>
        <v>647721</v>
      </c>
    </row>
    <row r="56" spans="2:14">
      <c r="B56" s="1872" t="s">
        <v>1133</v>
      </c>
      <c r="C56" s="1874">
        <v>12545030</v>
      </c>
      <c r="D56" s="1875">
        <v>6674260</v>
      </c>
      <c r="E56" s="1875">
        <v>0</v>
      </c>
      <c r="F56" s="1876">
        <v>19219290</v>
      </c>
      <c r="G56" s="1874">
        <v>9013492.3684925213</v>
      </c>
      <c r="H56" s="1875">
        <v>820646.52442191774</v>
      </c>
      <c r="I56" s="1876">
        <v>9834138.8929144386</v>
      </c>
      <c r="J56" s="1874">
        <v>9385151.1070855614</v>
      </c>
      <c r="K56" s="1876">
        <v>3531537.6315074787</v>
      </c>
      <c r="M56" s="371">
        <f t="shared" si="3"/>
        <v>10894950.126344521</v>
      </c>
    </row>
    <row r="57" spans="2:14" ht="15" thickBot="1">
      <c r="B57" s="1877" t="s">
        <v>3470</v>
      </c>
      <c r="C57" s="1878">
        <v>0</v>
      </c>
      <c r="D57" s="1879">
        <v>121490</v>
      </c>
      <c r="E57" s="1879">
        <v>0</v>
      </c>
      <c r="F57" s="1880">
        <v>121490</v>
      </c>
      <c r="G57" s="1878">
        <v>0</v>
      </c>
      <c r="H57" s="1879">
        <v>21818.272602739722</v>
      </c>
      <c r="I57" s="1880">
        <v>21818.272602739722</v>
      </c>
      <c r="J57" s="1878">
        <v>99671.727397260285</v>
      </c>
      <c r="K57" s="1880">
        <v>0</v>
      </c>
      <c r="M57" s="371">
        <v>0</v>
      </c>
    </row>
    <row r="58" spans="2:14">
      <c r="G58" s="371">
        <f>SUM(G52:G57)</f>
        <v>92982406.136516064</v>
      </c>
      <c r="H58" s="382">
        <v>4608965.7521815198</v>
      </c>
      <c r="J58" s="371">
        <f>SUM(J52:J57)</f>
        <v>61928502.111302406</v>
      </c>
      <c r="L58" s="371"/>
    </row>
    <row r="60" spans="2:14" ht="15" thickBot="1">
      <c r="B60" s="254" t="s">
        <v>3568</v>
      </c>
    </row>
    <row r="61" spans="2:14">
      <c r="B61" s="1869"/>
      <c r="C61" s="3196" t="s">
        <v>1123</v>
      </c>
      <c r="D61" s="3197"/>
      <c r="E61" s="3197"/>
      <c r="F61" s="3198"/>
      <c r="G61" s="3196" t="s">
        <v>30</v>
      </c>
      <c r="H61" s="3197"/>
      <c r="I61" s="3198"/>
      <c r="J61" s="3196" t="s">
        <v>3558</v>
      </c>
      <c r="K61" s="3198"/>
    </row>
    <row r="62" spans="2:14">
      <c r="B62" s="1870" t="s">
        <v>1</v>
      </c>
      <c r="C62" s="1871" t="s">
        <v>1331</v>
      </c>
      <c r="D62" s="254" t="s">
        <v>3560</v>
      </c>
      <c r="E62" s="254" t="s">
        <v>1126</v>
      </c>
      <c r="F62" s="1622" t="s">
        <v>1333</v>
      </c>
      <c r="G62" s="1871" t="s">
        <v>3561</v>
      </c>
      <c r="H62" s="254" t="s">
        <v>3562</v>
      </c>
      <c r="I62" s="1622" t="s">
        <v>3563</v>
      </c>
      <c r="J62" s="1871" t="s">
        <v>3572</v>
      </c>
      <c r="K62" s="1622" t="s">
        <v>3570</v>
      </c>
    </row>
    <row r="63" spans="2:14">
      <c r="B63" s="1872"/>
      <c r="C63" s="1732"/>
      <c r="F63" s="1873"/>
      <c r="G63" s="1732"/>
      <c r="I63" s="1873"/>
      <c r="J63" s="1732"/>
      <c r="K63" s="1873"/>
    </row>
    <row r="64" spans="2:14">
      <c r="B64" s="1872" t="s">
        <v>1361</v>
      </c>
      <c r="C64" s="1874">
        <v>868251</v>
      </c>
      <c r="D64" s="1875">
        <v>0</v>
      </c>
      <c r="E64" s="1875">
        <v>0</v>
      </c>
      <c r="F64" s="1876">
        <v>868251</v>
      </c>
      <c r="G64" s="1874">
        <v>0</v>
      </c>
      <c r="H64" s="1875">
        <v>0</v>
      </c>
      <c r="I64" s="1876">
        <v>0</v>
      </c>
      <c r="J64" s="1874">
        <v>868251</v>
      </c>
      <c r="K64" s="1876">
        <v>868251</v>
      </c>
      <c r="M64" s="1875">
        <v>0</v>
      </c>
      <c r="N64" s="371"/>
    </row>
    <row r="65" spans="2:14">
      <c r="B65" s="1872" t="s">
        <v>1130</v>
      </c>
      <c r="C65" s="1874">
        <v>125503729</v>
      </c>
      <c r="D65" s="1875">
        <v>8489324</v>
      </c>
      <c r="E65" s="1875">
        <v>0</v>
      </c>
      <c r="F65" s="1876">
        <v>133993053</v>
      </c>
      <c r="G65" s="1874">
        <v>89480586.229674265</v>
      </c>
      <c r="H65" s="1875">
        <v>8230414.7667410057</v>
      </c>
      <c r="I65" s="1876">
        <v>97711000.996415272</v>
      </c>
      <c r="J65" s="1874">
        <v>36282052.003584728</v>
      </c>
      <c r="K65" s="1876">
        <v>36023142.770325735</v>
      </c>
      <c r="M65" s="1875">
        <v>9417538.4931629431</v>
      </c>
      <c r="N65" s="371"/>
    </row>
    <row r="66" spans="2:14">
      <c r="B66" s="1872" t="s">
        <v>1131</v>
      </c>
      <c r="C66" s="1874">
        <v>3848438</v>
      </c>
      <c r="D66" s="1875">
        <v>470546</v>
      </c>
      <c r="E66" s="1875">
        <v>0</v>
      </c>
      <c r="F66" s="1876">
        <v>4318984</v>
      </c>
      <c r="G66" s="1874">
        <v>3327943.1798173515</v>
      </c>
      <c r="H66" s="1875">
        <v>181359.30316054769</v>
      </c>
      <c r="I66" s="1876">
        <v>3509302.4829778993</v>
      </c>
      <c r="J66" s="1874">
        <v>809681.51702210074</v>
      </c>
      <c r="K66" s="1876">
        <v>520494.82018264849</v>
      </c>
      <c r="M66" s="1875">
        <v>69798.148305100214</v>
      </c>
      <c r="N66" s="371"/>
    </row>
    <row r="67" spans="2:14">
      <c r="B67" s="1872" t="s">
        <v>1132</v>
      </c>
      <c r="C67" s="1874">
        <v>681807</v>
      </c>
      <c r="D67" s="1875">
        <v>316999</v>
      </c>
      <c r="E67" s="1875">
        <v>0</v>
      </c>
      <c r="F67" s="1876">
        <v>998806</v>
      </c>
      <c r="G67" s="1874">
        <v>647717</v>
      </c>
      <c r="H67" s="1875">
        <v>5949.7518767123283</v>
      </c>
      <c r="I67" s="1876">
        <v>653666.75187671231</v>
      </c>
      <c r="J67" s="1874">
        <v>345139.24812328769</v>
      </c>
      <c r="K67" s="1876">
        <v>34090</v>
      </c>
      <c r="M67" s="1875">
        <v>0</v>
      </c>
      <c r="N67" s="371"/>
    </row>
    <row r="68" spans="2:14">
      <c r="B68" s="1872" t="s">
        <v>3470</v>
      </c>
      <c r="C68" s="1874">
        <v>0</v>
      </c>
      <c r="D68" s="1875">
        <v>121490</v>
      </c>
      <c r="E68" s="1875">
        <v>0</v>
      </c>
      <c r="F68" s="1876">
        <v>121490</v>
      </c>
      <c r="G68" s="1874">
        <v>0</v>
      </c>
      <c r="H68" s="1875">
        <v>21818.272602739722</v>
      </c>
      <c r="I68" s="1876">
        <v>21818.272602739722</v>
      </c>
      <c r="J68" s="1874">
        <v>99671.727397260285</v>
      </c>
      <c r="K68" s="1876"/>
    </row>
    <row r="69" spans="2:14" ht="15" thickBot="1">
      <c r="B69" s="1877" t="s">
        <v>1133</v>
      </c>
      <c r="C69" s="1878">
        <v>12545030</v>
      </c>
      <c r="D69" s="1879">
        <v>6674260</v>
      </c>
      <c r="E69" s="1879">
        <v>0</v>
      </c>
      <c r="F69" s="1880">
        <v>19219290</v>
      </c>
      <c r="G69" s="1878">
        <v>10894950.126344521</v>
      </c>
      <c r="H69" s="1879">
        <v>1321918.6698068483</v>
      </c>
      <c r="I69" s="1880">
        <v>12216868.79615137</v>
      </c>
      <c r="J69" s="1878">
        <v>7002421.2038486302</v>
      </c>
      <c r="K69" s="1880">
        <v>1650079.8736554794</v>
      </c>
      <c r="M69" s="1875">
        <v>1881457.7578520002</v>
      </c>
      <c r="N69" s="371"/>
    </row>
    <row r="70" spans="2:14">
      <c r="H70" s="382">
        <v>9761460.7641878538</v>
      </c>
      <c r="I70" s="371">
        <f>SUM(I64:I69)</f>
        <v>114112657.30002399</v>
      </c>
      <c r="J70" s="382">
        <f>SUM(J64:J69)</f>
        <v>45407216.699976012</v>
      </c>
    </row>
    <row r="71" spans="2:14">
      <c r="M71" s="1760">
        <v>46120845</v>
      </c>
    </row>
    <row r="73" spans="2:14">
      <c r="I73" s="3199" t="s">
        <v>3587</v>
      </c>
      <c r="J73" s="3199"/>
      <c r="M73" s="371">
        <f>M71-J70</f>
        <v>713628.30002398789</v>
      </c>
    </row>
    <row r="74" spans="2:14">
      <c r="I74" t="s">
        <v>3585</v>
      </c>
      <c r="J74" s="371">
        <v>56776011.099296063</v>
      </c>
      <c r="N74" s="371">
        <f>M73*25.18%</f>
        <v>179691.60594604016</v>
      </c>
    </row>
    <row r="75" spans="2:14">
      <c r="I75" t="s">
        <v>3586</v>
      </c>
      <c r="J75" s="20">
        <f>M71</f>
        <v>46120845</v>
      </c>
    </row>
    <row r="76" spans="2:14">
      <c r="J76" s="371">
        <f>J75-J74</f>
        <v>-10655166.099296063</v>
      </c>
    </row>
    <row r="77" spans="2:14">
      <c r="J77" s="371">
        <f>J76*25.168%</f>
        <v>-2681692.2038708334</v>
      </c>
    </row>
    <row r="79" spans="2:14">
      <c r="K79" s="371"/>
    </row>
    <row r="81" spans="1:11" ht="15" thickBot="1">
      <c r="A81" s="254" t="s">
        <v>4158</v>
      </c>
      <c r="B81" s="254" t="s">
        <v>3553</v>
      </c>
    </row>
    <row r="82" spans="1:11">
      <c r="B82" s="1869"/>
      <c r="C82" s="3196" t="s">
        <v>1123</v>
      </c>
      <c r="D82" s="3197"/>
      <c r="E82" s="3197"/>
      <c r="F82" s="3198"/>
      <c r="G82" s="3196" t="s">
        <v>30</v>
      </c>
      <c r="H82" s="3197"/>
      <c r="I82" s="3198"/>
      <c r="J82" s="3196" t="s">
        <v>3558</v>
      </c>
      <c r="K82" s="3198"/>
    </row>
    <row r="83" spans="1:11">
      <c r="B83" s="1870" t="s">
        <v>1</v>
      </c>
      <c r="C83" s="1871" t="s">
        <v>1331</v>
      </c>
      <c r="D83" s="254" t="s">
        <v>3560</v>
      </c>
      <c r="E83" s="254" t="s">
        <v>1126</v>
      </c>
      <c r="F83" s="1622" t="s">
        <v>1333</v>
      </c>
      <c r="G83" s="1871" t="s">
        <v>3561</v>
      </c>
      <c r="H83" s="254" t="s">
        <v>3562</v>
      </c>
      <c r="I83" s="1622" t="s">
        <v>3563</v>
      </c>
      <c r="J83" s="1871" t="s">
        <v>3572</v>
      </c>
      <c r="K83" s="1622" t="s">
        <v>3570</v>
      </c>
    </row>
    <row r="84" spans="1:11">
      <c r="B84" s="1872"/>
      <c r="C84" s="1732"/>
      <c r="F84" s="1873"/>
      <c r="G84" s="1732"/>
      <c r="I84" s="1873"/>
      <c r="J84" s="1732"/>
      <c r="K84" s="1873"/>
    </row>
    <row r="85" spans="1:11">
      <c r="B85" s="1872" t="s">
        <v>1361</v>
      </c>
      <c r="C85" s="1874">
        <v>868251</v>
      </c>
      <c r="D85" s="1875">
        <v>0</v>
      </c>
      <c r="E85" s="1875">
        <v>0</v>
      </c>
      <c r="F85" s="1876">
        <f>C85+D85-E85</f>
        <v>868251</v>
      </c>
      <c r="G85" s="1874">
        <v>0</v>
      </c>
      <c r="H85" s="1875">
        <v>0</v>
      </c>
      <c r="I85" s="1876">
        <f>G85+H85</f>
        <v>0</v>
      </c>
      <c r="J85" s="1876">
        <f>F85-I85</f>
        <v>868251</v>
      </c>
      <c r="K85" s="1876">
        <f>C85-G85</f>
        <v>868251</v>
      </c>
    </row>
    <row r="86" spans="1:11">
      <c r="B86" s="1872" t="s">
        <v>1130</v>
      </c>
      <c r="C86" s="1874">
        <f>SUM('FA Register Final'!O169:O178)+SUM('FA Register Final'!O206:O242)</f>
        <v>50310257.36267978</v>
      </c>
      <c r="D86" s="1875">
        <v>8489324</v>
      </c>
      <c r="E86" s="1875">
        <v>0</v>
      </c>
      <c r="F86" s="1876">
        <f t="shared" ref="F86:F90" si="4">C86+D86-E86</f>
        <v>58799581.36267978</v>
      </c>
      <c r="G86" s="1874">
        <v>83438724.95246543</v>
      </c>
      <c r="H86" s="1875">
        <v>3375677.2159541226</v>
      </c>
      <c r="I86" s="1876">
        <f t="shared" ref="I86:I90" si="5">G86+H86</f>
        <v>86814402.168419555</v>
      </c>
      <c r="J86" s="1876">
        <f t="shared" ref="J86:J90" si="6">F86-I86</f>
        <v>-28014820.805739775</v>
      </c>
      <c r="K86" s="1876">
        <f t="shared" ref="K86:K90" si="7">C86-G86</f>
        <v>-33128467.58978565</v>
      </c>
    </row>
    <row r="87" spans="1:11">
      <c r="B87" s="1872" t="s">
        <v>1131</v>
      </c>
      <c r="C87" s="1874">
        <v>4318984</v>
      </c>
      <c r="D87" s="1875">
        <v>470546</v>
      </c>
      <c r="E87" s="1875">
        <v>0</v>
      </c>
      <c r="F87" s="1876">
        <f t="shared" si="4"/>
        <v>4789530</v>
      </c>
      <c r="G87" s="1874">
        <v>3643019.0188382785</v>
      </c>
      <c r="H87" s="1875">
        <v>384873.98732602736</v>
      </c>
      <c r="I87" s="1876">
        <f t="shared" si="5"/>
        <v>4027893.0061643058</v>
      </c>
      <c r="J87" s="1876">
        <f t="shared" si="6"/>
        <v>761636.99383569416</v>
      </c>
      <c r="K87" s="1876">
        <f t="shared" si="7"/>
        <v>675964.98116172152</v>
      </c>
    </row>
    <row r="88" spans="1:11">
      <c r="B88" s="1872" t="s">
        <v>1132</v>
      </c>
      <c r="C88" s="1874">
        <v>998806</v>
      </c>
      <c r="D88" s="1875">
        <v>316999</v>
      </c>
      <c r="E88" s="1875">
        <v>0</v>
      </c>
      <c r="F88" s="1876">
        <f t="shared" si="4"/>
        <v>1315805</v>
      </c>
      <c r="G88" s="1874">
        <v>653670.75187671231</v>
      </c>
      <c r="H88" s="1875">
        <v>5949.7518767123283</v>
      </c>
      <c r="I88" s="1876">
        <f t="shared" si="5"/>
        <v>659620.50375342462</v>
      </c>
      <c r="J88" s="1876">
        <f t="shared" si="6"/>
        <v>656184.49624657538</v>
      </c>
      <c r="K88" s="1876">
        <f t="shared" si="7"/>
        <v>345135.24812328769</v>
      </c>
    </row>
    <row r="89" spans="1:11">
      <c r="B89" s="1872" t="s">
        <v>1133</v>
      </c>
      <c r="C89" s="1874">
        <v>19219290</v>
      </c>
      <c r="D89" s="1875">
        <v>6674260</v>
      </c>
      <c r="E89" s="1875">
        <v>0</v>
      </c>
      <c r="F89" s="1876">
        <f t="shared" si="4"/>
        <v>25893550</v>
      </c>
      <c r="G89" s="1874">
        <v>9834138.8929144386</v>
      </c>
      <c r="H89" s="1875">
        <f>'FA Register 22-23'!K123+'FA Register 22-23'!K149</f>
        <v>564261.12238356168</v>
      </c>
      <c r="I89" s="1876">
        <f t="shared" si="5"/>
        <v>10398400.015298</v>
      </c>
      <c r="J89" s="1876">
        <f t="shared" si="6"/>
        <v>15495149.984702</v>
      </c>
      <c r="K89" s="1876">
        <f t="shared" si="7"/>
        <v>9385151.1070855614</v>
      </c>
    </row>
    <row r="90" spans="1:11" ht="15" thickBot="1">
      <c r="B90" s="1877" t="s">
        <v>3470</v>
      </c>
      <c r="C90" s="1878">
        <v>121490</v>
      </c>
      <c r="D90" s="1879">
        <v>0</v>
      </c>
      <c r="E90" s="1879">
        <v>0</v>
      </c>
      <c r="F90" s="1876">
        <f t="shared" si="4"/>
        <v>121490</v>
      </c>
      <c r="G90" s="1878">
        <v>21818.272602739722</v>
      </c>
      <c r="H90" s="1879" t="e">
        <f>'FA Register 22-23'!#REF!</f>
        <v>#REF!</v>
      </c>
      <c r="I90" s="1876" t="e">
        <f t="shared" si="5"/>
        <v>#REF!</v>
      </c>
      <c r="J90" s="1876" t="e">
        <f t="shared" si="6"/>
        <v>#REF!</v>
      </c>
      <c r="K90" s="1876">
        <f t="shared" si="7"/>
        <v>99671.727397260285</v>
      </c>
    </row>
  </sheetData>
  <mergeCells count="22">
    <mergeCell ref="C61:F61"/>
    <mergeCell ref="G61:I61"/>
    <mergeCell ref="J61:K61"/>
    <mergeCell ref="C82:F82"/>
    <mergeCell ref="G82:I82"/>
    <mergeCell ref="J82:K82"/>
    <mergeCell ref="I73:J73"/>
    <mergeCell ref="C3:F3"/>
    <mergeCell ref="G3:I3"/>
    <mergeCell ref="J3:K3"/>
    <mergeCell ref="C14:F14"/>
    <mergeCell ref="G14:I14"/>
    <mergeCell ref="J14:K14"/>
    <mergeCell ref="C49:F49"/>
    <mergeCell ref="G49:I49"/>
    <mergeCell ref="J49:K49"/>
    <mergeCell ref="C26:F26"/>
    <mergeCell ref="G26:I26"/>
    <mergeCell ref="J26:K26"/>
    <mergeCell ref="C37:F37"/>
    <mergeCell ref="G37:I37"/>
    <mergeCell ref="J37:K3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3:D25"/>
  <sheetViews>
    <sheetView topLeftCell="A7" workbookViewId="0">
      <selection activeCell="F23" sqref="F23"/>
    </sheetView>
  </sheetViews>
  <sheetFormatPr defaultRowHeight="14.4"/>
  <cols>
    <col min="1" max="1" width="21.5546875" bestFit="1" customWidth="1"/>
    <col min="2" max="2" width="24.44140625" bestFit="1" customWidth="1"/>
  </cols>
  <sheetData>
    <row r="3" spans="1:2">
      <c r="A3" s="2570" t="s">
        <v>4342</v>
      </c>
      <c r="B3" t="s">
        <v>4344</v>
      </c>
    </row>
    <row r="4" spans="1:2">
      <c r="A4" s="2054" t="s">
        <v>4339</v>
      </c>
    </row>
    <row r="5" spans="1:2">
      <c r="A5" s="2571" t="s">
        <v>4255</v>
      </c>
      <c r="B5">
        <v>98649.152542372874</v>
      </c>
    </row>
    <row r="6" spans="1:2">
      <c r="A6" s="2571" t="s">
        <v>4254</v>
      </c>
      <c r="B6">
        <v>148587.28813559323</v>
      </c>
    </row>
    <row r="7" spans="1:2">
      <c r="A7" s="2054" t="s">
        <v>4340</v>
      </c>
    </row>
    <row r="8" spans="1:2">
      <c r="A8" s="2571" t="s">
        <v>4255</v>
      </c>
      <c r="B8">
        <v>10875049.655932199</v>
      </c>
    </row>
    <row r="9" spans="1:2">
      <c r="A9" s="2571" t="s">
        <v>4254</v>
      </c>
      <c r="B9">
        <v>20215117.732203383</v>
      </c>
    </row>
    <row r="10" spans="1:2">
      <c r="A10" s="2054" t="s">
        <v>3057</v>
      </c>
    </row>
    <row r="11" spans="1:2">
      <c r="A11" s="2571" t="s">
        <v>4255</v>
      </c>
      <c r="B11">
        <v>1696884</v>
      </c>
    </row>
    <row r="12" spans="1:2">
      <c r="A12" s="2054" t="s">
        <v>75</v>
      </c>
      <c r="B12">
        <v>33034287.82881356</v>
      </c>
    </row>
    <row r="16" spans="1:2">
      <c r="A16" t="s">
        <v>4342</v>
      </c>
      <c r="B16" t="s">
        <v>4344</v>
      </c>
    </row>
    <row r="17" spans="1:4">
      <c r="A17" t="s">
        <v>4339</v>
      </c>
      <c r="D17">
        <v>1000</v>
      </c>
    </row>
    <row r="18" spans="1:4">
      <c r="A18" t="s">
        <v>4255</v>
      </c>
      <c r="B18">
        <v>98.649152542372875</v>
      </c>
    </row>
    <row r="19" spans="1:4">
      <c r="A19" t="s">
        <v>4254</v>
      </c>
      <c r="B19">
        <v>148.58728813559324</v>
      </c>
    </row>
    <row r="20" spans="1:4">
      <c r="A20" t="s">
        <v>4340</v>
      </c>
      <c r="B20">
        <v>0</v>
      </c>
    </row>
    <row r="21" spans="1:4">
      <c r="A21" t="s">
        <v>4255</v>
      </c>
      <c r="B21">
        <v>10875.0496559322</v>
      </c>
    </row>
    <row r="22" spans="1:4">
      <c r="A22" t="s">
        <v>4254</v>
      </c>
      <c r="B22">
        <v>20215.117732203384</v>
      </c>
    </row>
    <row r="23" spans="1:4">
      <c r="A23" t="s">
        <v>3057</v>
      </c>
      <c r="B23">
        <v>0</v>
      </c>
    </row>
    <row r="24" spans="1:4">
      <c r="A24" t="s">
        <v>4255</v>
      </c>
      <c r="B24">
        <v>1696.884</v>
      </c>
    </row>
    <row r="25" spans="1:4">
      <c r="A25" t="s">
        <v>75</v>
      </c>
      <c r="B25">
        <v>33034287.82881356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3:D20"/>
  <sheetViews>
    <sheetView workbookViewId="0">
      <selection activeCell="E11" sqref="E11"/>
    </sheetView>
  </sheetViews>
  <sheetFormatPr defaultRowHeight="14.4"/>
  <cols>
    <col min="1" max="1" width="11" bestFit="1" customWidth="1"/>
    <col min="2" max="2" width="23" customWidth="1"/>
    <col min="3" max="3" width="16.21875" customWidth="1"/>
  </cols>
  <sheetData>
    <row r="3" spans="1:4">
      <c r="A3" t="s">
        <v>4360</v>
      </c>
      <c r="B3" s="1760">
        <f>Dep_IT!J23</f>
        <v>73045807.828813553</v>
      </c>
      <c r="D3">
        <f>Dep_IT!I23</f>
        <v>11820033</v>
      </c>
    </row>
    <row r="4" spans="1:4">
      <c r="A4" t="s">
        <v>4361</v>
      </c>
      <c r="B4" s="1760">
        <f>Dep_Co!N26</f>
        <v>79464956.373423219</v>
      </c>
    </row>
    <row r="5" spans="1:4">
      <c r="A5" t="s">
        <v>3165</v>
      </c>
      <c r="B5" s="1760">
        <f>B3-B4</f>
        <v>-6419148.5446096659</v>
      </c>
    </row>
    <row r="6" spans="1:4">
      <c r="B6" s="1760"/>
    </row>
    <row r="7" spans="1:4">
      <c r="A7" t="s">
        <v>4362</v>
      </c>
      <c r="B7" s="1760">
        <f>B5*25.168%</f>
        <v>-1615571.3057073609</v>
      </c>
    </row>
    <row r="9" spans="1:4">
      <c r="A9" t="s">
        <v>3083</v>
      </c>
      <c r="B9">
        <f>742.110618126851*1000</f>
        <v>742110.61812685104</v>
      </c>
    </row>
    <row r="10" spans="1:4">
      <c r="A10" t="s">
        <v>4363</v>
      </c>
      <c r="C10">
        <f>742.110618126851*1000</f>
        <v>742110.61812685104</v>
      </c>
    </row>
    <row r="12" spans="1:4">
      <c r="A12" t="s">
        <v>1331</v>
      </c>
      <c r="C12">
        <f>BS!E42</f>
        <v>0</v>
      </c>
    </row>
    <row r="13" spans="1:4">
      <c r="A13" t="s">
        <v>1333</v>
      </c>
      <c r="C13" s="20">
        <f>B7</f>
        <v>-1615571.3057073609</v>
      </c>
    </row>
    <row r="14" spans="1:4">
      <c r="C14" s="20">
        <f>C13-C12</f>
        <v>-1615571.3057073609</v>
      </c>
    </row>
    <row r="15" spans="1:4">
      <c r="C15" s="20"/>
    </row>
    <row r="16" spans="1:4">
      <c r="C16" s="20"/>
    </row>
    <row r="17" spans="3:3">
      <c r="C17" s="20"/>
    </row>
    <row r="18" spans="3:3">
      <c r="C18" s="20"/>
    </row>
    <row r="20" spans="3:3">
      <c r="C20">
        <f>C12+C10</f>
        <v>742110.61812685104</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W152"/>
  <sheetViews>
    <sheetView zoomScale="85" zoomScaleNormal="85" workbookViewId="0">
      <pane xSplit="5" ySplit="3" topLeftCell="K21" activePane="bottomRight" state="frozen"/>
      <selection pane="topRight" activeCell="F1" sqref="F1"/>
      <selection pane="bottomLeft" activeCell="A4" sqref="A4"/>
      <selection pane="bottomRight" activeCell="O5" sqref="O5"/>
    </sheetView>
  </sheetViews>
  <sheetFormatPr defaultRowHeight="14.4"/>
  <cols>
    <col min="2" max="2" width="19.44140625" bestFit="1" customWidth="1"/>
    <col min="3" max="3" width="22.44140625" bestFit="1" customWidth="1"/>
    <col min="4" max="4" width="15.5546875" bestFit="1" customWidth="1"/>
    <col min="5" max="5" width="18.5546875" style="1760" bestFit="1" customWidth="1"/>
    <col min="6" max="7" width="18.5546875" customWidth="1"/>
    <col min="8" max="8" width="20.5546875" bestFit="1" customWidth="1"/>
    <col min="9" max="9" width="20.5546875" style="1852" customWidth="1"/>
    <col min="10" max="10" width="24.44140625" bestFit="1" customWidth="1"/>
    <col min="11" max="11" width="20" bestFit="1" customWidth="1"/>
    <col min="12" max="12" width="14.5546875" bestFit="1" customWidth="1"/>
    <col min="13" max="13" width="26.44140625" style="1760" bestFit="1" customWidth="1"/>
    <col min="14" max="14" width="21" bestFit="1" customWidth="1"/>
    <col min="15" max="15" width="29.5546875" bestFit="1" customWidth="1"/>
    <col min="16" max="16" width="14.5546875" bestFit="1" customWidth="1"/>
    <col min="17" max="17" width="14.44140625" bestFit="1" customWidth="1"/>
  </cols>
  <sheetData>
    <row r="1" spans="2:23">
      <c r="E1"/>
      <c r="I1" s="371"/>
      <c r="L1" s="218">
        <v>45016</v>
      </c>
      <c r="M1"/>
      <c r="O1" s="218">
        <v>44831</v>
      </c>
      <c r="W1">
        <f>30+31+30+31+31+27</f>
        <v>180</v>
      </c>
    </row>
    <row r="2" spans="2:23">
      <c r="B2" s="254" t="s">
        <v>3467</v>
      </c>
      <c r="C2" s="254" t="s">
        <v>3468</v>
      </c>
      <c r="D2" s="254" t="s">
        <v>3469</v>
      </c>
      <c r="E2" s="254" t="s">
        <v>3471</v>
      </c>
      <c r="F2" s="254" t="s">
        <v>1362</v>
      </c>
      <c r="G2" s="254" t="s">
        <v>3474</v>
      </c>
      <c r="H2" s="254" t="s">
        <v>3475</v>
      </c>
      <c r="I2" s="254" t="s">
        <v>3476</v>
      </c>
      <c r="J2" s="254" t="s">
        <v>3472</v>
      </c>
      <c r="K2" s="254" t="s">
        <v>3473</v>
      </c>
      <c r="L2" s="254" t="s">
        <v>2123</v>
      </c>
      <c r="M2" s="254" t="s">
        <v>3537</v>
      </c>
      <c r="N2" s="254" t="s">
        <v>4168</v>
      </c>
      <c r="O2" s="254" t="s">
        <v>3540</v>
      </c>
    </row>
    <row r="3" spans="2:23">
      <c r="E3"/>
      <c r="I3"/>
      <c r="M3"/>
    </row>
    <row r="4" spans="2:23">
      <c r="B4" t="s">
        <v>1131</v>
      </c>
      <c r="D4" s="218"/>
      <c r="G4" s="1760"/>
      <c r="H4" s="1760"/>
      <c r="K4" s="1760"/>
      <c r="L4" s="1760"/>
      <c r="M4"/>
    </row>
    <row r="5" spans="2:23">
      <c r="C5" t="s">
        <v>4042</v>
      </c>
      <c r="D5" s="218">
        <v>44652</v>
      </c>
      <c r="E5" s="1760">
        <v>29500</v>
      </c>
      <c r="F5">
        <v>3</v>
      </c>
      <c r="G5" s="1760">
        <f t="shared" ref="G5:G12" si="0">E5*5%</f>
        <v>1475</v>
      </c>
      <c r="H5" s="1760">
        <f t="shared" ref="H5:H12" si="1">E5-G5</f>
        <v>28025</v>
      </c>
      <c r="I5" s="1852">
        <v>0.31669999999999998</v>
      </c>
      <c r="J5">
        <f t="shared" ref="J5:J12" si="2">$L$1-D5</f>
        <v>364</v>
      </c>
      <c r="K5" s="1760">
        <f t="shared" ref="K5:K12" si="3">E5*I5*J5/365</f>
        <v>9317.0536986301377</v>
      </c>
      <c r="L5" s="1760">
        <f t="shared" ref="L5:L12" si="4">E5-K5</f>
        <v>20182.946301369862</v>
      </c>
      <c r="M5"/>
      <c r="O5" t="str">
        <f t="shared" ref="O5:O14" si="5">IF(D5&gt;$O$1,"More than 180 Days","less than 180 Days")</f>
        <v>less than 180 Days</v>
      </c>
    </row>
    <row r="6" spans="2:23">
      <c r="C6" t="s">
        <v>4043</v>
      </c>
      <c r="D6" s="218">
        <v>44655</v>
      </c>
      <c r="E6" s="1760">
        <v>51580</v>
      </c>
      <c r="F6">
        <v>3</v>
      </c>
      <c r="G6" s="1760">
        <f t="shared" si="0"/>
        <v>2579</v>
      </c>
      <c r="H6" s="1760">
        <f t="shared" si="1"/>
        <v>49001</v>
      </c>
      <c r="I6" s="1852">
        <v>0.31669999999999998</v>
      </c>
      <c r="J6">
        <f t="shared" si="2"/>
        <v>361</v>
      </c>
      <c r="K6" s="1760">
        <f t="shared" si="3"/>
        <v>16156.368071232877</v>
      </c>
      <c r="L6" s="1760">
        <f t="shared" si="4"/>
        <v>35423.631928767121</v>
      </c>
      <c r="M6"/>
      <c r="O6" t="str">
        <f t="shared" si="5"/>
        <v>less than 180 Days</v>
      </c>
    </row>
    <row r="7" spans="2:23">
      <c r="C7" t="s">
        <v>4044</v>
      </c>
      <c r="D7" s="218">
        <v>44673</v>
      </c>
      <c r="E7" s="1760">
        <v>19116</v>
      </c>
      <c r="F7">
        <v>3</v>
      </c>
      <c r="G7" s="1760">
        <f t="shared" si="0"/>
        <v>955.80000000000007</v>
      </c>
      <c r="H7" s="1760">
        <f t="shared" si="1"/>
        <v>18160.2</v>
      </c>
      <c r="I7" s="1852">
        <v>0.31669999999999998</v>
      </c>
      <c r="J7">
        <f t="shared" si="2"/>
        <v>343</v>
      </c>
      <c r="K7" s="1760">
        <f t="shared" si="3"/>
        <v>5689.1363276712327</v>
      </c>
      <c r="L7" s="1760">
        <f t="shared" si="4"/>
        <v>13426.863672328767</v>
      </c>
      <c r="M7"/>
      <c r="O7" t="str">
        <f t="shared" si="5"/>
        <v>less than 180 Days</v>
      </c>
    </row>
    <row r="8" spans="2:23">
      <c r="C8" t="s">
        <v>4045</v>
      </c>
      <c r="D8" s="218">
        <v>44692</v>
      </c>
      <c r="E8" s="1760">
        <v>34253</v>
      </c>
      <c r="F8">
        <v>3</v>
      </c>
      <c r="G8" s="1760">
        <f t="shared" si="0"/>
        <v>1712.65</v>
      </c>
      <c r="H8" s="1760">
        <f t="shared" si="1"/>
        <v>32540.35</v>
      </c>
      <c r="I8" s="1852">
        <v>0.31669999999999998</v>
      </c>
      <c r="J8">
        <f t="shared" si="2"/>
        <v>324</v>
      </c>
      <c r="K8" s="1760">
        <f t="shared" si="3"/>
        <v>9629.3910476712317</v>
      </c>
      <c r="L8" s="1760">
        <f t="shared" si="4"/>
        <v>24623.608952328766</v>
      </c>
      <c r="M8"/>
      <c r="O8" t="str">
        <f t="shared" si="5"/>
        <v>less than 180 Days</v>
      </c>
    </row>
    <row r="9" spans="2:23">
      <c r="C9" t="s">
        <v>4046</v>
      </c>
      <c r="D9" s="218">
        <v>44803</v>
      </c>
      <c r="E9" s="1760">
        <v>60000</v>
      </c>
      <c r="F9">
        <v>3</v>
      </c>
      <c r="G9" s="1760">
        <f t="shared" si="0"/>
        <v>3000</v>
      </c>
      <c r="H9" s="1760">
        <f t="shared" si="1"/>
        <v>57000</v>
      </c>
      <c r="I9" s="1852">
        <v>0.31669999999999998</v>
      </c>
      <c r="J9">
        <f t="shared" si="2"/>
        <v>213</v>
      </c>
      <c r="K9" s="1760">
        <f t="shared" si="3"/>
        <v>11088.838356164384</v>
      </c>
      <c r="L9" s="1760">
        <f t="shared" si="4"/>
        <v>48911.161643835614</v>
      </c>
      <c r="M9"/>
      <c r="O9" t="str">
        <f t="shared" si="5"/>
        <v>less than 180 Days</v>
      </c>
    </row>
    <row r="10" spans="2:23">
      <c r="C10" t="s">
        <v>4047</v>
      </c>
      <c r="D10" s="218">
        <v>44882</v>
      </c>
      <c r="E10" s="1760">
        <v>48906</v>
      </c>
      <c r="F10">
        <v>3</v>
      </c>
      <c r="G10" s="1760">
        <f t="shared" si="0"/>
        <v>2445.3000000000002</v>
      </c>
      <c r="H10" s="1760">
        <f t="shared" si="1"/>
        <v>46460.7</v>
      </c>
      <c r="I10" s="1852">
        <v>0.31669999999999998</v>
      </c>
      <c r="J10">
        <f t="shared" si="2"/>
        <v>134</v>
      </c>
      <c r="K10" s="1760">
        <f t="shared" si="3"/>
        <v>5686.2001282191777</v>
      </c>
      <c r="L10" s="1760">
        <f t="shared" si="4"/>
        <v>43219.799871780822</v>
      </c>
      <c r="M10"/>
      <c r="O10" t="str">
        <f t="shared" si="5"/>
        <v>More than 180 Days</v>
      </c>
    </row>
    <row r="11" spans="2:23">
      <c r="C11" t="s">
        <v>4048</v>
      </c>
      <c r="D11" s="218">
        <v>44883</v>
      </c>
      <c r="E11" s="1760">
        <v>1770</v>
      </c>
      <c r="F11">
        <v>3</v>
      </c>
      <c r="G11" s="1760">
        <f t="shared" si="0"/>
        <v>88.5</v>
      </c>
      <c r="H11" s="1760">
        <f t="shared" si="1"/>
        <v>1681.5</v>
      </c>
      <c r="I11" s="1852">
        <v>0.31669999999999998</v>
      </c>
      <c r="J11">
        <f t="shared" si="2"/>
        <v>133</v>
      </c>
      <c r="K11" s="1760">
        <f t="shared" si="3"/>
        <v>204.25848493150684</v>
      </c>
      <c r="L11" s="1760">
        <f t="shared" si="4"/>
        <v>1565.7415150684931</v>
      </c>
      <c r="M11"/>
      <c r="O11" t="str">
        <f t="shared" si="5"/>
        <v>More than 180 Days</v>
      </c>
    </row>
    <row r="12" spans="2:23">
      <c r="C12" t="s">
        <v>4049</v>
      </c>
      <c r="D12" s="218">
        <v>44947</v>
      </c>
      <c r="E12" s="1760">
        <v>67500</v>
      </c>
      <c r="F12">
        <v>3</v>
      </c>
      <c r="G12" s="1760">
        <f t="shared" si="0"/>
        <v>3375</v>
      </c>
      <c r="H12" s="1760">
        <f t="shared" si="1"/>
        <v>64125</v>
      </c>
      <c r="I12" s="1852">
        <v>0.31669999999999998</v>
      </c>
      <c r="J12">
        <f t="shared" si="2"/>
        <v>69</v>
      </c>
      <c r="K12" s="1760">
        <f t="shared" si="3"/>
        <v>4041.1787671232878</v>
      </c>
      <c r="L12" s="1760">
        <f t="shared" si="4"/>
        <v>63458.821232876711</v>
      </c>
      <c r="M12"/>
      <c r="O12" t="str">
        <f t="shared" si="5"/>
        <v>More than 180 Days</v>
      </c>
    </row>
    <row r="13" spans="2:23">
      <c r="D13" s="218"/>
      <c r="G13" s="1760"/>
      <c r="H13" s="1760"/>
      <c r="K13" s="1760"/>
      <c r="L13" s="1760"/>
      <c r="M13"/>
    </row>
    <row r="14" spans="2:23">
      <c r="C14" t="s">
        <v>4050</v>
      </c>
      <c r="D14" s="218">
        <v>44656</v>
      </c>
      <c r="E14" s="1760">
        <v>435538</v>
      </c>
      <c r="F14">
        <v>15</v>
      </c>
      <c r="G14" s="1760">
        <f t="shared" ref="G14:G40" si="6">E14*5%</f>
        <v>21776.9</v>
      </c>
      <c r="H14" s="1760">
        <f t="shared" ref="H14:H40" si="7">E14-G14</f>
        <v>413761.1</v>
      </c>
      <c r="I14" s="1852">
        <v>6.3299999999999995E-2</v>
      </c>
      <c r="J14">
        <f t="shared" ref="J14:J77" si="8">$L$1-D14</f>
        <v>360</v>
      </c>
      <c r="K14" s="1760">
        <f t="shared" ref="K14:K40" si="9">E14*I14*J14/365</f>
        <v>27191.890257534244</v>
      </c>
      <c r="L14" s="1760">
        <f t="shared" ref="L14:L40" si="10">E14-K14</f>
        <v>408346.10974246578</v>
      </c>
      <c r="M14"/>
      <c r="O14" t="str">
        <f t="shared" si="5"/>
        <v>less than 180 Days</v>
      </c>
    </row>
    <row r="15" spans="2:23">
      <c r="C15" t="s">
        <v>4051</v>
      </c>
      <c r="D15" s="218">
        <v>44659</v>
      </c>
      <c r="E15" s="1760">
        <v>47790</v>
      </c>
      <c r="F15">
        <v>15</v>
      </c>
      <c r="G15" s="1760">
        <f t="shared" si="6"/>
        <v>2389.5</v>
      </c>
      <c r="H15" s="1760">
        <f t="shared" si="7"/>
        <v>45400.5</v>
      </c>
      <c r="I15" s="1852">
        <v>6.3299999999999995E-2</v>
      </c>
      <c r="J15">
        <f t="shared" si="8"/>
        <v>357</v>
      </c>
      <c r="K15" s="1760">
        <f t="shared" si="9"/>
        <v>2958.8032849315068</v>
      </c>
      <c r="L15" s="1760">
        <f t="shared" si="10"/>
        <v>44831.196715068494</v>
      </c>
      <c r="M15"/>
      <c r="O15" t="str">
        <f t="shared" ref="O15:O78" si="11">IF(D15&gt;$O$1,"More than 180 Days","less than 180 Days")</f>
        <v>less than 180 Days</v>
      </c>
    </row>
    <row r="16" spans="2:23">
      <c r="C16" t="s">
        <v>4052</v>
      </c>
      <c r="D16" s="218">
        <v>44662</v>
      </c>
      <c r="E16" s="1760">
        <v>684667</v>
      </c>
      <c r="F16">
        <v>15</v>
      </c>
      <c r="G16" s="1760">
        <f t="shared" si="6"/>
        <v>34233.35</v>
      </c>
      <c r="H16" s="1760">
        <f t="shared" si="7"/>
        <v>650433.65</v>
      </c>
      <c r="I16" s="1852">
        <v>6.3299999999999995E-2</v>
      </c>
      <c r="J16">
        <f t="shared" si="8"/>
        <v>354</v>
      </c>
      <c r="K16" s="1760">
        <f t="shared" si="9"/>
        <v>42033.30156</v>
      </c>
      <c r="L16" s="1760">
        <f t="shared" si="10"/>
        <v>642633.69843999995</v>
      </c>
      <c r="M16"/>
      <c r="O16" t="str">
        <f t="shared" si="11"/>
        <v>less than 180 Days</v>
      </c>
    </row>
    <row r="17" spans="3:15">
      <c r="C17" t="s">
        <v>4053</v>
      </c>
      <c r="D17" s="218">
        <v>44663</v>
      </c>
      <c r="E17" s="1760">
        <v>253700</v>
      </c>
      <c r="F17">
        <v>15</v>
      </c>
      <c r="G17" s="1760">
        <f t="shared" si="6"/>
        <v>12685</v>
      </c>
      <c r="H17" s="1760">
        <f t="shared" si="7"/>
        <v>241015</v>
      </c>
      <c r="I17" s="1852">
        <v>6.3299999999999995E-2</v>
      </c>
      <c r="J17">
        <f t="shared" si="8"/>
        <v>353</v>
      </c>
      <c r="K17" s="1760">
        <f t="shared" si="9"/>
        <v>15531.235972602739</v>
      </c>
      <c r="L17" s="1760">
        <f t="shared" si="10"/>
        <v>238168.76402739726</v>
      </c>
      <c r="M17"/>
      <c r="O17" t="str">
        <f t="shared" si="11"/>
        <v>less than 180 Days</v>
      </c>
    </row>
    <row r="18" spans="3:15">
      <c r="C18" t="s">
        <v>4054</v>
      </c>
      <c r="D18" s="218">
        <v>44664</v>
      </c>
      <c r="E18" s="1760">
        <v>203987</v>
      </c>
      <c r="F18">
        <v>15</v>
      </c>
      <c r="G18" s="1760">
        <f t="shared" si="6"/>
        <v>10199.35</v>
      </c>
      <c r="H18" s="1760">
        <f t="shared" si="7"/>
        <v>193787.65</v>
      </c>
      <c r="I18" s="1852">
        <v>6.3299999999999995E-2</v>
      </c>
      <c r="J18">
        <f t="shared" si="8"/>
        <v>352</v>
      </c>
      <c r="K18" s="1760">
        <f t="shared" si="9"/>
        <v>12452.4842169863</v>
      </c>
      <c r="L18" s="1760">
        <f t="shared" si="10"/>
        <v>191534.51578301369</v>
      </c>
      <c r="M18"/>
      <c r="O18" t="str">
        <f t="shared" si="11"/>
        <v>less than 180 Days</v>
      </c>
    </row>
    <row r="19" spans="3:15">
      <c r="C19" t="s">
        <v>4055</v>
      </c>
      <c r="D19" s="218">
        <v>44666</v>
      </c>
      <c r="E19" s="1760">
        <v>455313</v>
      </c>
      <c r="F19">
        <v>15</v>
      </c>
      <c r="G19" s="1760">
        <f t="shared" si="6"/>
        <v>22765.65</v>
      </c>
      <c r="H19" s="1760">
        <f t="shared" si="7"/>
        <v>432547.35</v>
      </c>
      <c r="I19" s="1852">
        <v>6.3299999999999995E-2</v>
      </c>
      <c r="J19">
        <f t="shared" si="8"/>
        <v>350</v>
      </c>
      <c r="K19" s="1760">
        <f t="shared" si="9"/>
        <v>27636.875383561641</v>
      </c>
      <c r="L19" s="1760">
        <f t="shared" si="10"/>
        <v>427676.12461643835</v>
      </c>
      <c r="M19"/>
      <c r="O19" t="str">
        <f t="shared" si="11"/>
        <v>less than 180 Days</v>
      </c>
    </row>
    <row r="20" spans="3:15">
      <c r="C20" t="s">
        <v>4056</v>
      </c>
      <c r="D20" s="218">
        <v>44666</v>
      </c>
      <c r="E20" s="1760">
        <v>2187697</v>
      </c>
      <c r="F20">
        <v>15</v>
      </c>
      <c r="G20" s="1760">
        <f t="shared" si="6"/>
        <v>109384.85</v>
      </c>
      <c r="H20" s="1760">
        <f t="shared" si="7"/>
        <v>2078312.15</v>
      </c>
      <c r="I20" s="1852">
        <v>6.3299999999999995E-2</v>
      </c>
      <c r="J20">
        <f t="shared" si="8"/>
        <v>350</v>
      </c>
      <c r="K20" s="1760">
        <f t="shared" si="9"/>
        <v>132790.21105479449</v>
      </c>
      <c r="L20" s="1760">
        <f t="shared" si="10"/>
        <v>2054906.7889452055</v>
      </c>
      <c r="M20"/>
      <c r="O20" t="str">
        <f t="shared" si="11"/>
        <v>less than 180 Days</v>
      </c>
    </row>
    <row r="21" spans="3:15">
      <c r="C21" t="s">
        <v>4057</v>
      </c>
      <c r="D21" s="218">
        <v>44669</v>
      </c>
      <c r="E21" s="1760">
        <v>208215</v>
      </c>
      <c r="F21">
        <v>15</v>
      </c>
      <c r="G21" s="1760">
        <f t="shared" si="6"/>
        <v>10410.75</v>
      </c>
      <c r="H21" s="1760">
        <f t="shared" si="7"/>
        <v>197804.25</v>
      </c>
      <c r="I21" s="1852">
        <v>6.3299999999999995E-2</v>
      </c>
      <c r="J21">
        <f t="shared" si="8"/>
        <v>347</v>
      </c>
      <c r="K21" s="1760">
        <f t="shared" si="9"/>
        <v>12530.036428767122</v>
      </c>
      <c r="L21" s="1760">
        <f t="shared" si="10"/>
        <v>195684.96357123289</v>
      </c>
      <c r="M21"/>
      <c r="O21" t="str">
        <f t="shared" si="11"/>
        <v>less than 180 Days</v>
      </c>
    </row>
    <row r="22" spans="3:15">
      <c r="C22" t="s">
        <v>4058</v>
      </c>
      <c r="D22" s="218">
        <v>44672</v>
      </c>
      <c r="E22" s="1760">
        <v>1433989</v>
      </c>
      <c r="F22">
        <v>15</v>
      </c>
      <c r="G22" s="1760">
        <f t="shared" si="6"/>
        <v>71699.45</v>
      </c>
      <c r="H22" s="1760">
        <f t="shared" si="7"/>
        <v>1362289.55</v>
      </c>
      <c r="I22" s="1852">
        <v>6.3299999999999995E-2</v>
      </c>
      <c r="J22">
        <f t="shared" si="8"/>
        <v>344</v>
      </c>
      <c r="K22" s="1760">
        <f t="shared" si="9"/>
        <v>85549.033624109579</v>
      </c>
      <c r="L22" s="1760">
        <f t="shared" si="10"/>
        <v>1348439.9663758904</v>
      </c>
      <c r="M22"/>
      <c r="O22" t="str">
        <f t="shared" si="11"/>
        <v>less than 180 Days</v>
      </c>
    </row>
    <row r="23" spans="3:15">
      <c r="C23" t="s">
        <v>4059</v>
      </c>
      <c r="D23" s="218">
        <v>44672</v>
      </c>
      <c r="E23" s="1760">
        <v>283354</v>
      </c>
      <c r="F23">
        <v>15</v>
      </c>
      <c r="G23" s="1760">
        <f t="shared" si="6"/>
        <v>14167.7</v>
      </c>
      <c r="H23" s="1760">
        <f t="shared" si="7"/>
        <v>269186.3</v>
      </c>
      <c r="I23" s="1852">
        <v>6.3299999999999995E-2</v>
      </c>
      <c r="J23">
        <f t="shared" si="8"/>
        <v>344</v>
      </c>
      <c r="K23" s="1760">
        <f t="shared" si="9"/>
        <v>16904.356221369864</v>
      </c>
      <c r="L23" s="1760">
        <f t="shared" si="10"/>
        <v>266449.64377863012</v>
      </c>
      <c r="M23"/>
      <c r="O23" t="str">
        <f t="shared" si="11"/>
        <v>less than 180 Days</v>
      </c>
    </row>
    <row r="24" spans="3:15">
      <c r="C24" t="s">
        <v>4060</v>
      </c>
      <c r="D24" s="218">
        <v>44673</v>
      </c>
      <c r="E24" s="1760">
        <v>79650</v>
      </c>
      <c r="F24">
        <v>15</v>
      </c>
      <c r="G24" s="1760">
        <f t="shared" si="6"/>
        <v>3982.5</v>
      </c>
      <c r="H24" s="1760">
        <f t="shared" si="7"/>
        <v>75667.5</v>
      </c>
      <c r="I24" s="1852">
        <v>6.3299999999999995E-2</v>
      </c>
      <c r="J24">
        <f t="shared" si="8"/>
        <v>343</v>
      </c>
      <c r="K24" s="1760">
        <f t="shared" si="9"/>
        <v>4737.9529726027386</v>
      </c>
      <c r="L24" s="1760">
        <f t="shared" si="10"/>
        <v>74912.047027397261</v>
      </c>
      <c r="M24"/>
      <c r="O24" t="str">
        <f t="shared" si="11"/>
        <v>less than 180 Days</v>
      </c>
    </row>
    <row r="25" spans="3:15">
      <c r="C25" t="s">
        <v>4061</v>
      </c>
      <c r="D25" s="218">
        <v>44674</v>
      </c>
      <c r="E25" s="1760">
        <v>194700</v>
      </c>
      <c r="F25">
        <v>15</v>
      </c>
      <c r="G25" s="1760">
        <f t="shared" si="6"/>
        <v>9735</v>
      </c>
      <c r="H25" s="1760">
        <f t="shared" si="7"/>
        <v>184965</v>
      </c>
      <c r="I25" s="1852">
        <v>6.3299999999999995E-2</v>
      </c>
      <c r="J25">
        <f t="shared" si="8"/>
        <v>342</v>
      </c>
      <c r="K25" s="1760">
        <f t="shared" si="9"/>
        <v>11547.897041095888</v>
      </c>
      <c r="L25" s="1760">
        <f t="shared" si="10"/>
        <v>183152.10295890411</v>
      </c>
      <c r="M25"/>
      <c r="O25" t="str">
        <f t="shared" si="11"/>
        <v>less than 180 Days</v>
      </c>
    </row>
    <row r="26" spans="3:15">
      <c r="C26" t="s">
        <v>4062</v>
      </c>
      <c r="D26" s="218">
        <v>44680</v>
      </c>
      <c r="E26" s="1760">
        <v>3300</v>
      </c>
      <c r="F26">
        <v>15</v>
      </c>
      <c r="G26" s="1760">
        <f t="shared" si="6"/>
        <v>165</v>
      </c>
      <c r="H26" s="1760">
        <f t="shared" si="7"/>
        <v>3135</v>
      </c>
      <c r="I26" s="1852">
        <v>6.3299999999999995E-2</v>
      </c>
      <c r="J26">
        <f t="shared" si="8"/>
        <v>336</v>
      </c>
      <c r="K26" s="1760">
        <f t="shared" si="9"/>
        <v>192.29326027397258</v>
      </c>
      <c r="L26" s="1760">
        <f t="shared" si="10"/>
        <v>3107.7067397260275</v>
      </c>
      <c r="M26"/>
      <c r="O26" t="str">
        <f t="shared" si="11"/>
        <v>less than 180 Days</v>
      </c>
    </row>
    <row r="27" spans="3:15">
      <c r="C27" t="s">
        <v>4063</v>
      </c>
      <c r="D27" s="218">
        <v>44680</v>
      </c>
      <c r="E27" s="1760">
        <v>61600</v>
      </c>
      <c r="F27">
        <v>15</v>
      </c>
      <c r="G27" s="1760">
        <f t="shared" si="6"/>
        <v>3080</v>
      </c>
      <c r="H27" s="1760">
        <f t="shared" si="7"/>
        <v>58520</v>
      </c>
      <c r="I27" s="1852">
        <v>6.3299999999999995E-2</v>
      </c>
      <c r="J27">
        <f t="shared" si="8"/>
        <v>336</v>
      </c>
      <c r="K27" s="1760">
        <f t="shared" si="9"/>
        <v>3589.4741917808215</v>
      </c>
      <c r="L27" s="1760">
        <f t="shared" si="10"/>
        <v>58010.525808219179</v>
      </c>
      <c r="M27"/>
      <c r="O27" t="str">
        <f t="shared" si="11"/>
        <v>less than 180 Days</v>
      </c>
    </row>
    <row r="28" spans="3:15">
      <c r="C28" t="s">
        <v>4064</v>
      </c>
      <c r="D28" s="218">
        <v>44681</v>
      </c>
      <c r="E28" s="1760">
        <v>192340</v>
      </c>
      <c r="F28">
        <v>15</v>
      </c>
      <c r="G28" s="1760">
        <f t="shared" si="6"/>
        <v>9617</v>
      </c>
      <c r="H28" s="1760">
        <f t="shared" si="7"/>
        <v>182723</v>
      </c>
      <c r="I28" s="1852">
        <v>6.3299999999999995E-2</v>
      </c>
      <c r="J28">
        <f t="shared" si="8"/>
        <v>335</v>
      </c>
      <c r="K28" s="1760">
        <f t="shared" si="9"/>
        <v>11174.427041095889</v>
      </c>
      <c r="L28" s="1760">
        <f t="shared" si="10"/>
        <v>181165.57295890411</v>
      </c>
      <c r="M28"/>
      <c r="O28" t="str">
        <f t="shared" si="11"/>
        <v>less than 180 Days</v>
      </c>
    </row>
    <row r="29" spans="3:15">
      <c r="C29" t="s">
        <v>4065</v>
      </c>
      <c r="D29" s="218">
        <v>44687</v>
      </c>
      <c r="E29" s="1760">
        <v>120930</v>
      </c>
      <c r="F29">
        <v>15</v>
      </c>
      <c r="G29" s="1760">
        <f t="shared" si="6"/>
        <v>6046.5</v>
      </c>
      <c r="H29" s="1760">
        <f t="shared" si="7"/>
        <v>114883.5</v>
      </c>
      <c r="I29" s="1852">
        <v>6.3299999999999995E-2</v>
      </c>
      <c r="J29">
        <f t="shared" si="8"/>
        <v>329</v>
      </c>
      <c r="K29" s="1760">
        <f t="shared" si="9"/>
        <v>6899.8682219178081</v>
      </c>
      <c r="L29" s="1760">
        <f t="shared" si="10"/>
        <v>114030.1317780822</v>
      </c>
      <c r="M29"/>
      <c r="O29" t="str">
        <f t="shared" si="11"/>
        <v>less than 180 Days</v>
      </c>
    </row>
    <row r="30" spans="3:15">
      <c r="C30" t="s">
        <v>4066</v>
      </c>
      <c r="D30" s="218">
        <v>44688</v>
      </c>
      <c r="E30" s="1760">
        <v>213934</v>
      </c>
      <c r="F30">
        <v>15</v>
      </c>
      <c r="G30" s="1760">
        <f t="shared" si="6"/>
        <v>10696.7</v>
      </c>
      <c r="H30" s="1760">
        <f t="shared" si="7"/>
        <v>203237.3</v>
      </c>
      <c r="I30" s="1852">
        <v>6.3299999999999995E-2</v>
      </c>
      <c r="J30">
        <f t="shared" si="8"/>
        <v>328</v>
      </c>
      <c r="K30" s="1760">
        <f t="shared" si="9"/>
        <v>12169.269264657532</v>
      </c>
      <c r="L30" s="1760">
        <f t="shared" si="10"/>
        <v>201764.73073534245</v>
      </c>
      <c r="M30"/>
      <c r="O30" t="str">
        <f t="shared" si="11"/>
        <v>less than 180 Days</v>
      </c>
    </row>
    <row r="31" spans="3:15">
      <c r="C31" t="s">
        <v>4067</v>
      </c>
      <c r="D31" s="218">
        <v>44690</v>
      </c>
      <c r="E31" s="1760">
        <v>24800</v>
      </c>
      <c r="F31">
        <v>15</v>
      </c>
      <c r="G31" s="1760">
        <f t="shared" si="6"/>
        <v>1240</v>
      </c>
      <c r="H31" s="1760">
        <f t="shared" si="7"/>
        <v>23560</v>
      </c>
      <c r="I31" s="1852">
        <v>6.3299999999999995E-2</v>
      </c>
      <c r="J31">
        <f t="shared" si="8"/>
        <v>326</v>
      </c>
      <c r="K31" s="1760">
        <f t="shared" si="9"/>
        <v>1402.1036712328766</v>
      </c>
      <c r="L31" s="1760">
        <f t="shared" si="10"/>
        <v>23397.896328767125</v>
      </c>
      <c r="M31"/>
      <c r="O31" t="str">
        <f t="shared" si="11"/>
        <v>less than 180 Days</v>
      </c>
    </row>
    <row r="32" spans="3:15">
      <c r="C32" t="s">
        <v>4068</v>
      </c>
      <c r="D32" s="218">
        <v>44690</v>
      </c>
      <c r="E32" s="1760">
        <v>3280</v>
      </c>
      <c r="F32">
        <v>15</v>
      </c>
      <c r="G32" s="1760">
        <f t="shared" si="6"/>
        <v>164</v>
      </c>
      <c r="H32" s="1760">
        <f t="shared" si="7"/>
        <v>3116</v>
      </c>
      <c r="I32" s="1852">
        <v>6.3299999999999995E-2</v>
      </c>
      <c r="J32">
        <f t="shared" si="8"/>
        <v>326</v>
      </c>
      <c r="K32" s="1760">
        <f t="shared" si="9"/>
        <v>185.43951780821916</v>
      </c>
      <c r="L32" s="1760">
        <f t="shared" si="10"/>
        <v>3094.5604821917809</v>
      </c>
      <c r="M32"/>
      <c r="O32" t="str">
        <f t="shared" si="11"/>
        <v>less than 180 Days</v>
      </c>
    </row>
    <row r="33" spans="3:15">
      <c r="C33" t="s">
        <v>4069</v>
      </c>
      <c r="D33" s="218">
        <v>44691</v>
      </c>
      <c r="E33" s="1760">
        <v>113300</v>
      </c>
      <c r="F33">
        <v>15</v>
      </c>
      <c r="G33" s="1760">
        <f t="shared" si="6"/>
        <v>5665</v>
      </c>
      <c r="H33" s="1760">
        <f t="shared" si="7"/>
        <v>107635</v>
      </c>
      <c r="I33" s="1852">
        <v>6.3299999999999995E-2</v>
      </c>
      <c r="J33">
        <f t="shared" si="8"/>
        <v>325</v>
      </c>
      <c r="K33" s="1760">
        <f t="shared" si="9"/>
        <v>6385.9294520547946</v>
      </c>
      <c r="L33" s="1760">
        <f t="shared" si="10"/>
        <v>106914.0705479452</v>
      </c>
      <c r="M33"/>
      <c r="O33" t="str">
        <f t="shared" si="11"/>
        <v>less than 180 Days</v>
      </c>
    </row>
    <row r="34" spans="3:15">
      <c r="C34" t="s">
        <v>4070</v>
      </c>
      <c r="D34" s="218">
        <v>44692</v>
      </c>
      <c r="E34" s="1760">
        <v>6800</v>
      </c>
      <c r="F34">
        <v>15</v>
      </c>
      <c r="G34" s="1760">
        <f t="shared" si="6"/>
        <v>340</v>
      </c>
      <c r="H34" s="1760">
        <f t="shared" si="7"/>
        <v>6460</v>
      </c>
      <c r="I34" s="1852">
        <v>6.3299999999999995E-2</v>
      </c>
      <c r="J34">
        <f t="shared" si="8"/>
        <v>324</v>
      </c>
      <c r="K34" s="1760">
        <f t="shared" si="9"/>
        <v>382.08920547945195</v>
      </c>
      <c r="L34" s="1760">
        <f t="shared" si="10"/>
        <v>6417.9107945205478</v>
      </c>
      <c r="M34"/>
      <c r="O34" t="str">
        <f t="shared" si="11"/>
        <v>less than 180 Days</v>
      </c>
    </row>
    <row r="35" spans="3:15">
      <c r="C35" t="s">
        <v>4071</v>
      </c>
      <c r="D35" s="218">
        <v>44696</v>
      </c>
      <c r="E35" s="1760">
        <v>113300</v>
      </c>
      <c r="F35">
        <v>15</v>
      </c>
      <c r="G35" s="1760">
        <f t="shared" si="6"/>
        <v>5665</v>
      </c>
      <c r="H35" s="1760">
        <f t="shared" si="7"/>
        <v>107635</v>
      </c>
      <c r="I35" s="1852">
        <v>6.3299999999999995E-2</v>
      </c>
      <c r="J35">
        <f t="shared" si="8"/>
        <v>320</v>
      </c>
      <c r="K35" s="1760">
        <f t="shared" si="9"/>
        <v>6287.6843835616437</v>
      </c>
      <c r="L35" s="1760">
        <f t="shared" si="10"/>
        <v>107012.31561643835</v>
      </c>
      <c r="M35"/>
      <c r="O35" t="str">
        <f t="shared" si="11"/>
        <v>less than 180 Days</v>
      </c>
    </row>
    <row r="36" spans="3:15">
      <c r="C36" t="s">
        <v>4072</v>
      </c>
      <c r="D36" s="218">
        <v>44699</v>
      </c>
      <c r="E36" s="1760">
        <v>310552</v>
      </c>
      <c r="F36">
        <v>15</v>
      </c>
      <c r="G36" s="1760">
        <f t="shared" si="6"/>
        <v>15527.6</v>
      </c>
      <c r="H36" s="1760">
        <f t="shared" si="7"/>
        <v>295024.40000000002</v>
      </c>
      <c r="I36" s="1852">
        <v>6.3299999999999995E-2</v>
      </c>
      <c r="J36">
        <f t="shared" si="8"/>
        <v>317</v>
      </c>
      <c r="K36" s="1760">
        <f t="shared" si="9"/>
        <v>17072.787636164383</v>
      </c>
      <c r="L36" s="1760">
        <f t="shared" si="10"/>
        <v>293479.2123638356</v>
      </c>
      <c r="M36"/>
      <c r="O36" t="str">
        <f t="shared" si="11"/>
        <v>less than 180 Days</v>
      </c>
    </row>
    <row r="37" spans="3:15">
      <c r="C37" t="s">
        <v>4073</v>
      </c>
      <c r="D37" s="218">
        <v>44701</v>
      </c>
      <c r="E37" s="1760">
        <v>54912</v>
      </c>
      <c r="F37">
        <v>15</v>
      </c>
      <c r="G37" s="1760">
        <f t="shared" si="6"/>
        <v>2745.6000000000004</v>
      </c>
      <c r="H37" s="1760">
        <f t="shared" si="7"/>
        <v>52166.400000000001</v>
      </c>
      <c r="I37" s="1852">
        <v>6.3299999999999995E-2</v>
      </c>
      <c r="J37">
        <f t="shared" si="8"/>
        <v>315</v>
      </c>
      <c r="K37" s="1760">
        <f t="shared" si="9"/>
        <v>2999.7748602739725</v>
      </c>
      <c r="L37" s="1760">
        <f t="shared" si="10"/>
        <v>51912.225139726026</v>
      </c>
      <c r="M37"/>
      <c r="O37" t="str">
        <f t="shared" si="11"/>
        <v>less than 180 Days</v>
      </c>
    </row>
    <row r="38" spans="3:15">
      <c r="C38" t="s">
        <v>4074</v>
      </c>
      <c r="D38" s="218">
        <v>44706</v>
      </c>
      <c r="E38" s="1760">
        <v>291202</v>
      </c>
      <c r="F38">
        <v>15</v>
      </c>
      <c r="G38" s="1760">
        <f t="shared" si="6"/>
        <v>14560.1</v>
      </c>
      <c r="H38" s="1760">
        <f t="shared" si="7"/>
        <v>276641.90000000002</v>
      </c>
      <c r="I38" s="1852">
        <v>6.3299999999999995E-2</v>
      </c>
      <c r="J38">
        <f t="shared" si="8"/>
        <v>310</v>
      </c>
      <c r="K38" s="1760">
        <f t="shared" si="9"/>
        <v>15655.498208219178</v>
      </c>
      <c r="L38" s="1760">
        <f t="shared" si="10"/>
        <v>275546.50179178081</v>
      </c>
      <c r="M38"/>
      <c r="O38" t="str">
        <f t="shared" si="11"/>
        <v>less than 180 Days</v>
      </c>
    </row>
    <row r="39" spans="3:15">
      <c r="C39" t="s">
        <v>4075</v>
      </c>
      <c r="D39" s="218">
        <v>44715</v>
      </c>
      <c r="E39" s="1760">
        <v>69550</v>
      </c>
      <c r="F39">
        <v>15</v>
      </c>
      <c r="G39" s="1760">
        <f t="shared" si="6"/>
        <v>3477.5</v>
      </c>
      <c r="H39" s="1760">
        <f t="shared" si="7"/>
        <v>66072.5</v>
      </c>
      <c r="I39" s="1852">
        <v>6.3299999999999995E-2</v>
      </c>
      <c r="J39">
        <f t="shared" si="8"/>
        <v>301</v>
      </c>
      <c r="K39" s="1760">
        <f t="shared" si="9"/>
        <v>3630.5671643835612</v>
      </c>
      <c r="L39" s="1760">
        <f t="shared" si="10"/>
        <v>65919.432835616433</v>
      </c>
      <c r="M39"/>
      <c r="O39" t="str">
        <f t="shared" si="11"/>
        <v>less than 180 Days</v>
      </c>
    </row>
    <row r="40" spans="3:15">
      <c r="C40" t="s">
        <v>4076</v>
      </c>
      <c r="D40" s="218">
        <v>44725</v>
      </c>
      <c r="E40" s="1760">
        <v>247800</v>
      </c>
      <c r="F40">
        <v>15</v>
      </c>
      <c r="G40" s="1760">
        <f t="shared" si="6"/>
        <v>12390</v>
      </c>
      <c r="H40" s="1760">
        <f t="shared" si="7"/>
        <v>235410</v>
      </c>
      <c r="I40" s="1852">
        <v>6.3299999999999995E-2</v>
      </c>
      <c r="J40">
        <f t="shared" si="8"/>
        <v>291</v>
      </c>
      <c r="K40" s="1760">
        <f t="shared" si="9"/>
        <v>12505.617369863014</v>
      </c>
      <c r="L40" s="1760">
        <f t="shared" si="10"/>
        <v>235294.382630137</v>
      </c>
      <c r="M40"/>
      <c r="O40" t="str">
        <f t="shared" si="11"/>
        <v>less than 180 Days</v>
      </c>
    </row>
    <row r="41" spans="3:15">
      <c r="C41" t="s">
        <v>4077</v>
      </c>
      <c r="D41" s="218">
        <v>44728</v>
      </c>
      <c r="E41" s="1760">
        <v>118450</v>
      </c>
      <c r="F41">
        <v>15</v>
      </c>
      <c r="G41" s="1760">
        <f t="shared" ref="G41:G104" si="12">E41*5%</f>
        <v>5922.5</v>
      </c>
      <c r="H41" s="1760">
        <f t="shared" ref="H41:H104" si="13">E41-G41</f>
        <v>112527.5</v>
      </c>
      <c r="I41" s="1852">
        <v>6.3299999999999995E-2</v>
      </c>
      <c r="J41">
        <f t="shared" si="8"/>
        <v>288</v>
      </c>
      <c r="K41" s="1760">
        <f t="shared" ref="K41:K104" si="14">E41*I41*J41/365</f>
        <v>5916.1393972602737</v>
      </c>
      <c r="L41" s="1760">
        <f t="shared" ref="L41:L104" si="15">E41-K41</f>
        <v>112533.86060273973</v>
      </c>
      <c r="M41"/>
      <c r="O41" t="str">
        <f t="shared" si="11"/>
        <v>less than 180 Days</v>
      </c>
    </row>
    <row r="42" spans="3:15">
      <c r="C42" t="s">
        <v>4078</v>
      </c>
      <c r="D42" s="218">
        <v>44732</v>
      </c>
      <c r="E42" s="1760">
        <v>119558</v>
      </c>
      <c r="F42">
        <v>15</v>
      </c>
      <c r="G42" s="1760">
        <f t="shared" si="12"/>
        <v>5977.9000000000005</v>
      </c>
      <c r="H42" s="1760">
        <f t="shared" si="13"/>
        <v>113580.1</v>
      </c>
      <c r="I42" s="1852">
        <v>6.3299999999999995E-2</v>
      </c>
      <c r="J42">
        <f t="shared" si="8"/>
        <v>284</v>
      </c>
      <c r="K42" s="1760">
        <f t="shared" si="14"/>
        <v>5888.5426783561643</v>
      </c>
      <c r="L42" s="1760">
        <f t="shared" si="15"/>
        <v>113669.45732164383</v>
      </c>
      <c r="M42"/>
      <c r="O42" t="str">
        <f t="shared" si="11"/>
        <v>less than 180 Days</v>
      </c>
    </row>
    <row r="43" spans="3:15">
      <c r="C43" t="s">
        <v>4079</v>
      </c>
      <c r="D43" s="218">
        <v>44733</v>
      </c>
      <c r="E43" s="1760">
        <v>256131</v>
      </c>
      <c r="F43">
        <v>15</v>
      </c>
      <c r="G43" s="1760">
        <f t="shared" si="12"/>
        <v>12806.550000000001</v>
      </c>
      <c r="H43" s="1760">
        <f t="shared" si="13"/>
        <v>243324.45</v>
      </c>
      <c r="I43" s="1852">
        <v>6.3299999999999995E-2</v>
      </c>
      <c r="J43">
        <f t="shared" si="8"/>
        <v>283</v>
      </c>
      <c r="K43" s="1760">
        <f t="shared" si="14"/>
        <v>12570.698961369862</v>
      </c>
      <c r="L43" s="1760">
        <f t="shared" si="15"/>
        <v>243560.30103863013</v>
      </c>
      <c r="M43"/>
      <c r="O43" t="str">
        <f t="shared" si="11"/>
        <v>less than 180 Days</v>
      </c>
    </row>
    <row r="44" spans="3:15">
      <c r="C44" t="s">
        <v>4080</v>
      </c>
      <c r="D44" s="218">
        <v>44733</v>
      </c>
      <c r="E44" s="1760">
        <v>277287</v>
      </c>
      <c r="F44">
        <v>15</v>
      </c>
      <c r="G44" s="1760">
        <f t="shared" si="12"/>
        <v>13864.35</v>
      </c>
      <c r="H44" s="1760">
        <f t="shared" si="13"/>
        <v>263422.65000000002</v>
      </c>
      <c r="I44" s="1852">
        <v>6.3299999999999995E-2</v>
      </c>
      <c r="J44">
        <f t="shared" si="8"/>
        <v>283</v>
      </c>
      <c r="K44" s="1760">
        <f t="shared" si="14"/>
        <v>13609.01805287671</v>
      </c>
      <c r="L44" s="1760">
        <f t="shared" si="15"/>
        <v>263677.98194712331</v>
      </c>
      <c r="M44"/>
      <c r="O44" t="str">
        <f t="shared" si="11"/>
        <v>less than 180 Days</v>
      </c>
    </row>
    <row r="45" spans="3:15">
      <c r="C45" t="s">
        <v>4081</v>
      </c>
      <c r="D45" s="218">
        <v>44734</v>
      </c>
      <c r="E45" s="1760">
        <v>22330</v>
      </c>
      <c r="F45">
        <v>15</v>
      </c>
      <c r="G45" s="1760">
        <f t="shared" si="12"/>
        <v>1116.5</v>
      </c>
      <c r="H45" s="1760">
        <f t="shared" si="13"/>
        <v>21213.5</v>
      </c>
      <c r="I45" s="1852">
        <v>6.3299999999999995E-2</v>
      </c>
      <c r="J45">
        <f t="shared" si="8"/>
        <v>282</v>
      </c>
      <c r="K45" s="1760">
        <f t="shared" si="14"/>
        <v>1092.0654739726026</v>
      </c>
      <c r="L45" s="1760">
        <f t="shared" si="15"/>
        <v>21237.934526027399</v>
      </c>
      <c r="M45"/>
      <c r="O45" t="str">
        <f t="shared" si="11"/>
        <v>less than 180 Days</v>
      </c>
    </row>
    <row r="46" spans="3:15">
      <c r="C46" t="s">
        <v>4082</v>
      </c>
      <c r="D46" s="218">
        <v>44742</v>
      </c>
      <c r="E46" s="1760">
        <v>14250</v>
      </c>
      <c r="F46">
        <v>15</v>
      </c>
      <c r="G46" s="1760">
        <f t="shared" si="12"/>
        <v>712.5</v>
      </c>
      <c r="H46" s="1760">
        <f t="shared" si="13"/>
        <v>13537.5</v>
      </c>
      <c r="I46" s="1852">
        <v>6.3299999999999995E-2</v>
      </c>
      <c r="J46">
        <f t="shared" si="8"/>
        <v>274</v>
      </c>
      <c r="K46" s="1760">
        <f t="shared" si="14"/>
        <v>677.13657534246579</v>
      </c>
      <c r="L46" s="1760">
        <f t="shared" si="15"/>
        <v>13572.863424657535</v>
      </c>
      <c r="M46"/>
      <c r="O46" t="str">
        <f t="shared" si="11"/>
        <v>less than 180 Days</v>
      </c>
    </row>
    <row r="47" spans="3:15">
      <c r="C47" t="s">
        <v>4083</v>
      </c>
      <c r="D47" s="218">
        <v>44756</v>
      </c>
      <c r="E47" s="1760">
        <v>97350</v>
      </c>
      <c r="F47">
        <v>15</v>
      </c>
      <c r="G47" s="1760">
        <f t="shared" si="12"/>
        <v>4867.5</v>
      </c>
      <c r="H47" s="1760">
        <f t="shared" si="13"/>
        <v>92482.5</v>
      </c>
      <c r="I47" s="1852">
        <v>6.3299999999999995E-2</v>
      </c>
      <c r="J47">
        <f t="shared" si="8"/>
        <v>260</v>
      </c>
      <c r="K47" s="1760">
        <f t="shared" si="14"/>
        <v>4389.5515068493141</v>
      </c>
      <c r="L47" s="1760">
        <f t="shared" si="15"/>
        <v>92960.448493150689</v>
      </c>
      <c r="M47"/>
      <c r="O47" t="str">
        <f t="shared" si="11"/>
        <v>less than 180 Days</v>
      </c>
    </row>
    <row r="48" spans="3:15">
      <c r="C48" t="s">
        <v>4084</v>
      </c>
      <c r="D48" s="218">
        <v>44756</v>
      </c>
      <c r="E48" s="1760">
        <v>52440</v>
      </c>
      <c r="F48">
        <v>15</v>
      </c>
      <c r="G48" s="1760">
        <f t="shared" si="12"/>
        <v>2622</v>
      </c>
      <c r="H48" s="1760">
        <f t="shared" si="13"/>
        <v>49818</v>
      </c>
      <c r="I48" s="1852">
        <v>6.3299999999999995E-2</v>
      </c>
      <c r="J48">
        <f t="shared" si="8"/>
        <v>260</v>
      </c>
      <c r="K48" s="1760">
        <f t="shared" si="14"/>
        <v>2364.5411506849314</v>
      </c>
      <c r="L48" s="1760">
        <f t="shared" si="15"/>
        <v>50075.458849315066</v>
      </c>
      <c r="M48"/>
      <c r="O48" t="str">
        <f t="shared" si="11"/>
        <v>less than 180 Days</v>
      </c>
    </row>
    <row r="49" spans="3:15">
      <c r="C49" t="s">
        <v>4085</v>
      </c>
      <c r="D49" s="218">
        <v>44756</v>
      </c>
      <c r="E49" s="1760">
        <v>16800</v>
      </c>
      <c r="F49">
        <v>15</v>
      </c>
      <c r="G49" s="1760">
        <f t="shared" si="12"/>
        <v>840</v>
      </c>
      <c r="H49" s="1760">
        <f t="shared" si="13"/>
        <v>15960</v>
      </c>
      <c r="I49" s="1852">
        <v>6.3299999999999995E-2</v>
      </c>
      <c r="J49">
        <f t="shared" si="8"/>
        <v>260</v>
      </c>
      <c r="K49" s="1760">
        <f t="shared" si="14"/>
        <v>757.5189041095889</v>
      </c>
      <c r="L49" s="1760">
        <f t="shared" si="15"/>
        <v>16042.481095890411</v>
      </c>
      <c r="M49"/>
      <c r="O49" t="str">
        <f t="shared" si="11"/>
        <v>less than 180 Days</v>
      </c>
    </row>
    <row r="50" spans="3:15">
      <c r="C50" t="s">
        <v>4086</v>
      </c>
      <c r="D50" s="218">
        <v>44757</v>
      </c>
      <c r="E50" s="1760">
        <v>592811</v>
      </c>
      <c r="F50">
        <v>15</v>
      </c>
      <c r="G50" s="1760">
        <f t="shared" si="12"/>
        <v>29640.550000000003</v>
      </c>
      <c r="H50" s="1760">
        <f t="shared" si="13"/>
        <v>563170.44999999995</v>
      </c>
      <c r="I50" s="1852">
        <v>6.3299999999999995E-2</v>
      </c>
      <c r="J50">
        <f t="shared" si="8"/>
        <v>259</v>
      </c>
      <c r="K50" s="1760">
        <f t="shared" si="14"/>
        <v>26627.283566301368</v>
      </c>
      <c r="L50" s="1760">
        <f t="shared" si="15"/>
        <v>566183.71643369866</v>
      </c>
      <c r="M50"/>
      <c r="O50" t="str">
        <f t="shared" si="11"/>
        <v>less than 180 Days</v>
      </c>
    </row>
    <row r="51" spans="3:15">
      <c r="C51" t="s">
        <v>4087</v>
      </c>
      <c r="D51" s="218">
        <v>44758</v>
      </c>
      <c r="E51" s="1760">
        <v>194523</v>
      </c>
      <c r="F51">
        <v>15</v>
      </c>
      <c r="G51" s="1760">
        <f t="shared" si="12"/>
        <v>9726.15</v>
      </c>
      <c r="H51" s="1760">
        <f t="shared" si="13"/>
        <v>184796.85</v>
      </c>
      <c r="I51" s="1852">
        <v>6.3299999999999995E-2</v>
      </c>
      <c r="J51">
        <f t="shared" si="8"/>
        <v>258</v>
      </c>
      <c r="K51" s="1760">
        <f t="shared" si="14"/>
        <v>8703.6518416438357</v>
      </c>
      <c r="L51" s="1760">
        <f t="shared" si="15"/>
        <v>185819.34815835615</v>
      </c>
      <c r="M51"/>
      <c r="O51" t="str">
        <f t="shared" si="11"/>
        <v>less than 180 Days</v>
      </c>
    </row>
    <row r="52" spans="3:15">
      <c r="C52" t="s">
        <v>4088</v>
      </c>
      <c r="D52" s="218">
        <v>44761</v>
      </c>
      <c r="E52" s="1760">
        <v>1270754</v>
      </c>
      <c r="F52">
        <v>15</v>
      </c>
      <c r="G52" s="1760">
        <f t="shared" si="12"/>
        <v>63537.700000000004</v>
      </c>
      <c r="H52" s="1760">
        <f t="shared" si="13"/>
        <v>1207216.3</v>
      </c>
      <c r="I52" s="1852">
        <v>6.3299999999999995E-2</v>
      </c>
      <c r="J52">
        <f t="shared" si="8"/>
        <v>255</v>
      </c>
      <c r="K52" s="1760">
        <f t="shared" si="14"/>
        <v>56196.919701369865</v>
      </c>
      <c r="L52" s="1760">
        <f t="shared" si="15"/>
        <v>1214557.0802986301</v>
      </c>
      <c r="M52"/>
      <c r="O52" t="str">
        <f t="shared" si="11"/>
        <v>less than 180 Days</v>
      </c>
    </row>
    <row r="53" spans="3:15">
      <c r="C53" t="s">
        <v>4089</v>
      </c>
      <c r="D53" s="218">
        <v>44761</v>
      </c>
      <c r="E53" s="1760">
        <v>1366505</v>
      </c>
      <c r="F53">
        <v>15</v>
      </c>
      <c r="G53" s="1760">
        <f t="shared" si="12"/>
        <v>68325.25</v>
      </c>
      <c r="H53" s="1760">
        <f t="shared" si="13"/>
        <v>1298179.75</v>
      </c>
      <c r="I53" s="1852">
        <v>6.3299999999999995E-2</v>
      </c>
      <c r="J53">
        <f t="shared" si="8"/>
        <v>255</v>
      </c>
      <c r="K53" s="1760">
        <f t="shared" si="14"/>
        <v>60431.343719178083</v>
      </c>
      <c r="L53" s="1760">
        <f t="shared" si="15"/>
        <v>1306073.6562808219</v>
      </c>
      <c r="M53"/>
      <c r="O53" t="str">
        <f t="shared" si="11"/>
        <v>less than 180 Days</v>
      </c>
    </row>
    <row r="54" spans="3:15">
      <c r="C54" t="s">
        <v>4090</v>
      </c>
      <c r="D54" s="218">
        <v>44762</v>
      </c>
      <c r="E54" s="1760">
        <v>1031472</v>
      </c>
      <c r="F54">
        <v>15</v>
      </c>
      <c r="G54" s="1760">
        <f t="shared" si="12"/>
        <v>51573.600000000006</v>
      </c>
      <c r="H54" s="1760">
        <f t="shared" si="13"/>
        <v>979898.4</v>
      </c>
      <c r="I54" s="1852">
        <v>6.3299999999999995E-2</v>
      </c>
      <c r="J54">
        <f t="shared" si="8"/>
        <v>254</v>
      </c>
      <c r="K54" s="1760">
        <f t="shared" si="14"/>
        <v>45436.200302465753</v>
      </c>
      <c r="L54" s="1760">
        <f t="shared" si="15"/>
        <v>986035.7996975343</v>
      </c>
      <c r="M54"/>
      <c r="O54" t="str">
        <f t="shared" si="11"/>
        <v>less than 180 Days</v>
      </c>
    </row>
    <row r="55" spans="3:15">
      <c r="C55" t="s">
        <v>4091</v>
      </c>
      <c r="D55" s="218">
        <v>44764</v>
      </c>
      <c r="E55" s="1760">
        <v>527508</v>
      </c>
      <c r="F55">
        <v>15</v>
      </c>
      <c r="G55" s="1760">
        <f t="shared" si="12"/>
        <v>26375.4</v>
      </c>
      <c r="H55" s="1760">
        <f t="shared" si="13"/>
        <v>501132.6</v>
      </c>
      <c r="I55" s="1852">
        <v>6.3299999999999995E-2</v>
      </c>
      <c r="J55">
        <f t="shared" si="8"/>
        <v>252</v>
      </c>
      <c r="K55" s="1760">
        <f t="shared" si="14"/>
        <v>23053.689350136989</v>
      </c>
      <c r="L55" s="1760">
        <f t="shared" si="15"/>
        <v>504454.31064986304</v>
      </c>
      <c r="M55"/>
      <c r="O55" t="str">
        <f t="shared" si="11"/>
        <v>less than 180 Days</v>
      </c>
    </row>
    <row r="56" spans="3:15">
      <c r="C56" t="s">
        <v>4092</v>
      </c>
      <c r="D56" s="218">
        <v>44764</v>
      </c>
      <c r="E56" s="1760">
        <v>28428</v>
      </c>
      <c r="F56">
        <v>15</v>
      </c>
      <c r="G56" s="1760">
        <f t="shared" si="12"/>
        <v>1421.4</v>
      </c>
      <c r="H56" s="1760">
        <f t="shared" si="13"/>
        <v>27006.6</v>
      </c>
      <c r="I56" s="1852">
        <v>6.3299999999999995E-2</v>
      </c>
      <c r="J56">
        <f t="shared" si="8"/>
        <v>252</v>
      </c>
      <c r="K56" s="1760">
        <f t="shared" si="14"/>
        <v>1242.3892734246574</v>
      </c>
      <c r="L56" s="1760">
        <f t="shared" si="15"/>
        <v>27185.610726575342</v>
      </c>
      <c r="M56"/>
      <c r="O56" t="str">
        <f t="shared" si="11"/>
        <v>less than 180 Days</v>
      </c>
    </row>
    <row r="57" spans="3:15">
      <c r="C57" t="s">
        <v>4093</v>
      </c>
      <c r="D57" s="218">
        <v>44764</v>
      </c>
      <c r="E57" s="1760">
        <v>25000</v>
      </c>
      <c r="F57">
        <v>15</v>
      </c>
      <c r="G57" s="1760">
        <f t="shared" si="12"/>
        <v>1250</v>
      </c>
      <c r="H57" s="1760">
        <f t="shared" si="13"/>
        <v>23750</v>
      </c>
      <c r="I57" s="1852">
        <v>6.3299999999999995E-2</v>
      </c>
      <c r="J57">
        <f t="shared" si="8"/>
        <v>252</v>
      </c>
      <c r="K57" s="1760">
        <f t="shared" si="14"/>
        <v>1092.5753424657532</v>
      </c>
      <c r="L57" s="1760">
        <f t="shared" si="15"/>
        <v>23907.424657534248</v>
      </c>
      <c r="M57"/>
      <c r="O57" t="str">
        <f t="shared" si="11"/>
        <v>less than 180 Days</v>
      </c>
    </row>
    <row r="58" spans="3:15">
      <c r="C58" t="s">
        <v>4094</v>
      </c>
      <c r="D58" s="218">
        <v>44769</v>
      </c>
      <c r="E58" s="1760">
        <v>248504</v>
      </c>
      <c r="F58">
        <v>15</v>
      </c>
      <c r="G58" s="1760">
        <f t="shared" si="12"/>
        <v>12425.2</v>
      </c>
      <c r="H58" s="1760">
        <f t="shared" si="13"/>
        <v>236078.8</v>
      </c>
      <c r="I58" s="1852">
        <v>6.3299999999999995E-2</v>
      </c>
      <c r="J58">
        <f t="shared" si="8"/>
        <v>247</v>
      </c>
      <c r="K58" s="1760">
        <f t="shared" si="14"/>
        <v>10644.89011068493</v>
      </c>
      <c r="L58" s="1760">
        <f t="shared" si="15"/>
        <v>237859.10988931506</v>
      </c>
      <c r="M58"/>
      <c r="O58" t="str">
        <f t="shared" si="11"/>
        <v>less than 180 Days</v>
      </c>
    </row>
    <row r="59" spans="3:15">
      <c r="C59" t="s">
        <v>4095</v>
      </c>
      <c r="D59" s="218">
        <v>44769</v>
      </c>
      <c r="E59" s="1760">
        <v>375651</v>
      </c>
      <c r="F59">
        <v>15</v>
      </c>
      <c r="G59" s="1760">
        <f t="shared" si="12"/>
        <v>18782.55</v>
      </c>
      <c r="H59" s="1760">
        <f t="shared" si="13"/>
        <v>356868.45</v>
      </c>
      <c r="I59" s="1852">
        <v>6.3299999999999995E-2</v>
      </c>
      <c r="J59">
        <f t="shared" si="8"/>
        <v>247</v>
      </c>
      <c r="K59" s="1760">
        <f t="shared" si="14"/>
        <v>16091.345068767123</v>
      </c>
      <c r="L59" s="1760">
        <f t="shared" si="15"/>
        <v>359559.65493123286</v>
      </c>
      <c r="M59"/>
      <c r="O59" t="str">
        <f t="shared" si="11"/>
        <v>less than 180 Days</v>
      </c>
    </row>
    <row r="60" spans="3:15">
      <c r="C60" t="s">
        <v>4096</v>
      </c>
      <c r="D60" s="218">
        <v>44769</v>
      </c>
      <c r="E60" s="1760">
        <v>20500</v>
      </c>
      <c r="F60">
        <v>15</v>
      </c>
      <c r="G60" s="1760">
        <f t="shared" si="12"/>
        <v>1025</v>
      </c>
      <c r="H60" s="1760">
        <f t="shared" si="13"/>
        <v>19475</v>
      </c>
      <c r="I60" s="1852">
        <v>6.3299999999999995E-2</v>
      </c>
      <c r="J60">
        <f t="shared" si="8"/>
        <v>247</v>
      </c>
      <c r="K60" s="1760">
        <f t="shared" si="14"/>
        <v>878.13575342465754</v>
      </c>
      <c r="L60" s="1760">
        <f t="shared" si="15"/>
        <v>19621.864246575344</v>
      </c>
      <c r="M60"/>
      <c r="O60" t="str">
        <f t="shared" si="11"/>
        <v>less than 180 Days</v>
      </c>
    </row>
    <row r="61" spans="3:15">
      <c r="C61" t="s">
        <v>4097</v>
      </c>
      <c r="D61" s="218">
        <v>44771</v>
      </c>
      <c r="E61" s="1760">
        <v>403249</v>
      </c>
      <c r="F61">
        <v>15</v>
      </c>
      <c r="G61" s="1760">
        <f t="shared" si="12"/>
        <v>20162.45</v>
      </c>
      <c r="H61" s="1760">
        <f t="shared" si="13"/>
        <v>383086.55</v>
      </c>
      <c r="I61" s="1852">
        <v>6.3299999999999995E-2</v>
      </c>
      <c r="J61">
        <f t="shared" si="8"/>
        <v>245</v>
      </c>
      <c r="K61" s="1760">
        <f t="shared" si="14"/>
        <v>17133.663332876709</v>
      </c>
      <c r="L61" s="1760">
        <f t="shared" si="15"/>
        <v>386115.33666712331</v>
      </c>
      <c r="M61"/>
      <c r="O61" t="str">
        <f t="shared" si="11"/>
        <v>less than 180 Days</v>
      </c>
    </row>
    <row r="62" spans="3:15">
      <c r="C62" t="s">
        <v>4098</v>
      </c>
      <c r="D62" s="218">
        <v>44771</v>
      </c>
      <c r="E62" s="1760">
        <v>18176</v>
      </c>
      <c r="F62">
        <v>15</v>
      </c>
      <c r="G62" s="1760">
        <f t="shared" si="12"/>
        <v>908.80000000000007</v>
      </c>
      <c r="H62" s="1760">
        <f t="shared" si="13"/>
        <v>17267.2</v>
      </c>
      <c r="I62" s="1852">
        <v>6.3299999999999995E-2</v>
      </c>
      <c r="J62">
        <f t="shared" si="8"/>
        <v>245</v>
      </c>
      <c r="K62" s="1760">
        <f t="shared" si="14"/>
        <v>772.28081095890411</v>
      </c>
      <c r="L62" s="1760">
        <f t="shared" si="15"/>
        <v>17403.719189041098</v>
      </c>
      <c r="M62"/>
      <c r="O62" t="str">
        <f t="shared" si="11"/>
        <v>less than 180 Days</v>
      </c>
    </row>
    <row r="63" spans="3:15">
      <c r="C63" t="s">
        <v>4099</v>
      </c>
      <c r="D63" s="218">
        <v>44772</v>
      </c>
      <c r="E63" s="1760">
        <v>233391</v>
      </c>
      <c r="F63">
        <v>15</v>
      </c>
      <c r="G63" s="1760">
        <f t="shared" si="12"/>
        <v>11669.550000000001</v>
      </c>
      <c r="H63" s="1760">
        <f t="shared" si="13"/>
        <v>221721.45</v>
      </c>
      <c r="I63" s="1852">
        <v>6.3299999999999995E-2</v>
      </c>
      <c r="J63">
        <f t="shared" si="8"/>
        <v>244</v>
      </c>
      <c r="K63" s="1760">
        <f t="shared" si="14"/>
        <v>9876.0840361643823</v>
      </c>
      <c r="L63" s="1760">
        <f t="shared" si="15"/>
        <v>223514.91596383561</v>
      </c>
      <c r="M63"/>
      <c r="O63" t="str">
        <f t="shared" si="11"/>
        <v>less than 180 Days</v>
      </c>
    </row>
    <row r="64" spans="3:15">
      <c r="C64" t="s">
        <v>4100</v>
      </c>
      <c r="D64" s="218">
        <v>44774</v>
      </c>
      <c r="E64" s="1760">
        <v>11400</v>
      </c>
      <c r="F64">
        <v>15</v>
      </c>
      <c r="G64" s="1760">
        <f t="shared" si="12"/>
        <v>570</v>
      </c>
      <c r="H64" s="1760">
        <f t="shared" si="13"/>
        <v>10830</v>
      </c>
      <c r="I64" s="1852">
        <v>6.3299999999999995E-2</v>
      </c>
      <c r="J64">
        <f t="shared" si="8"/>
        <v>242</v>
      </c>
      <c r="K64" s="1760">
        <f t="shared" si="14"/>
        <v>478.44394520547939</v>
      </c>
      <c r="L64" s="1760">
        <f t="shared" si="15"/>
        <v>10921.556054794521</v>
      </c>
      <c r="M64"/>
      <c r="O64" t="str">
        <f t="shared" si="11"/>
        <v>less than 180 Days</v>
      </c>
    </row>
    <row r="65" spans="3:15">
      <c r="C65" t="s">
        <v>4101</v>
      </c>
      <c r="D65" s="218">
        <v>44774</v>
      </c>
      <c r="E65" s="1760">
        <v>39500</v>
      </c>
      <c r="F65">
        <v>15</v>
      </c>
      <c r="G65" s="1760">
        <f t="shared" si="12"/>
        <v>1975</v>
      </c>
      <c r="H65" s="1760">
        <f t="shared" si="13"/>
        <v>37525</v>
      </c>
      <c r="I65" s="1852">
        <v>6.3299999999999995E-2</v>
      </c>
      <c r="J65">
        <f t="shared" si="8"/>
        <v>242</v>
      </c>
      <c r="K65" s="1760">
        <f t="shared" si="14"/>
        <v>1657.766301369863</v>
      </c>
      <c r="L65" s="1760">
        <f t="shared" si="15"/>
        <v>37842.233698630138</v>
      </c>
      <c r="M65"/>
      <c r="O65" t="str">
        <f t="shared" si="11"/>
        <v>less than 180 Days</v>
      </c>
    </row>
    <row r="66" spans="3:15">
      <c r="C66" t="s">
        <v>4102</v>
      </c>
      <c r="D66" s="218">
        <v>44774</v>
      </c>
      <c r="E66" s="1760">
        <v>223020</v>
      </c>
      <c r="F66">
        <v>15</v>
      </c>
      <c r="G66" s="1760">
        <f t="shared" si="12"/>
        <v>11151</v>
      </c>
      <c r="H66" s="1760">
        <f t="shared" si="13"/>
        <v>211869</v>
      </c>
      <c r="I66" s="1852">
        <v>6.3299999999999995E-2</v>
      </c>
      <c r="J66">
        <f t="shared" si="8"/>
        <v>242</v>
      </c>
      <c r="K66" s="1760">
        <f t="shared" si="14"/>
        <v>9359.8744438356152</v>
      </c>
      <c r="L66" s="1760">
        <f t="shared" si="15"/>
        <v>213660.12555616439</v>
      </c>
      <c r="M66"/>
      <c r="O66" t="str">
        <f t="shared" si="11"/>
        <v>less than 180 Days</v>
      </c>
    </row>
    <row r="67" spans="3:15">
      <c r="C67" t="s">
        <v>4103</v>
      </c>
      <c r="D67" s="218">
        <v>44774</v>
      </c>
      <c r="E67" s="1760">
        <v>44275</v>
      </c>
      <c r="F67">
        <v>15</v>
      </c>
      <c r="G67" s="1760">
        <f t="shared" si="12"/>
        <v>2213.75</v>
      </c>
      <c r="H67" s="1760">
        <f t="shared" si="13"/>
        <v>42061.25</v>
      </c>
      <c r="I67" s="1852">
        <v>6.3299999999999995E-2</v>
      </c>
      <c r="J67">
        <f t="shared" si="8"/>
        <v>242</v>
      </c>
      <c r="K67" s="1760">
        <f t="shared" si="14"/>
        <v>1858.1671643835614</v>
      </c>
      <c r="L67" s="1760">
        <f t="shared" si="15"/>
        <v>42416.832835616442</v>
      </c>
      <c r="M67"/>
      <c r="O67" t="str">
        <f t="shared" si="11"/>
        <v>less than 180 Days</v>
      </c>
    </row>
    <row r="68" spans="3:15">
      <c r="C68" t="s">
        <v>4104</v>
      </c>
      <c r="D68" s="218">
        <v>44776</v>
      </c>
      <c r="E68" s="1760">
        <v>176764</v>
      </c>
      <c r="F68">
        <v>15</v>
      </c>
      <c r="G68" s="1760">
        <f t="shared" si="12"/>
        <v>8838.2000000000007</v>
      </c>
      <c r="H68" s="1760">
        <f t="shared" si="13"/>
        <v>167925.8</v>
      </c>
      <c r="I68" s="1852">
        <v>6.3299999999999995E-2</v>
      </c>
      <c r="J68">
        <f t="shared" si="8"/>
        <v>240</v>
      </c>
      <c r="K68" s="1760">
        <f t="shared" si="14"/>
        <v>7357.2566794520535</v>
      </c>
      <c r="L68" s="1760">
        <f t="shared" si="15"/>
        <v>169406.74332054795</v>
      </c>
      <c r="M68"/>
      <c r="O68" t="str">
        <f t="shared" si="11"/>
        <v>less than 180 Days</v>
      </c>
    </row>
    <row r="69" spans="3:15">
      <c r="C69" t="s">
        <v>4105</v>
      </c>
      <c r="D69" s="218">
        <v>44776</v>
      </c>
      <c r="E69" s="1760">
        <v>55915</v>
      </c>
      <c r="F69">
        <v>15</v>
      </c>
      <c r="G69" s="1760">
        <f t="shared" si="12"/>
        <v>2795.75</v>
      </c>
      <c r="H69" s="1760">
        <f t="shared" si="13"/>
        <v>53119.25</v>
      </c>
      <c r="I69" s="1852">
        <v>6.3299999999999995E-2</v>
      </c>
      <c r="J69">
        <f t="shared" si="8"/>
        <v>240</v>
      </c>
      <c r="K69" s="1760">
        <f t="shared" si="14"/>
        <v>2327.2895342465754</v>
      </c>
      <c r="L69" s="1760">
        <f t="shared" si="15"/>
        <v>53587.710465753422</v>
      </c>
      <c r="M69"/>
      <c r="O69" t="str">
        <f t="shared" si="11"/>
        <v>less than 180 Days</v>
      </c>
    </row>
    <row r="70" spans="3:15">
      <c r="C70" t="s">
        <v>4106</v>
      </c>
      <c r="D70" s="218">
        <v>44778</v>
      </c>
      <c r="E70" s="1760">
        <v>209012</v>
      </c>
      <c r="F70">
        <v>15</v>
      </c>
      <c r="G70" s="1760">
        <f t="shared" si="12"/>
        <v>10450.6</v>
      </c>
      <c r="H70" s="1760">
        <f t="shared" si="13"/>
        <v>198561.4</v>
      </c>
      <c r="I70" s="1852">
        <v>6.3299999999999995E-2</v>
      </c>
      <c r="J70">
        <f t="shared" si="8"/>
        <v>238</v>
      </c>
      <c r="K70" s="1760">
        <f t="shared" si="14"/>
        <v>8626.9846158904093</v>
      </c>
      <c r="L70" s="1760">
        <f t="shared" si="15"/>
        <v>200385.0153841096</v>
      </c>
      <c r="M70"/>
      <c r="O70" t="str">
        <f t="shared" si="11"/>
        <v>less than 180 Days</v>
      </c>
    </row>
    <row r="71" spans="3:15">
      <c r="C71" t="s">
        <v>4107</v>
      </c>
      <c r="D71" s="218">
        <v>44778</v>
      </c>
      <c r="E71" s="1760">
        <v>21475</v>
      </c>
      <c r="F71">
        <v>15</v>
      </c>
      <c r="G71" s="1760">
        <f t="shared" si="12"/>
        <v>1073.75</v>
      </c>
      <c r="H71" s="1760">
        <f t="shared" si="13"/>
        <v>20401.25</v>
      </c>
      <c r="I71" s="1852">
        <v>6.3299999999999995E-2</v>
      </c>
      <c r="J71">
        <f t="shared" si="8"/>
        <v>238</v>
      </c>
      <c r="K71" s="1760">
        <f t="shared" si="14"/>
        <v>886.38209589041082</v>
      </c>
      <c r="L71" s="1760">
        <f t="shared" si="15"/>
        <v>20588.617904109589</v>
      </c>
      <c r="M71"/>
      <c r="O71" t="str">
        <f t="shared" si="11"/>
        <v>less than 180 Days</v>
      </c>
    </row>
    <row r="72" spans="3:15">
      <c r="C72" t="s">
        <v>4108</v>
      </c>
      <c r="D72" s="218">
        <v>44783</v>
      </c>
      <c r="E72" s="1760">
        <v>337480</v>
      </c>
      <c r="F72">
        <v>15</v>
      </c>
      <c r="G72" s="1760">
        <f t="shared" si="12"/>
        <v>16874</v>
      </c>
      <c r="H72" s="1760">
        <f t="shared" si="13"/>
        <v>320606</v>
      </c>
      <c r="I72" s="1852">
        <v>6.3299999999999995E-2</v>
      </c>
      <c r="J72">
        <f t="shared" si="8"/>
        <v>233</v>
      </c>
      <c r="K72" s="1760">
        <f t="shared" si="14"/>
        <v>13636.873347945202</v>
      </c>
      <c r="L72" s="1760">
        <f t="shared" si="15"/>
        <v>323843.12665205478</v>
      </c>
      <c r="M72"/>
      <c r="O72" t="str">
        <f t="shared" si="11"/>
        <v>less than 180 Days</v>
      </c>
    </row>
    <row r="73" spans="3:15">
      <c r="C73" t="s">
        <v>4109</v>
      </c>
      <c r="D73" s="218">
        <v>44785</v>
      </c>
      <c r="E73" s="1760">
        <v>250868</v>
      </c>
      <c r="F73">
        <v>15</v>
      </c>
      <c r="G73" s="1760">
        <f t="shared" si="12"/>
        <v>12543.400000000001</v>
      </c>
      <c r="H73" s="1760">
        <f t="shared" si="13"/>
        <v>238324.6</v>
      </c>
      <c r="I73" s="1852">
        <v>6.3299999999999995E-2</v>
      </c>
      <c r="J73">
        <f t="shared" si="8"/>
        <v>231</v>
      </c>
      <c r="K73" s="1760">
        <f t="shared" si="14"/>
        <v>10050.047003835616</v>
      </c>
      <c r="L73" s="1760">
        <f t="shared" si="15"/>
        <v>240817.95299616439</v>
      </c>
      <c r="M73"/>
      <c r="O73" t="str">
        <f t="shared" si="11"/>
        <v>less than 180 Days</v>
      </c>
    </row>
    <row r="74" spans="3:15">
      <c r="C74" t="s">
        <v>4110</v>
      </c>
      <c r="D74" s="218">
        <v>44786</v>
      </c>
      <c r="E74" s="1760">
        <v>119184</v>
      </c>
      <c r="F74">
        <v>15</v>
      </c>
      <c r="G74" s="1760">
        <f t="shared" si="12"/>
        <v>5959.2000000000007</v>
      </c>
      <c r="H74" s="1760">
        <f t="shared" si="13"/>
        <v>113224.8</v>
      </c>
      <c r="I74" s="1852">
        <v>6.3299999999999995E-2</v>
      </c>
      <c r="J74">
        <f t="shared" si="8"/>
        <v>230</v>
      </c>
      <c r="K74" s="1760">
        <f t="shared" si="14"/>
        <v>4753.9722082191774</v>
      </c>
      <c r="L74" s="1760">
        <f t="shared" si="15"/>
        <v>114430.02779178083</v>
      </c>
      <c r="M74"/>
      <c r="O74" t="str">
        <f t="shared" si="11"/>
        <v>less than 180 Days</v>
      </c>
    </row>
    <row r="75" spans="3:15">
      <c r="C75" t="s">
        <v>4111</v>
      </c>
      <c r="D75" s="218">
        <v>44786</v>
      </c>
      <c r="E75" s="1760">
        <v>194700</v>
      </c>
      <c r="F75">
        <v>15</v>
      </c>
      <c r="G75" s="1760">
        <f t="shared" si="12"/>
        <v>9735</v>
      </c>
      <c r="H75" s="1760">
        <f t="shared" si="13"/>
        <v>184965</v>
      </c>
      <c r="I75" s="1852">
        <v>6.3299999999999995E-2</v>
      </c>
      <c r="J75">
        <f t="shared" si="8"/>
        <v>230</v>
      </c>
      <c r="K75" s="1760">
        <f t="shared" si="14"/>
        <v>7766.1295890410956</v>
      </c>
      <c r="L75" s="1760">
        <f t="shared" si="15"/>
        <v>186933.87041095892</v>
      </c>
      <c r="M75"/>
      <c r="O75" t="str">
        <f t="shared" si="11"/>
        <v>less than 180 Days</v>
      </c>
    </row>
    <row r="76" spans="3:15">
      <c r="C76" t="s">
        <v>4112</v>
      </c>
      <c r="D76" s="218">
        <v>44789</v>
      </c>
      <c r="E76" s="1760">
        <v>102437</v>
      </c>
      <c r="F76">
        <v>15</v>
      </c>
      <c r="G76" s="1760">
        <f t="shared" si="12"/>
        <v>5121.8500000000004</v>
      </c>
      <c r="H76" s="1760">
        <f t="shared" si="13"/>
        <v>97315.15</v>
      </c>
      <c r="I76" s="1852">
        <v>6.3299999999999995E-2</v>
      </c>
      <c r="J76">
        <f t="shared" si="8"/>
        <v>227</v>
      </c>
      <c r="K76" s="1760">
        <f t="shared" si="14"/>
        <v>4032.6780731506851</v>
      </c>
      <c r="L76" s="1760">
        <f t="shared" si="15"/>
        <v>98404.321926849312</v>
      </c>
      <c r="M76"/>
      <c r="O76" t="str">
        <f t="shared" si="11"/>
        <v>less than 180 Days</v>
      </c>
    </row>
    <row r="77" spans="3:15">
      <c r="C77" t="s">
        <v>4113</v>
      </c>
      <c r="D77" s="218">
        <v>44789</v>
      </c>
      <c r="E77" s="1760">
        <v>25000</v>
      </c>
      <c r="F77">
        <v>15</v>
      </c>
      <c r="G77" s="1760">
        <f t="shared" si="12"/>
        <v>1250</v>
      </c>
      <c r="H77" s="1760">
        <f t="shared" si="13"/>
        <v>23750</v>
      </c>
      <c r="I77" s="1852">
        <v>6.3299999999999995E-2</v>
      </c>
      <c r="J77">
        <f t="shared" si="8"/>
        <v>227</v>
      </c>
      <c r="K77" s="1760">
        <f t="shared" si="14"/>
        <v>984.18493150684913</v>
      </c>
      <c r="L77" s="1760">
        <f t="shared" si="15"/>
        <v>24015.81506849315</v>
      </c>
      <c r="M77"/>
      <c r="O77" t="str">
        <f t="shared" si="11"/>
        <v>less than 180 Days</v>
      </c>
    </row>
    <row r="78" spans="3:15">
      <c r="C78" t="s">
        <v>4114</v>
      </c>
      <c r="D78" s="218">
        <v>44790</v>
      </c>
      <c r="E78" s="1760">
        <v>118450</v>
      </c>
      <c r="F78">
        <v>15</v>
      </c>
      <c r="G78" s="1760">
        <f t="shared" si="12"/>
        <v>5922.5</v>
      </c>
      <c r="H78" s="1760">
        <f t="shared" si="13"/>
        <v>112527.5</v>
      </c>
      <c r="I78" s="1852">
        <v>6.3299999999999995E-2</v>
      </c>
      <c r="J78">
        <f t="shared" ref="J78:J117" si="16">$L$1-D78</f>
        <v>226</v>
      </c>
      <c r="K78" s="1760">
        <f t="shared" si="14"/>
        <v>4642.52605479452</v>
      </c>
      <c r="L78" s="1760">
        <f t="shared" si="15"/>
        <v>113807.47394520548</v>
      </c>
      <c r="M78"/>
      <c r="O78" t="str">
        <f t="shared" si="11"/>
        <v>less than 180 Days</v>
      </c>
    </row>
    <row r="79" spans="3:15">
      <c r="C79" t="s">
        <v>4115</v>
      </c>
      <c r="D79" s="218">
        <v>44790</v>
      </c>
      <c r="E79" s="1760">
        <v>246620</v>
      </c>
      <c r="F79">
        <v>15</v>
      </c>
      <c r="G79" s="1760">
        <f t="shared" si="12"/>
        <v>12331</v>
      </c>
      <c r="H79" s="1760">
        <f t="shared" si="13"/>
        <v>234289</v>
      </c>
      <c r="I79" s="1852">
        <v>6.3299999999999995E-2</v>
      </c>
      <c r="J79">
        <f t="shared" si="16"/>
        <v>226</v>
      </c>
      <c r="K79" s="1760">
        <f t="shared" si="14"/>
        <v>9666.01752328767</v>
      </c>
      <c r="L79" s="1760">
        <f t="shared" si="15"/>
        <v>236953.98247671232</v>
      </c>
      <c r="M79"/>
      <c r="O79" t="str">
        <f t="shared" ref="O79:O121" si="17">IF(D79&gt;$O$1,"More than 180 Days","less than 180 Days")</f>
        <v>less than 180 Days</v>
      </c>
    </row>
    <row r="80" spans="3:15">
      <c r="C80" t="s">
        <v>4116</v>
      </c>
      <c r="D80" s="218">
        <v>44793</v>
      </c>
      <c r="E80" s="1760">
        <v>4848</v>
      </c>
      <c r="F80">
        <v>15</v>
      </c>
      <c r="G80" s="1760">
        <f t="shared" si="12"/>
        <v>242.4</v>
      </c>
      <c r="H80" s="1760">
        <f t="shared" si="13"/>
        <v>4605.6000000000004</v>
      </c>
      <c r="I80" s="1852">
        <v>6.3299999999999995E-2</v>
      </c>
      <c r="J80">
        <f t="shared" si="16"/>
        <v>223</v>
      </c>
      <c r="K80" s="1760">
        <f t="shared" si="14"/>
        <v>187.49009095890409</v>
      </c>
      <c r="L80" s="1760">
        <f t="shared" si="15"/>
        <v>4660.5099090410959</v>
      </c>
      <c r="M80"/>
      <c r="O80" t="str">
        <f t="shared" si="17"/>
        <v>less than 180 Days</v>
      </c>
    </row>
    <row r="81" spans="3:15">
      <c r="C81" t="s">
        <v>4117</v>
      </c>
      <c r="D81" s="218">
        <v>44795</v>
      </c>
      <c r="E81" s="1760">
        <v>118450</v>
      </c>
      <c r="F81">
        <v>15</v>
      </c>
      <c r="G81" s="1760">
        <f t="shared" si="12"/>
        <v>5922.5</v>
      </c>
      <c r="H81" s="1760">
        <f t="shared" si="13"/>
        <v>112527.5</v>
      </c>
      <c r="I81" s="1852">
        <v>6.3299999999999995E-2</v>
      </c>
      <c r="J81">
        <f t="shared" si="16"/>
        <v>221</v>
      </c>
      <c r="K81" s="1760">
        <f t="shared" si="14"/>
        <v>4539.8153013698629</v>
      </c>
      <c r="L81" s="1760">
        <f t="shared" si="15"/>
        <v>113910.18469863014</v>
      </c>
      <c r="M81"/>
      <c r="O81" t="str">
        <f t="shared" si="17"/>
        <v>less than 180 Days</v>
      </c>
    </row>
    <row r="82" spans="3:15">
      <c r="C82" t="s">
        <v>4118</v>
      </c>
      <c r="D82" s="218">
        <v>44795</v>
      </c>
      <c r="E82" s="1760">
        <v>111451</v>
      </c>
      <c r="F82">
        <v>15</v>
      </c>
      <c r="G82" s="1760">
        <f t="shared" si="12"/>
        <v>5572.55</v>
      </c>
      <c r="H82" s="1760">
        <f t="shared" si="13"/>
        <v>105878.45</v>
      </c>
      <c r="I82" s="1852">
        <v>6.3299999999999995E-2</v>
      </c>
      <c r="J82">
        <f t="shared" si="16"/>
        <v>221</v>
      </c>
      <c r="K82" s="1760">
        <f t="shared" si="14"/>
        <v>4271.5656830136986</v>
      </c>
      <c r="L82" s="1760">
        <f t="shared" si="15"/>
        <v>107179.4343169863</v>
      </c>
      <c r="M82"/>
      <c r="O82" t="str">
        <f t="shared" si="17"/>
        <v>less than 180 Days</v>
      </c>
    </row>
    <row r="83" spans="3:15">
      <c r="C83" t="s">
        <v>4119</v>
      </c>
      <c r="D83" s="218">
        <v>44797</v>
      </c>
      <c r="E83" s="1760">
        <v>1160100</v>
      </c>
      <c r="F83">
        <v>15</v>
      </c>
      <c r="G83" s="1760">
        <f t="shared" si="12"/>
        <v>58005</v>
      </c>
      <c r="H83" s="1760">
        <f t="shared" si="13"/>
        <v>1102095</v>
      </c>
      <c r="I83" s="1852">
        <v>6.3299999999999995E-2</v>
      </c>
      <c r="J83">
        <f t="shared" si="16"/>
        <v>219</v>
      </c>
      <c r="K83" s="1760">
        <f t="shared" si="14"/>
        <v>44060.597999999991</v>
      </c>
      <c r="L83" s="1760">
        <f t="shared" si="15"/>
        <v>1116039.402</v>
      </c>
      <c r="M83"/>
      <c r="O83" t="str">
        <f t="shared" si="17"/>
        <v>less than 180 Days</v>
      </c>
    </row>
    <row r="84" spans="3:15">
      <c r="C84" t="s">
        <v>4120</v>
      </c>
      <c r="D84" s="218">
        <v>44806</v>
      </c>
      <c r="E84" s="1760">
        <v>433650</v>
      </c>
      <c r="F84">
        <v>15</v>
      </c>
      <c r="G84" s="1760">
        <f t="shared" si="12"/>
        <v>21682.5</v>
      </c>
      <c r="H84" s="1760">
        <f t="shared" si="13"/>
        <v>411967.5</v>
      </c>
      <c r="I84" s="1852">
        <v>6.3299999999999995E-2</v>
      </c>
      <c r="J84">
        <f t="shared" si="16"/>
        <v>210</v>
      </c>
      <c r="K84" s="1760">
        <f t="shared" si="14"/>
        <v>15793.176575342464</v>
      </c>
      <c r="L84" s="1760">
        <f t="shared" si="15"/>
        <v>417856.82342465752</v>
      </c>
      <c r="M84"/>
      <c r="O84" t="str">
        <f t="shared" si="17"/>
        <v>less than 180 Days</v>
      </c>
    </row>
    <row r="85" spans="3:15">
      <c r="C85" t="s">
        <v>4121</v>
      </c>
      <c r="D85" s="218">
        <v>44813</v>
      </c>
      <c r="E85" s="1760">
        <v>22500</v>
      </c>
      <c r="F85">
        <v>15</v>
      </c>
      <c r="G85" s="1760">
        <f t="shared" si="12"/>
        <v>1125</v>
      </c>
      <c r="H85" s="1760">
        <f t="shared" si="13"/>
        <v>21375</v>
      </c>
      <c r="I85" s="1852">
        <v>6.3299999999999995E-2</v>
      </c>
      <c r="J85">
        <f t="shared" si="16"/>
        <v>203</v>
      </c>
      <c r="K85" s="1760">
        <f t="shared" si="14"/>
        <v>792.11712328767123</v>
      </c>
      <c r="L85" s="1760">
        <f t="shared" si="15"/>
        <v>21707.88287671233</v>
      </c>
      <c r="M85"/>
      <c r="O85" t="str">
        <f t="shared" si="17"/>
        <v>less than 180 Days</v>
      </c>
    </row>
    <row r="86" spans="3:15">
      <c r="C86" t="s">
        <v>4122</v>
      </c>
      <c r="D86" s="218">
        <v>44814</v>
      </c>
      <c r="E86" s="1760">
        <v>54912</v>
      </c>
      <c r="F86">
        <v>15</v>
      </c>
      <c r="G86" s="1760">
        <f t="shared" si="12"/>
        <v>2745.6000000000004</v>
      </c>
      <c r="H86" s="1760">
        <f t="shared" si="13"/>
        <v>52166.400000000001</v>
      </c>
      <c r="I86" s="1852">
        <v>6.3299999999999995E-2</v>
      </c>
      <c r="J86">
        <f t="shared" si="16"/>
        <v>202</v>
      </c>
      <c r="K86" s="1760">
        <f t="shared" si="14"/>
        <v>1923.6651484931506</v>
      </c>
      <c r="L86" s="1760">
        <f t="shared" si="15"/>
        <v>52988.33485150685</v>
      </c>
      <c r="M86"/>
      <c r="O86" t="str">
        <f t="shared" si="17"/>
        <v>less than 180 Days</v>
      </c>
    </row>
    <row r="87" spans="3:15">
      <c r="C87" t="s">
        <v>4123</v>
      </c>
      <c r="D87" s="218">
        <v>44816</v>
      </c>
      <c r="E87" s="1760">
        <v>636020</v>
      </c>
      <c r="F87">
        <v>15</v>
      </c>
      <c r="G87" s="1760">
        <f t="shared" si="12"/>
        <v>31801</v>
      </c>
      <c r="H87" s="1760">
        <f t="shared" si="13"/>
        <v>604219</v>
      </c>
      <c r="I87" s="1852">
        <v>6.3299999999999995E-2</v>
      </c>
      <c r="J87">
        <f t="shared" si="16"/>
        <v>200</v>
      </c>
      <c r="K87" s="1760">
        <f t="shared" si="14"/>
        <v>22060.310136986303</v>
      </c>
      <c r="L87" s="1760">
        <f t="shared" si="15"/>
        <v>613959.68986301369</v>
      </c>
      <c r="M87"/>
      <c r="O87" t="str">
        <f t="shared" si="17"/>
        <v>less than 180 Days</v>
      </c>
    </row>
    <row r="88" spans="3:15">
      <c r="C88" t="s">
        <v>4124</v>
      </c>
      <c r="D88" s="218">
        <v>44818</v>
      </c>
      <c r="E88" s="1760">
        <v>148625</v>
      </c>
      <c r="F88">
        <v>15</v>
      </c>
      <c r="G88" s="1760">
        <f t="shared" si="12"/>
        <v>7431.25</v>
      </c>
      <c r="H88" s="1760">
        <f t="shared" si="13"/>
        <v>141193.75</v>
      </c>
      <c r="I88" s="1852">
        <v>6.3299999999999995E-2</v>
      </c>
      <c r="J88">
        <f t="shared" si="16"/>
        <v>198</v>
      </c>
      <c r="K88" s="1760">
        <f t="shared" si="14"/>
        <v>5103.4974657534249</v>
      </c>
      <c r="L88" s="1760">
        <f t="shared" si="15"/>
        <v>143521.50253424657</v>
      </c>
      <c r="M88"/>
      <c r="O88" t="str">
        <f t="shared" si="17"/>
        <v>less than 180 Days</v>
      </c>
    </row>
    <row r="89" spans="3:15">
      <c r="C89" t="s">
        <v>4125</v>
      </c>
      <c r="D89" s="218">
        <v>44823</v>
      </c>
      <c r="E89" s="1760">
        <v>32096</v>
      </c>
      <c r="F89">
        <v>15</v>
      </c>
      <c r="G89" s="1760">
        <f t="shared" si="12"/>
        <v>1604.8000000000002</v>
      </c>
      <c r="H89" s="1760">
        <f t="shared" si="13"/>
        <v>30491.200000000001</v>
      </c>
      <c r="I89" s="1852">
        <v>6.3299999999999995E-2</v>
      </c>
      <c r="J89">
        <f t="shared" si="16"/>
        <v>193</v>
      </c>
      <c r="K89" s="1760">
        <f t="shared" si="14"/>
        <v>1074.2838969863014</v>
      </c>
      <c r="L89" s="1760">
        <f t="shared" si="15"/>
        <v>31021.716103013699</v>
      </c>
      <c r="M89"/>
      <c r="O89" t="str">
        <f t="shared" si="17"/>
        <v>less than 180 Days</v>
      </c>
    </row>
    <row r="90" spans="3:15">
      <c r="C90" t="s">
        <v>4126</v>
      </c>
      <c r="D90" s="218">
        <v>44832</v>
      </c>
      <c r="E90" s="1760">
        <v>326076</v>
      </c>
      <c r="F90">
        <v>15</v>
      </c>
      <c r="G90" s="1760">
        <f t="shared" si="12"/>
        <v>16303.800000000001</v>
      </c>
      <c r="H90" s="1760">
        <f t="shared" si="13"/>
        <v>309772.2</v>
      </c>
      <c r="I90" s="1852">
        <v>6.3299999999999995E-2</v>
      </c>
      <c r="J90">
        <f t="shared" si="16"/>
        <v>184</v>
      </c>
      <c r="K90" s="1760">
        <f t="shared" si="14"/>
        <v>10405.129827945204</v>
      </c>
      <c r="L90" s="1760">
        <f t="shared" si="15"/>
        <v>315670.8701720548</v>
      </c>
      <c r="M90"/>
      <c r="O90" t="str">
        <f t="shared" si="17"/>
        <v>More than 180 Days</v>
      </c>
    </row>
    <row r="91" spans="3:15">
      <c r="C91" t="s">
        <v>4127</v>
      </c>
      <c r="D91" s="218">
        <v>44842</v>
      </c>
      <c r="E91" s="1760">
        <v>118450</v>
      </c>
      <c r="F91">
        <v>15</v>
      </c>
      <c r="G91" s="1760">
        <f t="shared" si="12"/>
        <v>5922.5</v>
      </c>
      <c r="H91" s="1760">
        <f t="shared" si="13"/>
        <v>112527.5</v>
      </c>
      <c r="I91" s="1852">
        <v>6.3299999999999995E-2</v>
      </c>
      <c r="J91">
        <f t="shared" si="16"/>
        <v>174</v>
      </c>
      <c r="K91" s="1760">
        <f t="shared" si="14"/>
        <v>3574.3342191780821</v>
      </c>
      <c r="L91" s="1760">
        <f t="shared" si="15"/>
        <v>114875.66578082192</v>
      </c>
      <c r="M91"/>
      <c r="O91" t="str">
        <f t="shared" si="17"/>
        <v>More than 180 Days</v>
      </c>
    </row>
    <row r="92" spans="3:15">
      <c r="C92" t="s">
        <v>4128</v>
      </c>
      <c r="D92" s="218">
        <v>44844</v>
      </c>
      <c r="E92" s="1760">
        <v>118450</v>
      </c>
      <c r="F92">
        <v>15</v>
      </c>
      <c r="G92" s="1760">
        <f t="shared" si="12"/>
        <v>5922.5</v>
      </c>
      <c r="H92" s="1760">
        <f t="shared" si="13"/>
        <v>112527.5</v>
      </c>
      <c r="I92" s="1852">
        <v>6.3299999999999995E-2</v>
      </c>
      <c r="J92">
        <f t="shared" si="16"/>
        <v>172</v>
      </c>
      <c r="K92" s="1760">
        <f t="shared" si="14"/>
        <v>3533.2499178082189</v>
      </c>
      <c r="L92" s="1760">
        <f t="shared" si="15"/>
        <v>114916.75008219178</v>
      </c>
      <c r="M92"/>
      <c r="O92" t="str">
        <f t="shared" si="17"/>
        <v>More than 180 Days</v>
      </c>
    </row>
    <row r="93" spans="3:15">
      <c r="C93" t="s">
        <v>4129</v>
      </c>
      <c r="D93" s="218">
        <v>44854</v>
      </c>
      <c r="E93" s="1760">
        <v>141246</v>
      </c>
      <c r="F93">
        <v>15</v>
      </c>
      <c r="G93" s="1760">
        <f t="shared" si="12"/>
        <v>7062.3</v>
      </c>
      <c r="H93" s="1760">
        <f t="shared" si="13"/>
        <v>134183.70000000001</v>
      </c>
      <c r="I93" s="1852">
        <v>6.3299999999999995E-2</v>
      </c>
      <c r="J93">
        <f t="shared" si="16"/>
        <v>162</v>
      </c>
      <c r="K93" s="1760">
        <f t="shared" si="14"/>
        <v>3968.2773468493147</v>
      </c>
      <c r="L93" s="1760">
        <f t="shared" si="15"/>
        <v>137277.72265315067</v>
      </c>
      <c r="M93"/>
      <c r="O93" t="str">
        <f t="shared" si="17"/>
        <v>More than 180 Days</v>
      </c>
    </row>
    <row r="94" spans="3:15">
      <c r="C94" t="s">
        <v>4130</v>
      </c>
      <c r="D94" s="218">
        <v>44883</v>
      </c>
      <c r="E94" s="1760">
        <v>2389500</v>
      </c>
      <c r="F94">
        <v>15</v>
      </c>
      <c r="G94" s="1760">
        <f t="shared" si="12"/>
        <v>119475</v>
      </c>
      <c r="H94" s="1760">
        <f t="shared" si="13"/>
        <v>2270025</v>
      </c>
      <c r="I94" s="1852">
        <v>6.3299999999999995E-2</v>
      </c>
      <c r="J94">
        <f t="shared" si="16"/>
        <v>133</v>
      </c>
      <c r="K94" s="1760">
        <f t="shared" si="14"/>
        <v>55114.963150684925</v>
      </c>
      <c r="L94" s="1760">
        <f t="shared" si="15"/>
        <v>2334385.0368493153</v>
      </c>
      <c r="M94"/>
      <c r="O94" t="str">
        <f t="shared" si="17"/>
        <v>More than 180 Days</v>
      </c>
    </row>
    <row r="95" spans="3:15">
      <c r="C95" t="s">
        <v>4131</v>
      </c>
      <c r="D95" s="218">
        <v>44900</v>
      </c>
      <c r="E95" s="1760">
        <v>97898</v>
      </c>
      <c r="F95">
        <v>15</v>
      </c>
      <c r="G95" s="1760">
        <f t="shared" si="12"/>
        <v>4894.9000000000005</v>
      </c>
      <c r="H95" s="1760">
        <f t="shared" si="13"/>
        <v>93003.1</v>
      </c>
      <c r="I95" s="1852">
        <v>6.3299999999999995E-2</v>
      </c>
      <c r="J95">
        <f t="shared" si="16"/>
        <v>116</v>
      </c>
      <c r="K95" s="1760">
        <f t="shared" si="14"/>
        <v>1969.4395463013695</v>
      </c>
      <c r="L95" s="1760">
        <f t="shared" si="15"/>
        <v>95928.560453698636</v>
      </c>
      <c r="M95"/>
      <c r="O95" t="str">
        <f t="shared" si="17"/>
        <v>More than 180 Days</v>
      </c>
    </row>
    <row r="96" spans="3:15">
      <c r="C96" t="s">
        <v>4132</v>
      </c>
      <c r="D96" s="218">
        <v>44902</v>
      </c>
      <c r="E96" s="1760">
        <v>240508</v>
      </c>
      <c r="F96">
        <v>15</v>
      </c>
      <c r="G96" s="1760">
        <f t="shared" si="12"/>
        <v>12025.400000000001</v>
      </c>
      <c r="H96" s="1760">
        <f t="shared" si="13"/>
        <v>228482.6</v>
      </c>
      <c r="I96" s="1852">
        <v>6.3299999999999995E-2</v>
      </c>
      <c r="J96">
        <f t="shared" si="16"/>
        <v>114</v>
      </c>
      <c r="K96" s="1760">
        <f t="shared" si="14"/>
        <v>4754.9419989041089</v>
      </c>
      <c r="L96" s="1760">
        <f t="shared" si="15"/>
        <v>235753.05800109589</v>
      </c>
      <c r="M96"/>
      <c r="O96" t="str">
        <f t="shared" si="17"/>
        <v>More than 180 Days</v>
      </c>
    </row>
    <row r="97" spans="3:15">
      <c r="C97" t="s">
        <v>4133</v>
      </c>
      <c r="D97" s="218">
        <v>44905</v>
      </c>
      <c r="E97" s="1760">
        <v>31624</v>
      </c>
      <c r="F97">
        <v>15</v>
      </c>
      <c r="G97" s="1760">
        <f t="shared" si="12"/>
        <v>1581.2</v>
      </c>
      <c r="H97" s="1760">
        <f t="shared" si="13"/>
        <v>30042.799999999999</v>
      </c>
      <c r="I97" s="1852">
        <v>6.3299999999999995E-2</v>
      </c>
      <c r="J97">
        <f t="shared" si="16"/>
        <v>111</v>
      </c>
      <c r="K97" s="1760">
        <f t="shared" si="14"/>
        <v>608.76633205479447</v>
      </c>
      <c r="L97" s="1760">
        <f t="shared" si="15"/>
        <v>31015.233667945206</v>
      </c>
      <c r="M97"/>
      <c r="O97" t="str">
        <f t="shared" si="17"/>
        <v>More than 180 Days</v>
      </c>
    </row>
    <row r="98" spans="3:15">
      <c r="C98" t="s">
        <v>4134</v>
      </c>
      <c r="D98" s="218">
        <v>44907</v>
      </c>
      <c r="E98" s="1760">
        <v>363617</v>
      </c>
      <c r="F98">
        <v>15</v>
      </c>
      <c r="G98" s="1760">
        <f t="shared" si="12"/>
        <v>18180.850000000002</v>
      </c>
      <c r="H98" s="1760">
        <f t="shared" si="13"/>
        <v>345436.15</v>
      </c>
      <c r="I98" s="1852">
        <v>6.3299999999999995E-2</v>
      </c>
      <c r="J98">
        <f t="shared" si="16"/>
        <v>109</v>
      </c>
      <c r="K98" s="1760">
        <f t="shared" si="14"/>
        <v>6873.5567531506849</v>
      </c>
      <c r="L98" s="1760">
        <f t="shared" si="15"/>
        <v>356743.44324684929</v>
      </c>
      <c r="M98"/>
      <c r="O98" t="str">
        <f t="shared" si="17"/>
        <v>More than 180 Days</v>
      </c>
    </row>
    <row r="99" spans="3:15">
      <c r="C99" t="s">
        <v>4135</v>
      </c>
      <c r="D99" s="218">
        <v>44909</v>
      </c>
      <c r="E99" s="1760">
        <v>613600</v>
      </c>
      <c r="F99">
        <v>15</v>
      </c>
      <c r="G99" s="1760">
        <f t="shared" si="12"/>
        <v>30680</v>
      </c>
      <c r="H99" s="1760">
        <f t="shared" si="13"/>
        <v>582920</v>
      </c>
      <c r="I99" s="1852">
        <v>6.3299999999999995E-2</v>
      </c>
      <c r="J99">
        <f t="shared" si="16"/>
        <v>107</v>
      </c>
      <c r="K99" s="1760">
        <f t="shared" si="14"/>
        <v>11386.230575342464</v>
      </c>
      <c r="L99" s="1760">
        <f t="shared" si="15"/>
        <v>602213.76942465757</v>
      </c>
      <c r="M99"/>
      <c r="O99" t="str">
        <f t="shared" si="17"/>
        <v>More than 180 Days</v>
      </c>
    </row>
    <row r="100" spans="3:15">
      <c r="C100" t="s">
        <v>4136</v>
      </c>
      <c r="D100" s="218">
        <v>44910</v>
      </c>
      <c r="E100" s="1760">
        <v>44654</v>
      </c>
      <c r="F100">
        <v>15</v>
      </c>
      <c r="G100" s="1760">
        <f t="shared" si="12"/>
        <v>2232.7000000000003</v>
      </c>
      <c r="H100" s="1760">
        <f t="shared" si="13"/>
        <v>42421.3</v>
      </c>
      <c r="I100" s="1852">
        <v>6.3299999999999995E-2</v>
      </c>
      <c r="J100">
        <f t="shared" si="16"/>
        <v>106</v>
      </c>
      <c r="K100" s="1760">
        <f t="shared" si="14"/>
        <v>820.87509369863017</v>
      </c>
      <c r="L100" s="1760">
        <f t="shared" si="15"/>
        <v>43833.124906301367</v>
      </c>
      <c r="M100"/>
      <c r="O100" t="str">
        <f t="shared" si="17"/>
        <v>More than 180 Days</v>
      </c>
    </row>
    <row r="101" spans="3:15">
      <c r="C101" t="s">
        <v>4137</v>
      </c>
      <c r="D101" s="218">
        <v>44911</v>
      </c>
      <c r="E101" s="1760">
        <v>11210</v>
      </c>
      <c r="F101">
        <v>15</v>
      </c>
      <c r="G101" s="1760">
        <f t="shared" si="12"/>
        <v>560.5</v>
      </c>
      <c r="H101" s="1760">
        <f t="shared" si="13"/>
        <v>10649.5</v>
      </c>
      <c r="I101" s="1852">
        <v>6.3299999999999995E-2</v>
      </c>
      <c r="J101">
        <f t="shared" si="16"/>
        <v>105</v>
      </c>
      <c r="K101" s="1760">
        <f t="shared" si="14"/>
        <v>204.12949315068494</v>
      </c>
      <c r="L101" s="1760">
        <f t="shared" si="15"/>
        <v>11005.870506849315</v>
      </c>
      <c r="M101"/>
      <c r="O101" t="str">
        <f t="shared" si="17"/>
        <v>More than 180 Days</v>
      </c>
    </row>
    <row r="102" spans="3:15">
      <c r="C102" t="s">
        <v>4138</v>
      </c>
      <c r="D102" s="218">
        <v>44915</v>
      </c>
      <c r="E102" s="1760">
        <v>344233</v>
      </c>
      <c r="F102">
        <v>15</v>
      </c>
      <c r="G102" s="1760">
        <f t="shared" si="12"/>
        <v>17211.650000000001</v>
      </c>
      <c r="H102" s="1760">
        <f t="shared" si="13"/>
        <v>327021.34999999998</v>
      </c>
      <c r="I102" s="1852">
        <v>6.3299999999999995E-2</v>
      </c>
      <c r="J102">
        <f t="shared" si="16"/>
        <v>101</v>
      </c>
      <c r="K102" s="1760">
        <f t="shared" si="14"/>
        <v>6029.5475038356162</v>
      </c>
      <c r="L102" s="1760">
        <f t="shared" si="15"/>
        <v>338203.45249616436</v>
      </c>
      <c r="M102"/>
      <c r="O102" t="str">
        <f t="shared" si="17"/>
        <v>More than 180 Days</v>
      </c>
    </row>
    <row r="103" spans="3:15">
      <c r="C103" t="s">
        <v>4139</v>
      </c>
      <c r="D103" s="218">
        <v>44916</v>
      </c>
      <c r="E103" s="1760">
        <v>83224</v>
      </c>
      <c r="F103">
        <v>15</v>
      </c>
      <c r="G103" s="1760">
        <f t="shared" si="12"/>
        <v>4161.2</v>
      </c>
      <c r="H103" s="1760">
        <f t="shared" si="13"/>
        <v>79062.8</v>
      </c>
      <c r="I103" s="1852">
        <v>6.3299999999999995E-2</v>
      </c>
      <c r="J103">
        <f t="shared" si="16"/>
        <v>100</v>
      </c>
      <c r="K103" s="1760">
        <f t="shared" si="14"/>
        <v>1443.3093698630134</v>
      </c>
      <c r="L103" s="1760">
        <f t="shared" si="15"/>
        <v>81780.690630136989</v>
      </c>
      <c r="M103"/>
      <c r="O103" t="str">
        <f t="shared" si="17"/>
        <v>More than 180 Days</v>
      </c>
    </row>
    <row r="104" spans="3:15">
      <c r="C104" t="s">
        <v>4140</v>
      </c>
      <c r="D104" s="218">
        <v>44919</v>
      </c>
      <c r="E104" s="1760">
        <v>73750</v>
      </c>
      <c r="F104">
        <v>15</v>
      </c>
      <c r="G104" s="1760">
        <f t="shared" si="12"/>
        <v>3687.5</v>
      </c>
      <c r="H104" s="1760">
        <f t="shared" si="13"/>
        <v>70062.5</v>
      </c>
      <c r="I104" s="1852">
        <v>6.3299999999999995E-2</v>
      </c>
      <c r="J104">
        <f t="shared" si="16"/>
        <v>97</v>
      </c>
      <c r="K104" s="1760">
        <f t="shared" si="14"/>
        <v>1240.6366438356165</v>
      </c>
      <c r="L104" s="1760">
        <f t="shared" si="15"/>
        <v>72509.36335616438</v>
      </c>
      <c r="M104"/>
      <c r="O104" t="str">
        <f t="shared" si="17"/>
        <v>More than 180 Days</v>
      </c>
    </row>
    <row r="105" spans="3:15">
      <c r="C105" t="s">
        <v>4141</v>
      </c>
      <c r="D105" s="218">
        <v>44922</v>
      </c>
      <c r="E105" s="1760">
        <v>119687</v>
      </c>
      <c r="F105">
        <v>15</v>
      </c>
      <c r="G105" s="1760">
        <f t="shared" ref="G105:G117" si="18">E105*5%</f>
        <v>5984.35</v>
      </c>
      <c r="H105" s="1760">
        <f t="shared" ref="H105:H117" si="19">E105-G105</f>
        <v>113702.65</v>
      </c>
      <c r="I105" s="1852">
        <v>6.3299999999999995E-2</v>
      </c>
      <c r="J105">
        <f t="shared" si="16"/>
        <v>94</v>
      </c>
      <c r="K105" s="1760">
        <f t="shared" ref="K105:K117" si="20">E105*I105*J105/365</f>
        <v>1951.1276367123287</v>
      </c>
      <c r="L105" s="1760">
        <f t="shared" ref="L105:L117" si="21">E105-K105</f>
        <v>117735.87236328766</v>
      </c>
      <c r="M105"/>
      <c r="O105" t="str">
        <f t="shared" si="17"/>
        <v>More than 180 Days</v>
      </c>
    </row>
    <row r="106" spans="3:15">
      <c r="C106" t="s">
        <v>4142</v>
      </c>
      <c r="D106" s="218">
        <v>44946</v>
      </c>
      <c r="E106" s="1760">
        <v>25180</v>
      </c>
      <c r="F106">
        <v>15</v>
      </c>
      <c r="G106" s="1760">
        <f t="shared" si="18"/>
        <v>1259</v>
      </c>
      <c r="H106" s="1760">
        <f t="shared" si="19"/>
        <v>23921</v>
      </c>
      <c r="I106" s="1852">
        <v>6.3299999999999995E-2</v>
      </c>
      <c r="J106">
        <f t="shared" si="16"/>
        <v>70</v>
      </c>
      <c r="K106" s="1760">
        <f t="shared" si="20"/>
        <v>305.67830136986299</v>
      </c>
      <c r="L106" s="1760">
        <f t="shared" si="21"/>
        <v>24874.321698630138</v>
      </c>
      <c r="M106"/>
      <c r="O106" t="str">
        <f t="shared" si="17"/>
        <v>More than 180 Days</v>
      </c>
    </row>
    <row r="107" spans="3:15">
      <c r="C107" t="s">
        <v>4143</v>
      </c>
      <c r="D107" s="218">
        <v>44949</v>
      </c>
      <c r="E107" s="1760">
        <v>7720</v>
      </c>
      <c r="F107">
        <v>15</v>
      </c>
      <c r="G107" s="1760">
        <f t="shared" si="18"/>
        <v>386</v>
      </c>
      <c r="H107" s="1760">
        <f t="shared" si="19"/>
        <v>7334</v>
      </c>
      <c r="I107" s="1852">
        <v>6.3299999999999995E-2</v>
      </c>
      <c r="J107">
        <f t="shared" si="16"/>
        <v>67</v>
      </c>
      <c r="K107" s="1760">
        <f t="shared" si="20"/>
        <v>89.702169863013694</v>
      </c>
      <c r="L107" s="1760">
        <f t="shared" si="21"/>
        <v>7630.2978301369867</v>
      </c>
      <c r="M107"/>
      <c r="O107" t="str">
        <f t="shared" si="17"/>
        <v>More than 180 Days</v>
      </c>
    </row>
    <row r="108" spans="3:15">
      <c r="C108" t="s">
        <v>4144</v>
      </c>
      <c r="D108" s="218">
        <v>44949</v>
      </c>
      <c r="E108" s="1760">
        <v>130762</v>
      </c>
      <c r="F108">
        <v>15</v>
      </c>
      <c r="G108" s="1760">
        <f t="shared" si="18"/>
        <v>6538.1</v>
      </c>
      <c r="H108" s="1760">
        <f t="shared" si="19"/>
        <v>124223.9</v>
      </c>
      <c r="I108" s="1852">
        <v>6.3299999999999995E-2</v>
      </c>
      <c r="J108">
        <f t="shared" si="16"/>
        <v>67</v>
      </c>
      <c r="K108" s="1760">
        <f t="shared" si="20"/>
        <v>1519.3827895890411</v>
      </c>
      <c r="L108" s="1760">
        <f t="shared" si="21"/>
        <v>129242.61721041096</v>
      </c>
      <c r="M108"/>
      <c r="O108" t="str">
        <f t="shared" si="17"/>
        <v>More than 180 Days</v>
      </c>
    </row>
    <row r="109" spans="3:15">
      <c r="C109" t="s">
        <v>4145</v>
      </c>
      <c r="D109" s="218">
        <v>44951</v>
      </c>
      <c r="E109" s="1760">
        <v>118000</v>
      </c>
      <c r="F109">
        <v>15</v>
      </c>
      <c r="G109" s="1760">
        <f t="shared" si="18"/>
        <v>5900</v>
      </c>
      <c r="H109" s="1760">
        <f t="shared" si="19"/>
        <v>112100</v>
      </c>
      <c r="I109" s="1852">
        <v>6.3299999999999995E-2</v>
      </c>
      <c r="J109">
        <f t="shared" si="16"/>
        <v>65</v>
      </c>
      <c r="K109" s="1760">
        <f t="shared" si="20"/>
        <v>1330.1671232876713</v>
      </c>
      <c r="L109" s="1760">
        <f t="shared" si="21"/>
        <v>116669.83287671233</v>
      </c>
      <c r="M109"/>
      <c r="O109" t="str">
        <f t="shared" si="17"/>
        <v>More than 180 Days</v>
      </c>
    </row>
    <row r="110" spans="3:15">
      <c r="C110" t="s">
        <v>4146</v>
      </c>
      <c r="D110" s="218">
        <v>44951</v>
      </c>
      <c r="E110" s="1760">
        <v>81715</v>
      </c>
      <c r="F110">
        <v>15</v>
      </c>
      <c r="G110" s="1760">
        <f t="shared" si="18"/>
        <v>4085.75</v>
      </c>
      <c r="H110" s="1760">
        <f t="shared" si="19"/>
        <v>77629.25</v>
      </c>
      <c r="I110" s="1852">
        <v>6.3299999999999995E-2</v>
      </c>
      <c r="J110">
        <f t="shared" si="16"/>
        <v>65</v>
      </c>
      <c r="K110" s="1760">
        <f t="shared" si="20"/>
        <v>921.14073287671215</v>
      </c>
      <c r="L110" s="1760">
        <f t="shared" si="21"/>
        <v>80793.859267123291</v>
      </c>
      <c r="M110"/>
      <c r="O110" t="str">
        <f t="shared" si="17"/>
        <v>More than 180 Days</v>
      </c>
    </row>
    <row r="111" spans="3:15">
      <c r="C111" t="s">
        <v>4147</v>
      </c>
      <c r="D111" s="218">
        <v>44960</v>
      </c>
      <c r="E111" s="1760">
        <v>2242000</v>
      </c>
      <c r="F111">
        <v>15</v>
      </c>
      <c r="G111" s="1760">
        <f t="shared" si="18"/>
        <v>112100</v>
      </c>
      <c r="H111" s="1760">
        <f t="shared" si="19"/>
        <v>2129900</v>
      </c>
      <c r="I111" s="1852">
        <v>6.3299999999999995E-2</v>
      </c>
      <c r="J111">
        <f t="shared" si="16"/>
        <v>56</v>
      </c>
      <c r="K111" s="1760">
        <f t="shared" si="20"/>
        <v>21773.812602739723</v>
      </c>
      <c r="L111" s="1760">
        <f t="shared" si="21"/>
        <v>2220226.1873972602</v>
      </c>
      <c r="M111"/>
      <c r="O111" t="str">
        <f t="shared" si="17"/>
        <v>More than 180 Days</v>
      </c>
    </row>
    <row r="112" spans="3:15">
      <c r="C112" t="s">
        <v>4148</v>
      </c>
      <c r="D112" s="218">
        <v>44965</v>
      </c>
      <c r="E112" s="1760">
        <v>944000</v>
      </c>
      <c r="F112">
        <v>15</v>
      </c>
      <c r="G112" s="1760">
        <f t="shared" si="18"/>
        <v>47200</v>
      </c>
      <c r="H112" s="1760">
        <f t="shared" si="19"/>
        <v>896800</v>
      </c>
      <c r="I112" s="1852">
        <v>6.3299999999999995E-2</v>
      </c>
      <c r="J112">
        <f t="shared" si="16"/>
        <v>51</v>
      </c>
      <c r="K112" s="1760">
        <f t="shared" si="20"/>
        <v>8349.3567123287667</v>
      </c>
      <c r="L112" s="1760">
        <f t="shared" si="21"/>
        <v>935650.64328767126</v>
      </c>
      <c r="M112"/>
      <c r="O112" t="str">
        <f t="shared" si="17"/>
        <v>More than 180 Days</v>
      </c>
    </row>
    <row r="113" spans="1:15">
      <c r="C113" t="s">
        <v>4149</v>
      </c>
      <c r="D113" s="218">
        <v>44966</v>
      </c>
      <c r="E113" s="1760">
        <v>10972</v>
      </c>
      <c r="F113">
        <v>15</v>
      </c>
      <c r="G113" s="1760">
        <f t="shared" si="18"/>
        <v>548.6</v>
      </c>
      <c r="H113" s="1760">
        <f t="shared" si="19"/>
        <v>10423.4</v>
      </c>
      <c r="I113" s="1852">
        <v>6.3299999999999995E-2</v>
      </c>
      <c r="J113">
        <f t="shared" si="16"/>
        <v>50</v>
      </c>
      <c r="K113" s="1760">
        <f t="shared" si="20"/>
        <v>95.14076712328766</v>
      </c>
      <c r="L113" s="1760">
        <f t="shared" si="21"/>
        <v>10876.859232876712</v>
      </c>
      <c r="M113"/>
      <c r="O113" t="str">
        <f t="shared" si="17"/>
        <v>More than 180 Days</v>
      </c>
    </row>
    <row r="114" spans="1:15">
      <c r="C114" t="s">
        <v>4150</v>
      </c>
      <c r="D114" s="218">
        <v>44970</v>
      </c>
      <c r="E114" s="1760">
        <v>339014</v>
      </c>
      <c r="F114">
        <v>15</v>
      </c>
      <c r="G114" s="1760">
        <f t="shared" si="18"/>
        <v>16950.7</v>
      </c>
      <c r="H114" s="1760">
        <f t="shared" si="19"/>
        <v>322063.3</v>
      </c>
      <c r="I114" s="1852">
        <v>6.3299999999999995E-2</v>
      </c>
      <c r="J114">
        <f t="shared" si="16"/>
        <v>46</v>
      </c>
      <c r="K114" s="1760">
        <f t="shared" si="20"/>
        <v>2704.495795068493</v>
      </c>
      <c r="L114" s="1760">
        <f t="shared" si="21"/>
        <v>336309.50420493149</v>
      </c>
      <c r="M114"/>
      <c r="O114" t="str">
        <f t="shared" si="17"/>
        <v>More than 180 Days</v>
      </c>
    </row>
    <row r="115" spans="1:15">
      <c r="C115" t="s">
        <v>4151</v>
      </c>
      <c r="D115" s="218">
        <v>44973</v>
      </c>
      <c r="E115" s="1760">
        <v>613600</v>
      </c>
      <c r="F115">
        <v>15</v>
      </c>
      <c r="G115" s="1760">
        <f t="shared" si="18"/>
        <v>30680</v>
      </c>
      <c r="H115" s="1760">
        <f t="shared" si="19"/>
        <v>582920</v>
      </c>
      <c r="I115" s="1852">
        <v>6.3299999999999995E-2</v>
      </c>
      <c r="J115">
        <f t="shared" si="16"/>
        <v>43</v>
      </c>
      <c r="K115" s="1760">
        <f t="shared" si="20"/>
        <v>4575.7749041095885</v>
      </c>
      <c r="L115" s="1760">
        <f t="shared" si="21"/>
        <v>609024.22509589046</v>
      </c>
      <c r="M115"/>
      <c r="O115" t="str">
        <f t="shared" si="17"/>
        <v>More than 180 Days</v>
      </c>
    </row>
    <row r="116" spans="1:15">
      <c r="C116" t="s">
        <v>4152</v>
      </c>
      <c r="D116" s="218">
        <v>44975</v>
      </c>
      <c r="E116" s="1760">
        <v>330400</v>
      </c>
      <c r="F116">
        <v>15</v>
      </c>
      <c r="G116" s="1760">
        <f t="shared" si="18"/>
        <v>16520</v>
      </c>
      <c r="H116" s="1760">
        <f t="shared" si="19"/>
        <v>313880</v>
      </c>
      <c r="I116" s="1852">
        <v>6.3299999999999995E-2</v>
      </c>
      <c r="J116">
        <f t="shared" si="16"/>
        <v>41</v>
      </c>
      <c r="K116" s="1760">
        <f t="shared" si="20"/>
        <v>2349.2797808219179</v>
      </c>
      <c r="L116" s="1760">
        <f t="shared" si="21"/>
        <v>328050.72021917807</v>
      </c>
      <c r="M116"/>
      <c r="O116" t="str">
        <f t="shared" si="17"/>
        <v>More than 180 Days</v>
      </c>
    </row>
    <row r="117" spans="1:15">
      <c r="C117" t="s">
        <v>4153</v>
      </c>
      <c r="D117" s="218">
        <v>44999</v>
      </c>
      <c r="E117" s="1760">
        <v>142780</v>
      </c>
      <c r="F117">
        <v>15</v>
      </c>
      <c r="G117" s="1760">
        <f t="shared" si="18"/>
        <v>7139</v>
      </c>
      <c r="H117" s="1760">
        <f t="shared" si="19"/>
        <v>135641</v>
      </c>
      <c r="I117" s="1852">
        <v>6.3299999999999995E-2</v>
      </c>
      <c r="J117">
        <f t="shared" si="16"/>
        <v>17</v>
      </c>
      <c r="K117" s="1760">
        <f t="shared" si="20"/>
        <v>420.94673424657532</v>
      </c>
      <c r="L117" s="1760">
        <f t="shared" si="21"/>
        <v>142359.05326575343</v>
      </c>
      <c r="M117"/>
      <c r="O117" t="str">
        <f t="shared" si="17"/>
        <v>More than 180 Days</v>
      </c>
    </row>
    <row r="118" spans="1:15">
      <c r="D118" s="218"/>
      <c r="G118" s="1760"/>
      <c r="H118" s="1760"/>
      <c r="K118" s="1760"/>
      <c r="L118" s="1760"/>
      <c r="M118"/>
    </row>
    <row r="119" spans="1:15">
      <c r="C119" t="s">
        <v>4154</v>
      </c>
      <c r="D119" s="218">
        <v>44841</v>
      </c>
      <c r="E119" s="1760">
        <v>1050000</v>
      </c>
      <c r="F119">
        <v>8</v>
      </c>
      <c r="G119" s="1760">
        <f t="shared" ref="G119:G121" si="22">E119*5%</f>
        <v>52500</v>
      </c>
      <c r="H119" s="1760">
        <f t="shared" ref="H119:H121" si="23">E119-G119</f>
        <v>997500</v>
      </c>
      <c r="I119" s="1852">
        <v>0.1188</v>
      </c>
      <c r="J119">
        <f t="shared" ref="J119:J121" si="24">$L$1-D119</f>
        <v>175</v>
      </c>
      <c r="K119" s="1760">
        <f t="shared" ref="K119:K121" si="25">E119*I119*J119/365</f>
        <v>59806.849315068495</v>
      </c>
      <c r="L119" s="1760">
        <f t="shared" ref="L119:L121" si="26">E119-K119</f>
        <v>990193.15068493155</v>
      </c>
      <c r="M119"/>
      <c r="O119" t="str">
        <f t="shared" si="17"/>
        <v>More than 180 Days</v>
      </c>
    </row>
    <row r="120" spans="1:15">
      <c r="C120" t="s">
        <v>4155</v>
      </c>
      <c r="D120" s="218">
        <v>44883</v>
      </c>
      <c r="E120" s="1861">
        <f>629000</f>
        <v>629000</v>
      </c>
      <c r="F120">
        <v>8</v>
      </c>
      <c r="G120" s="1760">
        <f t="shared" si="22"/>
        <v>31450</v>
      </c>
      <c r="H120" s="1760">
        <f t="shared" si="23"/>
        <v>597550</v>
      </c>
      <c r="I120" s="1852">
        <v>0.1188</v>
      </c>
      <c r="J120">
        <f t="shared" si="24"/>
        <v>133</v>
      </c>
      <c r="K120" s="1760">
        <f t="shared" si="25"/>
        <v>27228.634520547945</v>
      </c>
      <c r="L120" s="1760">
        <f t="shared" si="26"/>
        <v>601771.36547945207</v>
      </c>
      <c r="M120"/>
      <c r="O120" t="str">
        <f t="shared" si="17"/>
        <v>More than 180 Days</v>
      </c>
    </row>
    <row r="121" spans="1:15">
      <c r="C121" t="s">
        <v>4156</v>
      </c>
      <c r="D121" s="218">
        <v>44900</v>
      </c>
      <c r="E121" s="1760">
        <v>155000</v>
      </c>
      <c r="F121">
        <v>8</v>
      </c>
      <c r="G121" s="1760">
        <f t="shared" si="22"/>
        <v>7750</v>
      </c>
      <c r="H121" s="1760">
        <f t="shared" si="23"/>
        <v>147250</v>
      </c>
      <c r="I121" s="1852">
        <v>0.1188</v>
      </c>
      <c r="J121">
        <f t="shared" si="24"/>
        <v>116</v>
      </c>
      <c r="K121" s="1760">
        <f t="shared" si="25"/>
        <v>5852.1205479452055</v>
      </c>
      <c r="L121" s="1760">
        <f t="shared" si="26"/>
        <v>149147.8794520548</v>
      </c>
      <c r="M121"/>
      <c r="O121" t="str">
        <f t="shared" si="17"/>
        <v>More than 180 Days</v>
      </c>
    </row>
    <row r="122" spans="1:15">
      <c r="D122" s="218"/>
      <c r="G122" s="1760"/>
      <c r="M122"/>
    </row>
    <row r="123" spans="1:15">
      <c r="G123" s="254" t="s">
        <v>0</v>
      </c>
      <c r="H123" s="2181">
        <f>SUM(H119:H122)</f>
        <v>1742300</v>
      </c>
      <c r="K123" s="20">
        <f>SUM(K119:K122)</f>
        <v>92887.604383561644</v>
      </c>
      <c r="M123"/>
    </row>
    <row r="124" spans="1:15">
      <c r="A124" t="s">
        <v>3535</v>
      </c>
      <c r="E124"/>
      <c r="I124" s="371"/>
      <c r="L124" s="218">
        <v>44652</v>
      </c>
      <c r="M124"/>
    </row>
    <row r="125" spans="1:15">
      <c r="B125" s="254" t="s">
        <v>3467</v>
      </c>
      <c r="C125" s="254" t="s">
        <v>3468</v>
      </c>
      <c r="D125" s="254" t="s">
        <v>3469</v>
      </c>
      <c r="E125" s="254" t="s">
        <v>3471</v>
      </c>
      <c r="F125" s="254" t="s">
        <v>1362</v>
      </c>
      <c r="G125" s="254" t="s">
        <v>3474</v>
      </c>
      <c r="H125" s="254" t="s">
        <v>3475</v>
      </c>
      <c r="I125" s="254" t="s">
        <v>3476</v>
      </c>
      <c r="J125" s="254" t="s">
        <v>3472</v>
      </c>
      <c r="K125" s="254" t="s">
        <v>3473</v>
      </c>
      <c r="L125" s="254" t="s">
        <v>2123</v>
      </c>
      <c r="M125" s="254" t="s">
        <v>3537</v>
      </c>
      <c r="N125" s="254" t="s">
        <v>3539</v>
      </c>
    </row>
    <row r="126" spans="1:15">
      <c r="B126" t="s">
        <v>1131</v>
      </c>
      <c r="C126" s="1857" t="s">
        <v>3536</v>
      </c>
      <c r="D126" s="1858">
        <v>43922</v>
      </c>
      <c r="E126" s="1859">
        <v>860479.8</v>
      </c>
      <c r="F126" s="1860">
        <v>3</v>
      </c>
      <c r="G126" s="1861">
        <f t="shared" ref="G126:G149" si="27">E126*5%</f>
        <v>43023.990000000005</v>
      </c>
      <c r="H126" s="1862">
        <f t="shared" ref="H126:H149" si="28">E126-G126</f>
        <v>817455.81</v>
      </c>
      <c r="I126" s="1863">
        <v>0.31669999999999998</v>
      </c>
      <c r="J126" s="1860">
        <f>365</f>
        <v>365</v>
      </c>
      <c r="K126" s="1861">
        <f t="shared" ref="K126:K145" si="29">E126*I126*J126/365</f>
        <v>272513.95266000001</v>
      </c>
      <c r="L126" s="1861">
        <f>N126-K126</f>
        <v>82012.09467999998</v>
      </c>
      <c r="M126" s="1862">
        <v>505953.75266000006</v>
      </c>
      <c r="N126" s="1864">
        <f>E126-M126</f>
        <v>354526.04733999999</v>
      </c>
      <c r="O126" s="1856"/>
    </row>
    <row r="127" spans="1:15">
      <c r="C127" t="s">
        <v>3538</v>
      </c>
      <c r="D127" s="1853">
        <v>44092</v>
      </c>
      <c r="E127" s="1854">
        <v>31750</v>
      </c>
      <c r="F127" s="584">
        <v>3</v>
      </c>
      <c r="G127" s="1760">
        <f t="shared" si="27"/>
        <v>1587.5</v>
      </c>
      <c r="H127" s="618">
        <f t="shared" si="28"/>
        <v>30162.5</v>
      </c>
      <c r="I127" s="1855">
        <v>0.31669999999999998</v>
      </c>
      <c r="J127" s="584">
        <f>365</f>
        <v>365</v>
      </c>
      <c r="K127" s="1760">
        <f t="shared" si="29"/>
        <v>10055.224999999999</v>
      </c>
      <c r="L127" s="1760">
        <f t="shared" ref="L127:L149" si="30">N127-K127</f>
        <v>16618.109474885845</v>
      </c>
      <c r="M127" s="618">
        <v>5076.6655251141547</v>
      </c>
      <c r="N127" s="1856">
        <f t="shared" ref="N127:N149" si="31">E127-M127</f>
        <v>26673.334474885844</v>
      </c>
    </row>
    <row r="128" spans="1:15">
      <c r="C128" t="s">
        <v>3538</v>
      </c>
      <c r="D128" s="1853">
        <v>44094</v>
      </c>
      <c r="E128" s="1854">
        <v>26400</v>
      </c>
      <c r="F128" s="584">
        <v>3</v>
      </c>
      <c r="G128" s="1760">
        <f t="shared" si="27"/>
        <v>1320</v>
      </c>
      <c r="H128" s="618">
        <f t="shared" si="28"/>
        <v>25080</v>
      </c>
      <c r="I128" s="1855">
        <v>0.31669999999999998</v>
      </c>
      <c r="J128" s="584">
        <f>365</f>
        <v>365</v>
      </c>
      <c r="K128" s="1760">
        <f t="shared" si="29"/>
        <v>8360.8799999999992</v>
      </c>
      <c r="L128" s="1760">
        <f t="shared" si="30"/>
        <v>13861.410410958908</v>
      </c>
      <c r="M128" s="618">
        <v>4177.7095890410947</v>
      </c>
      <c r="N128" s="1856">
        <f t="shared" si="31"/>
        <v>22222.290410958907</v>
      </c>
    </row>
    <row r="129" spans="2:17">
      <c r="C129" t="s">
        <v>3538</v>
      </c>
      <c r="D129" s="1853">
        <v>44190</v>
      </c>
      <c r="E129" s="1854">
        <v>88800</v>
      </c>
      <c r="F129" s="584">
        <v>3</v>
      </c>
      <c r="G129" s="1760">
        <f t="shared" si="27"/>
        <v>4440</v>
      </c>
      <c r="H129" s="618">
        <f t="shared" si="28"/>
        <v>84360</v>
      </c>
      <c r="I129" s="1855">
        <v>0.31669999999999998</v>
      </c>
      <c r="J129" s="584">
        <f>365</f>
        <v>365</v>
      </c>
      <c r="K129" s="1760">
        <f t="shared" si="29"/>
        <v>28122.960000000003</v>
      </c>
      <c r="L129" s="1760">
        <f t="shared" si="30"/>
        <v>53650.892054794516</v>
      </c>
      <c r="M129" s="618">
        <v>7026.14794520548</v>
      </c>
      <c r="N129" s="1856">
        <f t="shared" si="31"/>
        <v>81773.852054794523</v>
      </c>
    </row>
    <row r="130" spans="2:17">
      <c r="C130" t="s">
        <v>3538</v>
      </c>
      <c r="D130" s="1853">
        <v>44232</v>
      </c>
      <c r="E130" s="1854">
        <v>29000</v>
      </c>
      <c r="F130" s="584">
        <v>3</v>
      </c>
      <c r="G130" s="1760">
        <f t="shared" si="27"/>
        <v>1450</v>
      </c>
      <c r="H130" s="618">
        <f t="shared" si="28"/>
        <v>27550</v>
      </c>
      <c r="I130" s="1855">
        <v>0.31669999999999998</v>
      </c>
      <c r="J130" s="584">
        <f>365</f>
        <v>365</v>
      </c>
      <c r="K130" s="1760">
        <f t="shared" si="29"/>
        <v>9184.2999999999993</v>
      </c>
      <c r="L130" s="1760">
        <f t="shared" si="30"/>
        <v>18525.001369863014</v>
      </c>
      <c r="M130" s="618">
        <v>1290.6986301369864</v>
      </c>
      <c r="N130" s="1856">
        <f t="shared" si="31"/>
        <v>27709.301369863013</v>
      </c>
    </row>
    <row r="131" spans="2:17">
      <c r="C131" t="s">
        <v>3538</v>
      </c>
      <c r="D131" s="1853">
        <v>44245</v>
      </c>
      <c r="E131" s="1854">
        <v>30400</v>
      </c>
      <c r="F131" s="584">
        <v>3</v>
      </c>
      <c r="G131" s="1760">
        <f t="shared" si="27"/>
        <v>1520</v>
      </c>
      <c r="H131" s="618">
        <f t="shared" si="28"/>
        <v>28880</v>
      </c>
      <c r="I131" s="1855">
        <v>0.31669999999999998</v>
      </c>
      <c r="J131" s="584">
        <f>365</f>
        <v>365</v>
      </c>
      <c r="K131" s="1760">
        <f t="shared" si="29"/>
        <v>9627.68</v>
      </c>
      <c r="L131" s="1760">
        <f t="shared" si="30"/>
        <v>19745.03598173516</v>
      </c>
      <c r="M131" s="618">
        <v>1027.2840182648401</v>
      </c>
      <c r="N131" s="1856">
        <f t="shared" si="31"/>
        <v>29372.71598173516</v>
      </c>
    </row>
    <row r="132" spans="2:17">
      <c r="C132" t="s">
        <v>3538</v>
      </c>
      <c r="D132" s="1853">
        <v>44259</v>
      </c>
      <c r="E132" s="1854">
        <v>19470</v>
      </c>
      <c r="F132" s="584">
        <v>3</v>
      </c>
      <c r="G132" s="1760">
        <f t="shared" si="27"/>
        <v>973.5</v>
      </c>
      <c r="H132" s="618">
        <f t="shared" si="28"/>
        <v>18496.5</v>
      </c>
      <c r="I132" s="1855">
        <v>0.31669999999999998</v>
      </c>
      <c r="J132" s="584">
        <f>365</f>
        <v>365</v>
      </c>
      <c r="K132" s="1760">
        <f t="shared" si="29"/>
        <v>6166.1489999999994</v>
      </c>
      <c r="L132" s="1760">
        <f t="shared" si="30"/>
        <v>12870.576821917808</v>
      </c>
      <c r="M132" s="618">
        <v>433.27417808219178</v>
      </c>
      <c r="N132" s="1856">
        <f t="shared" si="31"/>
        <v>19036.725821917807</v>
      </c>
    </row>
    <row r="133" spans="2:17">
      <c r="C133" t="s">
        <v>3538</v>
      </c>
      <c r="D133" s="1853">
        <v>44264</v>
      </c>
      <c r="E133" s="1854">
        <v>15989</v>
      </c>
      <c r="F133" s="584">
        <v>3</v>
      </c>
      <c r="G133" s="1760">
        <f t="shared" si="27"/>
        <v>799.45</v>
      </c>
      <c r="H133" s="618">
        <f t="shared" si="28"/>
        <v>15189.55</v>
      </c>
      <c r="I133" s="1855">
        <v>0.31669999999999998</v>
      </c>
      <c r="J133" s="584">
        <f>365</f>
        <v>365</v>
      </c>
      <c r="K133" s="1760">
        <f t="shared" si="29"/>
        <v>5063.7163</v>
      </c>
      <c r="L133" s="1760">
        <f t="shared" si="30"/>
        <v>10635.366343832475</v>
      </c>
      <c r="M133" s="618">
        <v>289.91735616752499</v>
      </c>
      <c r="N133" s="1856">
        <f t="shared" si="31"/>
        <v>15699.082643832475</v>
      </c>
      <c r="O133" s="1856"/>
    </row>
    <row r="134" spans="2:17">
      <c r="C134" t="s">
        <v>3538</v>
      </c>
      <c r="D134" s="1853">
        <v>44286</v>
      </c>
      <c r="E134" s="1854">
        <v>13280</v>
      </c>
      <c r="F134" s="584">
        <v>3</v>
      </c>
      <c r="G134" s="1760">
        <f t="shared" si="27"/>
        <v>664</v>
      </c>
      <c r="H134" s="618">
        <f t="shared" si="28"/>
        <v>12616</v>
      </c>
      <c r="I134" s="1855">
        <v>0.31669999999999998</v>
      </c>
      <c r="J134" s="584">
        <f>365</f>
        <v>365</v>
      </c>
      <c r="K134" s="1760">
        <f t="shared" si="29"/>
        <v>4205.7759999999998</v>
      </c>
      <c r="L134" s="1760">
        <f t="shared" si="30"/>
        <v>9074.2240000000002</v>
      </c>
      <c r="M134" s="618">
        <v>0</v>
      </c>
      <c r="N134" s="1856">
        <f t="shared" si="31"/>
        <v>13280</v>
      </c>
      <c r="O134" s="1856"/>
    </row>
    <row r="135" spans="2:17">
      <c r="D135" s="1853"/>
      <c r="E135" s="1854"/>
      <c r="F135" s="584"/>
      <c r="G135" s="1760"/>
      <c r="H135" s="618"/>
      <c r="I135" s="1855"/>
      <c r="J135" s="584"/>
      <c r="K135" s="1760"/>
      <c r="L135" s="1760"/>
      <c r="M135" s="618"/>
      <c r="O135" s="1856"/>
    </row>
    <row r="136" spans="2:17">
      <c r="B136" t="s">
        <v>2382</v>
      </c>
      <c r="C136" s="1857" t="s">
        <v>3536</v>
      </c>
      <c r="D136" s="1865">
        <v>43922</v>
      </c>
      <c r="E136" s="1859">
        <v>44957759.029169858</v>
      </c>
      <c r="F136" s="1860">
        <v>15</v>
      </c>
      <c r="G136" s="1861">
        <f t="shared" si="27"/>
        <v>2247887.9514584928</v>
      </c>
      <c r="H136" s="1862">
        <f t="shared" si="28"/>
        <v>42709871.077711366</v>
      </c>
      <c r="I136" s="1863">
        <v>6.3299999999999995E-2</v>
      </c>
      <c r="J136" s="1860">
        <f>365</f>
        <v>365</v>
      </c>
      <c r="K136" s="1861">
        <f t="shared" si="29"/>
        <v>2845826.1465464518</v>
      </c>
      <c r="L136" s="1861">
        <f t="shared" si="30"/>
        <v>38809324.326076955</v>
      </c>
      <c r="M136" s="1861">
        <v>3302608.5565464501</v>
      </c>
      <c r="N136" s="1864">
        <f t="shared" si="31"/>
        <v>41655150.472623408</v>
      </c>
      <c r="P136" s="1760"/>
    </row>
    <row r="137" spans="2:17">
      <c r="C137" t="s">
        <v>3538</v>
      </c>
      <c r="D137" s="218">
        <v>44020</v>
      </c>
      <c r="E137" s="1854">
        <v>1062000</v>
      </c>
      <c r="F137" s="584">
        <v>15</v>
      </c>
      <c r="G137" s="1760">
        <f t="shared" si="27"/>
        <v>53100</v>
      </c>
      <c r="H137" s="618">
        <f t="shared" si="28"/>
        <v>1008900</v>
      </c>
      <c r="I137" s="1855">
        <v>6.3299999999999995E-2</v>
      </c>
      <c r="J137" s="584">
        <f>365</f>
        <v>365</v>
      </c>
      <c r="K137" s="1760">
        <f t="shared" si="29"/>
        <v>67224.599999999991</v>
      </c>
      <c r="L137" s="1760">
        <f t="shared" si="30"/>
        <v>948209.36712328764</v>
      </c>
      <c r="M137" s="1760">
        <v>46566.032876712336</v>
      </c>
      <c r="N137" s="1856">
        <f t="shared" si="31"/>
        <v>1015433.9671232876</v>
      </c>
      <c r="P137" s="1760"/>
    </row>
    <row r="138" spans="2:17">
      <c r="C138" t="s">
        <v>3538</v>
      </c>
      <c r="D138" s="218">
        <v>44072</v>
      </c>
      <c r="E138" s="1854">
        <v>22267</v>
      </c>
      <c r="F138" s="584">
        <v>15</v>
      </c>
      <c r="G138" s="1760">
        <f t="shared" si="27"/>
        <v>1113.3500000000001</v>
      </c>
      <c r="H138" s="618">
        <f t="shared" si="28"/>
        <v>21153.65</v>
      </c>
      <c r="I138" s="1855">
        <v>6.3299999999999995E-2</v>
      </c>
      <c r="J138" s="584">
        <f>365</f>
        <v>365</v>
      </c>
      <c r="K138" s="1760">
        <f t="shared" si="29"/>
        <v>1409.5011</v>
      </c>
      <c r="L138" s="1760">
        <f t="shared" si="30"/>
        <v>20072.016394972779</v>
      </c>
      <c r="M138" s="1760">
        <v>785.4825050272193</v>
      </c>
      <c r="N138" s="1856">
        <f t="shared" si="31"/>
        <v>21481.517494972781</v>
      </c>
      <c r="P138" s="1760"/>
      <c r="Q138" s="371"/>
    </row>
    <row r="139" spans="2:17">
      <c r="C139" t="s">
        <v>3538</v>
      </c>
      <c r="D139" s="218">
        <v>44095</v>
      </c>
      <c r="E139" s="1854">
        <v>5048</v>
      </c>
      <c r="F139" s="584">
        <v>15</v>
      </c>
      <c r="G139" s="1760">
        <f t="shared" si="27"/>
        <v>252.4</v>
      </c>
      <c r="H139" s="618">
        <f t="shared" si="28"/>
        <v>4795.6000000000004</v>
      </c>
      <c r="I139" s="1855">
        <v>6.3299999999999995E-2</v>
      </c>
      <c r="J139" s="584">
        <f>365</f>
        <v>365</v>
      </c>
      <c r="K139" s="1760">
        <f t="shared" si="29"/>
        <v>319.53839999999997</v>
      </c>
      <c r="L139" s="1760">
        <f t="shared" si="30"/>
        <v>4569.5279707762556</v>
      </c>
      <c r="M139" s="1760">
        <v>158.93362922374433</v>
      </c>
      <c r="N139" s="1856">
        <f t="shared" si="31"/>
        <v>4889.066370776256</v>
      </c>
      <c r="P139" s="1856"/>
      <c r="Q139" s="371"/>
    </row>
    <row r="140" spans="2:17">
      <c r="C140" t="s">
        <v>3538</v>
      </c>
      <c r="D140" s="218">
        <v>44111</v>
      </c>
      <c r="E140" s="1854">
        <v>224200</v>
      </c>
      <c r="F140" s="584">
        <v>15</v>
      </c>
      <c r="G140" s="1760">
        <f t="shared" si="27"/>
        <v>11210</v>
      </c>
      <c r="H140" s="618">
        <f t="shared" si="28"/>
        <v>212990</v>
      </c>
      <c r="I140" s="1855">
        <v>6.3299999999999995E-2</v>
      </c>
      <c r="J140" s="584">
        <f>365</f>
        <v>365</v>
      </c>
      <c r="K140" s="1760">
        <f t="shared" si="29"/>
        <v>14191.859999999999</v>
      </c>
      <c r="L140" s="1760">
        <f t="shared" si="30"/>
        <v>203540.63543378995</v>
      </c>
      <c r="M140" s="1760">
        <v>6467.5045662100465</v>
      </c>
      <c r="N140" s="1856">
        <f t="shared" si="31"/>
        <v>217732.49543378994</v>
      </c>
      <c r="P140" s="371"/>
      <c r="Q140" s="371"/>
    </row>
    <row r="141" spans="2:17">
      <c r="C141" t="s">
        <v>3538</v>
      </c>
      <c r="D141" s="218">
        <v>44140</v>
      </c>
      <c r="E141" s="1854">
        <v>224200</v>
      </c>
      <c r="F141" s="584">
        <v>15</v>
      </c>
      <c r="G141" s="1760">
        <f t="shared" si="27"/>
        <v>11210</v>
      </c>
      <c r="H141" s="618">
        <f t="shared" si="28"/>
        <v>212990</v>
      </c>
      <c r="I141" s="1855">
        <v>6.3299999999999995E-2</v>
      </c>
      <c r="J141" s="584">
        <f>365</f>
        <v>365</v>
      </c>
      <c r="K141" s="1760">
        <f t="shared" si="29"/>
        <v>14191.859999999999</v>
      </c>
      <c r="L141" s="1760">
        <f t="shared" si="30"/>
        <v>204612.39333333334</v>
      </c>
      <c r="M141" s="1760">
        <v>5395.7466666666678</v>
      </c>
      <c r="N141" s="1856">
        <f t="shared" si="31"/>
        <v>218804.25333333333</v>
      </c>
      <c r="P141" s="371"/>
    </row>
    <row r="142" spans="2:17">
      <c r="C142" t="s">
        <v>3538</v>
      </c>
      <c r="D142" s="218">
        <v>44194</v>
      </c>
      <c r="E142" s="1854">
        <v>555190</v>
      </c>
      <c r="F142" s="584">
        <v>15</v>
      </c>
      <c r="G142" s="1760">
        <f t="shared" si="27"/>
        <v>27759.5</v>
      </c>
      <c r="H142" s="618">
        <f t="shared" si="28"/>
        <v>527430.5</v>
      </c>
      <c r="I142" s="1855">
        <v>6.3299999999999995E-2</v>
      </c>
      <c r="J142" s="584">
        <f>365</f>
        <v>365</v>
      </c>
      <c r="K142" s="1760">
        <f t="shared" si="29"/>
        <v>35143.526999999995</v>
      </c>
      <c r="L142" s="1760">
        <f t="shared" si="30"/>
        <v>511626.85186757986</v>
      </c>
      <c r="M142" s="1760">
        <v>8419.6211324200922</v>
      </c>
      <c r="N142" s="1856">
        <f t="shared" si="31"/>
        <v>546770.37886757986</v>
      </c>
    </row>
    <row r="143" spans="2:17">
      <c r="C143" t="s">
        <v>3538</v>
      </c>
      <c r="D143" s="218">
        <v>44272</v>
      </c>
      <c r="E143" s="1854">
        <v>359900</v>
      </c>
      <c r="F143" s="584">
        <v>15</v>
      </c>
      <c r="G143" s="1760">
        <f t="shared" si="27"/>
        <v>17995</v>
      </c>
      <c r="H143" s="618">
        <f t="shared" si="28"/>
        <v>341905</v>
      </c>
      <c r="I143" s="1855">
        <v>6.3299999999999995E-2</v>
      </c>
      <c r="J143" s="584">
        <f>365</f>
        <v>365</v>
      </c>
      <c r="K143" s="1760">
        <f t="shared" si="29"/>
        <v>22781.67</v>
      </c>
      <c r="L143" s="1760">
        <f t="shared" si="30"/>
        <v>336287.76625570777</v>
      </c>
      <c r="M143" s="1760">
        <v>830.56374429223752</v>
      </c>
      <c r="N143" s="1856">
        <f t="shared" si="31"/>
        <v>359069.43625570775</v>
      </c>
    </row>
    <row r="144" spans="2:17">
      <c r="C144" t="s">
        <v>3538</v>
      </c>
      <c r="D144" s="218">
        <v>44276</v>
      </c>
      <c r="E144" s="1854">
        <v>7000</v>
      </c>
      <c r="F144" s="584">
        <v>15</v>
      </c>
      <c r="G144" s="1760">
        <f t="shared" si="27"/>
        <v>350</v>
      </c>
      <c r="H144" s="618">
        <f t="shared" si="28"/>
        <v>6650</v>
      </c>
      <c r="I144" s="1855">
        <v>6.3299999999999995E-2</v>
      </c>
      <c r="J144" s="584">
        <f>365</f>
        <v>365</v>
      </c>
      <c r="K144" s="1760">
        <f t="shared" si="29"/>
        <v>443.1</v>
      </c>
      <c r="L144" s="1760">
        <f t="shared" si="30"/>
        <v>6545.3611872146112</v>
      </c>
      <c r="M144" s="1760">
        <v>11.538812785388124</v>
      </c>
      <c r="N144" s="1856">
        <f t="shared" si="31"/>
        <v>6988.4611872146115</v>
      </c>
    </row>
    <row r="145" spans="2:14">
      <c r="C145" t="s">
        <v>3538</v>
      </c>
      <c r="D145" s="218">
        <v>44279</v>
      </c>
      <c r="E145" s="1854">
        <v>1395972</v>
      </c>
      <c r="F145" s="584">
        <v>15</v>
      </c>
      <c r="G145" s="1760">
        <f t="shared" si="27"/>
        <v>69798.600000000006</v>
      </c>
      <c r="H145" s="618">
        <f t="shared" si="28"/>
        <v>1326173.3999999999</v>
      </c>
      <c r="I145" s="1855">
        <v>6.3299999999999995E-2</v>
      </c>
      <c r="J145" s="584">
        <f>365</f>
        <v>365</v>
      </c>
      <c r="K145" s="1760">
        <f t="shared" si="29"/>
        <v>88365.027599999987</v>
      </c>
      <c r="L145" s="1760">
        <f t="shared" si="30"/>
        <v>1305996.1864438357</v>
      </c>
      <c r="M145" s="1760">
        <v>1610.7859561643832</v>
      </c>
      <c r="N145" s="1856">
        <f t="shared" si="31"/>
        <v>1394361.2140438356</v>
      </c>
    </row>
    <row r="146" spans="2:14">
      <c r="D146" s="218"/>
      <c r="E146" s="1854"/>
      <c r="F146" s="584"/>
      <c r="G146" s="1760"/>
      <c r="H146" s="618"/>
      <c r="I146" s="1855"/>
      <c r="J146" s="584"/>
      <c r="K146" s="1760"/>
      <c r="L146" s="1760"/>
    </row>
    <row r="147" spans="2:14">
      <c r="B147" t="s">
        <v>2379</v>
      </c>
      <c r="C147" t="s">
        <v>3536</v>
      </c>
      <c r="D147" s="218">
        <v>43922</v>
      </c>
      <c r="E147" s="1854">
        <v>681807</v>
      </c>
      <c r="F147" s="584">
        <v>10</v>
      </c>
      <c r="G147" s="1868">
        <f t="shared" si="27"/>
        <v>34090.35</v>
      </c>
      <c r="H147" s="618">
        <f t="shared" si="28"/>
        <v>647716.65</v>
      </c>
      <c r="I147" s="1855">
        <v>9.5000000000000001E-2</v>
      </c>
      <c r="J147" s="584">
        <f>365</f>
        <v>365</v>
      </c>
      <c r="K147" s="1868">
        <v>0</v>
      </c>
      <c r="L147" s="1868">
        <f t="shared" si="30"/>
        <v>34090</v>
      </c>
      <c r="M147" s="1868">
        <v>647717</v>
      </c>
      <c r="N147" s="1856">
        <f t="shared" si="31"/>
        <v>34090</v>
      </c>
    </row>
    <row r="148" spans="2:14">
      <c r="D148" s="218"/>
      <c r="E148" s="1854"/>
      <c r="F148" s="584"/>
      <c r="G148" s="1760"/>
      <c r="H148" s="618"/>
      <c r="I148" s="1855"/>
      <c r="J148" s="584"/>
      <c r="K148" s="1760"/>
      <c r="L148" s="1760"/>
    </row>
    <row r="149" spans="2:14">
      <c r="B149" t="s">
        <v>2384</v>
      </c>
      <c r="C149" s="1857" t="s">
        <v>3536</v>
      </c>
      <c r="D149" s="1865">
        <v>43922</v>
      </c>
      <c r="E149" s="1859">
        <v>4081156</v>
      </c>
      <c r="F149" s="1860">
        <v>8</v>
      </c>
      <c r="G149" s="1861">
        <f t="shared" si="27"/>
        <v>204057.80000000002</v>
      </c>
      <c r="H149" s="1862">
        <f t="shared" si="28"/>
        <v>3877098.2</v>
      </c>
      <c r="I149" s="1863">
        <v>0.11550000000000001</v>
      </c>
      <c r="J149" s="1860">
        <v>365</v>
      </c>
      <c r="K149" s="1861">
        <f t="shared" ref="K149" si="32">E149*I149*J149/365</f>
        <v>471373.51800000004</v>
      </c>
      <c r="L149" s="1861">
        <f t="shared" si="30"/>
        <v>3060163.7289759996</v>
      </c>
      <c r="M149" s="1861">
        <v>549618.75302400009</v>
      </c>
      <c r="N149" s="1864">
        <f t="shared" si="31"/>
        <v>3531537.2469759998</v>
      </c>
    </row>
    <row r="150" spans="2:14">
      <c r="D150" s="218"/>
    </row>
    <row r="152" spans="2:14">
      <c r="E152" s="1760" t="s">
        <v>4157</v>
      </c>
      <c r="F152" s="371" t="e">
        <f>K149+K136+K126+H123+#REF!+#REF!+#REF!</f>
        <v>#REF!</v>
      </c>
    </row>
  </sheetData>
  <autoFilter ref="B2:O149" xr:uid="{00000000-0009-0000-0000-00001D000000}"/>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94"/>
  <sheetViews>
    <sheetView zoomScaleNormal="100" workbookViewId="0">
      <pane xSplit="5" ySplit="3" topLeftCell="F37" activePane="bottomRight" state="frozen"/>
      <selection pane="topRight" activeCell="F1" sqref="F1"/>
      <selection pane="bottomLeft" activeCell="A4" sqref="A4"/>
      <selection pane="bottomRight" activeCell="F60" sqref="F60"/>
    </sheetView>
  </sheetViews>
  <sheetFormatPr defaultRowHeight="14.4"/>
  <cols>
    <col min="2" max="2" width="19.44140625" bestFit="1" customWidth="1"/>
    <col min="3" max="3" width="22.44140625" bestFit="1" customWidth="1"/>
    <col min="4" max="4" width="15.5546875" bestFit="1" customWidth="1"/>
    <col min="5" max="5" width="18.5546875" style="1760" bestFit="1" customWidth="1"/>
    <col min="6" max="7" width="18.5546875" customWidth="1"/>
    <col min="8" max="8" width="20.5546875" bestFit="1" customWidth="1"/>
    <col min="9" max="9" width="20.5546875" style="1852" customWidth="1"/>
    <col min="10" max="10" width="24.44140625" bestFit="1" customWidth="1"/>
    <col min="11" max="11" width="20" bestFit="1" customWidth="1"/>
    <col min="12" max="12" width="14.5546875" bestFit="1" customWidth="1"/>
    <col min="13" max="13" width="26.44140625" style="1760" bestFit="1" customWidth="1"/>
    <col min="14" max="14" width="21" bestFit="1" customWidth="1"/>
    <col min="15" max="15" width="29.5546875" bestFit="1" customWidth="1"/>
    <col min="16" max="16" width="14.5546875" bestFit="1" customWidth="1"/>
    <col min="17" max="17" width="14.44140625" bestFit="1" customWidth="1"/>
  </cols>
  <sheetData>
    <row r="1" spans="2:15">
      <c r="E1"/>
      <c r="I1" s="371"/>
      <c r="L1" s="218">
        <v>44652</v>
      </c>
      <c r="M1"/>
      <c r="O1" s="218">
        <v>44472</v>
      </c>
    </row>
    <row r="2" spans="2:15">
      <c r="B2" s="254" t="s">
        <v>3467</v>
      </c>
      <c r="C2" s="254" t="s">
        <v>3468</v>
      </c>
      <c r="D2" s="254" t="s">
        <v>3469</v>
      </c>
      <c r="E2" s="254" t="s">
        <v>3471</v>
      </c>
      <c r="F2" s="254" t="s">
        <v>1362</v>
      </c>
      <c r="G2" s="254" t="s">
        <v>3474</v>
      </c>
      <c r="H2" s="254" t="s">
        <v>3475</v>
      </c>
      <c r="I2" s="254" t="s">
        <v>3476</v>
      </c>
      <c r="J2" s="254" t="s">
        <v>3472</v>
      </c>
      <c r="K2" s="254" t="s">
        <v>3473</v>
      </c>
      <c r="L2" s="254" t="s">
        <v>2123</v>
      </c>
      <c r="M2" s="254" t="s">
        <v>3537</v>
      </c>
      <c r="N2" s="254" t="s">
        <v>3539</v>
      </c>
      <c r="O2" s="254" t="s">
        <v>3540</v>
      </c>
    </row>
    <row r="3" spans="2:15">
      <c r="E3"/>
      <c r="I3"/>
      <c r="M3"/>
    </row>
    <row r="4" spans="2:15">
      <c r="B4" t="s">
        <v>3470</v>
      </c>
      <c r="C4" t="s">
        <v>2472</v>
      </c>
      <c r="D4" s="218">
        <v>44307</v>
      </c>
      <c r="E4" s="1760">
        <v>121490</v>
      </c>
      <c r="F4" s="1760">
        <v>5</v>
      </c>
      <c r="G4" s="1760">
        <f>E4*5%</f>
        <v>6074.5</v>
      </c>
      <c r="H4" s="1760">
        <f>E4-G4</f>
        <v>115415.5</v>
      </c>
      <c r="I4" s="1852">
        <v>0.19</v>
      </c>
      <c r="J4">
        <f>$L$1-D4</f>
        <v>345</v>
      </c>
      <c r="K4" s="1760">
        <f>E4*I4*J4/365</f>
        <v>21818.272602739722</v>
      </c>
      <c r="L4" s="1760">
        <f>E4-K4</f>
        <v>99671.727397260285</v>
      </c>
      <c r="M4" s="20"/>
      <c r="O4" t="str">
        <f>IF(D4&lt;$O$1,"More than 180 Days","less than 180 Days")</f>
        <v>More than 180 Days</v>
      </c>
    </row>
    <row r="5" spans="2:15">
      <c r="E5"/>
      <c r="K5" s="1760"/>
      <c r="L5" s="1760"/>
      <c r="M5"/>
    </row>
    <row r="6" spans="2:15">
      <c r="B6" t="s">
        <v>1131</v>
      </c>
      <c r="C6" t="s">
        <v>1150</v>
      </c>
      <c r="D6" s="218">
        <v>44445</v>
      </c>
      <c r="E6" s="1760">
        <v>60250</v>
      </c>
      <c r="F6">
        <v>3</v>
      </c>
      <c r="G6" s="1760">
        <f t="shared" ref="G6:G13" si="0">E6*5%</f>
        <v>3012.5</v>
      </c>
      <c r="H6" s="1760">
        <f t="shared" ref="H6:H13" si="1">E6-G6</f>
        <v>57237.5</v>
      </c>
      <c r="I6" s="1852">
        <v>0.31669999999999998</v>
      </c>
      <c r="J6">
        <f>$L$1-D6</f>
        <v>207</v>
      </c>
      <c r="K6" s="1760">
        <f>E6*I6*J6/365</f>
        <v>10821.378698630137</v>
      </c>
      <c r="L6" s="1760">
        <f>E6-K6</f>
        <v>49428.621301369865</v>
      </c>
      <c r="M6"/>
      <c r="O6" t="str">
        <f t="shared" ref="O6:O13" si="2">IF(D6&lt;$O$1,"More than 180 Days","less than 180 Days")</f>
        <v>More than 180 Days</v>
      </c>
    </row>
    <row r="7" spans="2:15">
      <c r="C7" t="s">
        <v>1151</v>
      </c>
      <c r="D7" s="218">
        <v>44572</v>
      </c>
      <c r="E7" s="1760">
        <v>44800</v>
      </c>
      <c r="F7">
        <v>3</v>
      </c>
      <c r="G7" s="1760">
        <f t="shared" si="0"/>
        <v>2240</v>
      </c>
      <c r="H7" s="1760">
        <f t="shared" si="1"/>
        <v>42560</v>
      </c>
      <c r="I7" s="1852">
        <v>0.31669999999999998</v>
      </c>
      <c r="J7">
        <f t="shared" ref="J7:J13" si="3">$L$1-D7</f>
        <v>80</v>
      </c>
      <c r="K7" s="1760">
        <f t="shared" ref="K7:K13" si="4">E7*I7*J7/365</f>
        <v>3109.733698630137</v>
      </c>
      <c r="L7" s="1760">
        <f t="shared" ref="L7:L13" si="5">E7-K7</f>
        <v>41690.266301369862</v>
      </c>
      <c r="M7"/>
      <c r="O7" t="str">
        <f t="shared" si="2"/>
        <v>less than 180 Days</v>
      </c>
    </row>
    <row r="8" spans="2:15">
      <c r="C8" t="s">
        <v>3479</v>
      </c>
      <c r="D8" s="218">
        <v>44572</v>
      </c>
      <c r="E8" s="1760">
        <v>48800</v>
      </c>
      <c r="F8">
        <v>3</v>
      </c>
      <c r="G8" s="1760">
        <f t="shared" si="0"/>
        <v>2440</v>
      </c>
      <c r="H8" s="1760">
        <f t="shared" si="1"/>
        <v>46360</v>
      </c>
      <c r="I8" s="1852">
        <v>0.31669999999999998</v>
      </c>
      <c r="J8">
        <f t="shared" si="3"/>
        <v>80</v>
      </c>
      <c r="K8" s="1760">
        <f t="shared" si="4"/>
        <v>3387.3884931506846</v>
      </c>
      <c r="L8" s="1760">
        <f t="shared" si="5"/>
        <v>45412.611506849316</v>
      </c>
      <c r="M8"/>
      <c r="O8" t="str">
        <f t="shared" si="2"/>
        <v>less than 180 Days</v>
      </c>
    </row>
    <row r="9" spans="2:15">
      <c r="C9" t="s">
        <v>3480</v>
      </c>
      <c r="D9" s="218">
        <v>44590</v>
      </c>
      <c r="E9" s="1760">
        <v>92520</v>
      </c>
      <c r="F9">
        <v>3</v>
      </c>
      <c r="G9" s="1760">
        <f t="shared" si="0"/>
        <v>4626</v>
      </c>
      <c r="H9" s="1760">
        <f t="shared" si="1"/>
        <v>87894</v>
      </c>
      <c r="I9" s="1852">
        <v>0.31669999999999998</v>
      </c>
      <c r="J9">
        <f t="shared" si="3"/>
        <v>62</v>
      </c>
      <c r="K9" s="1760">
        <f t="shared" si="4"/>
        <v>4977.1704328767119</v>
      </c>
      <c r="L9" s="1760">
        <f t="shared" si="5"/>
        <v>87542.829567123292</v>
      </c>
      <c r="M9"/>
      <c r="O9" t="str">
        <f t="shared" si="2"/>
        <v>less than 180 Days</v>
      </c>
    </row>
    <row r="10" spans="2:15">
      <c r="C10" t="s">
        <v>3481</v>
      </c>
      <c r="D10" s="218">
        <v>44590</v>
      </c>
      <c r="E10" s="1760">
        <v>11977</v>
      </c>
      <c r="F10">
        <v>3</v>
      </c>
      <c r="G10" s="1760">
        <f t="shared" si="0"/>
        <v>598.85</v>
      </c>
      <c r="H10" s="1760">
        <f t="shared" si="1"/>
        <v>11378.15</v>
      </c>
      <c r="I10" s="1852">
        <v>0.31669999999999998</v>
      </c>
      <c r="J10">
        <f t="shared" si="3"/>
        <v>62</v>
      </c>
      <c r="K10" s="1760">
        <f t="shared" si="4"/>
        <v>644.31009808219176</v>
      </c>
      <c r="L10" s="1760">
        <f t="shared" si="5"/>
        <v>11332.689901917809</v>
      </c>
      <c r="M10"/>
      <c r="O10" t="str">
        <f t="shared" si="2"/>
        <v>less than 180 Days</v>
      </c>
    </row>
    <row r="11" spans="2:15">
      <c r="C11" t="s">
        <v>3482</v>
      </c>
      <c r="D11" s="218">
        <v>44600</v>
      </c>
      <c r="E11" s="1760">
        <v>144430</v>
      </c>
      <c r="F11">
        <v>3</v>
      </c>
      <c r="G11" s="1760">
        <f t="shared" si="0"/>
        <v>7221.5</v>
      </c>
      <c r="H11" s="1760">
        <f t="shared" si="1"/>
        <v>137208.5</v>
      </c>
      <c r="I11" s="1852">
        <v>0.31669999999999998</v>
      </c>
      <c r="J11">
        <f t="shared" si="3"/>
        <v>52</v>
      </c>
      <c r="K11" s="1760">
        <f t="shared" si="4"/>
        <v>6516.5233205479453</v>
      </c>
      <c r="L11" s="1760">
        <f t="shared" si="5"/>
        <v>137913.47667945205</v>
      </c>
      <c r="M11"/>
      <c r="O11" t="str">
        <f t="shared" si="2"/>
        <v>less than 180 Days</v>
      </c>
    </row>
    <row r="12" spans="2:15">
      <c r="C12" t="s">
        <v>3483</v>
      </c>
      <c r="D12" s="218">
        <v>44616</v>
      </c>
      <c r="E12" s="1760">
        <v>59969</v>
      </c>
      <c r="F12">
        <v>3</v>
      </c>
      <c r="G12" s="1760">
        <f t="shared" si="0"/>
        <v>2998.4500000000003</v>
      </c>
      <c r="H12" s="1760">
        <f t="shared" si="1"/>
        <v>56970.55</v>
      </c>
      <c r="I12" s="1852">
        <v>0.31669999999999998</v>
      </c>
      <c r="J12">
        <f t="shared" si="3"/>
        <v>36</v>
      </c>
      <c r="K12" s="1760">
        <f t="shared" si="4"/>
        <v>1873.2015419178081</v>
      </c>
      <c r="L12" s="1760">
        <f t="shared" si="5"/>
        <v>58095.798458082194</v>
      </c>
      <c r="M12"/>
      <c r="O12" t="str">
        <f t="shared" si="2"/>
        <v>less than 180 Days</v>
      </c>
    </row>
    <row r="13" spans="2:15">
      <c r="C13" t="s">
        <v>3484</v>
      </c>
      <c r="D13" s="218">
        <v>44616</v>
      </c>
      <c r="E13" s="1760">
        <v>7800</v>
      </c>
      <c r="F13">
        <v>3</v>
      </c>
      <c r="G13" s="1760">
        <f t="shared" si="0"/>
        <v>390</v>
      </c>
      <c r="H13" s="1760">
        <f t="shared" si="1"/>
        <v>7410</v>
      </c>
      <c r="I13" s="1852">
        <v>0.31669999999999998</v>
      </c>
      <c r="J13">
        <f t="shared" si="3"/>
        <v>36</v>
      </c>
      <c r="K13" s="1760">
        <f t="shared" si="4"/>
        <v>243.64208219178079</v>
      </c>
      <c r="L13" s="1760">
        <f t="shared" si="5"/>
        <v>7556.3579178082191</v>
      </c>
      <c r="M13"/>
      <c r="O13" t="str">
        <f t="shared" si="2"/>
        <v>less than 180 Days</v>
      </c>
    </row>
    <row r="14" spans="2:15">
      <c r="M14"/>
    </row>
    <row r="15" spans="2:15">
      <c r="B15" t="s">
        <v>3485</v>
      </c>
      <c r="C15" t="s">
        <v>3486</v>
      </c>
      <c r="D15" s="218">
        <v>44546</v>
      </c>
      <c r="E15" s="1760">
        <v>120941</v>
      </c>
      <c r="F15">
        <v>10</v>
      </c>
      <c r="G15" s="1760">
        <f t="shared" ref="G15" si="6">E15*5%</f>
        <v>6047.05</v>
      </c>
      <c r="H15" s="1760">
        <f t="shared" ref="H15" si="7">E15-G15</f>
        <v>114893.95</v>
      </c>
      <c r="I15" s="1852">
        <v>9.5000000000000001E-2</v>
      </c>
      <c r="J15">
        <f t="shared" ref="J15" si="8">$L$1-D15</f>
        <v>106</v>
      </c>
      <c r="K15" s="1760">
        <f t="shared" ref="K15" si="9">E15*I15*J15/365</f>
        <v>3336.6462191780824</v>
      </c>
      <c r="L15" s="1760">
        <f t="shared" ref="L15" si="10">E15-K15</f>
        <v>117604.35378082191</v>
      </c>
      <c r="M15"/>
      <c r="O15" t="str">
        <f t="shared" ref="O15:O19" si="11">IF(D15&lt;$O$1,"More than 180 Days","less than 180 Days")</f>
        <v>less than 180 Days</v>
      </c>
    </row>
    <row r="16" spans="2:15">
      <c r="C16" t="s">
        <v>3487</v>
      </c>
      <c r="D16" s="218">
        <v>44585</v>
      </c>
      <c r="E16" s="1760">
        <v>52333</v>
      </c>
      <c r="F16">
        <v>10</v>
      </c>
      <c r="G16" s="1760">
        <f t="shared" ref="G16:G19" si="12">E16*5%</f>
        <v>2616.65</v>
      </c>
      <c r="H16" s="1760">
        <f t="shared" ref="H16:H19" si="13">E16-G16</f>
        <v>49716.35</v>
      </c>
      <c r="I16" s="1852">
        <v>9.5000000000000001E-2</v>
      </c>
      <c r="J16">
        <f t="shared" ref="J16:J19" si="14">$L$1-D16</f>
        <v>67</v>
      </c>
      <c r="K16" s="1760">
        <f t="shared" ref="K16:K19" si="15">E16*I16*J16/365</f>
        <v>912.60149315068509</v>
      </c>
      <c r="L16" s="1760">
        <f t="shared" ref="L16:L19" si="16">E16-K16</f>
        <v>51420.398506849313</v>
      </c>
      <c r="M16"/>
      <c r="O16" t="str">
        <f t="shared" si="11"/>
        <v>less than 180 Days</v>
      </c>
    </row>
    <row r="17" spans="2:15">
      <c r="C17" t="s">
        <v>3488</v>
      </c>
      <c r="D17" s="218">
        <v>44600</v>
      </c>
      <c r="E17" s="1760">
        <v>26202</v>
      </c>
      <c r="F17">
        <v>10</v>
      </c>
      <c r="G17" s="1760">
        <f t="shared" si="12"/>
        <v>1310.1000000000001</v>
      </c>
      <c r="H17" s="1760">
        <f t="shared" si="13"/>
        <v>24891.9</v>
      </c>
      <c r="I17" s="1852">
        <v>9.5000000000000001E-2</v>
      </c>
      <c r="J17">
        <f t="shared" si="14"/>
        <v>52</v>
      </c>
      <c r="K17" s="1760">
        <f t="shared" si="15"/>
        <v>354.6243287671233</v>
      </c>
      <c r="L17" s="1760">
        <f t="shared" si="16"/>
        <v>25847.375671232876</v>
      </c>
      <c r="M17"/>
      <c r="O17" t="str">
        <f t="shared" si="11"/>
        <v>less than 180 Days</v>
      </c>
    </row>
    <row r="18" spans="2:15">
      <c r="C18" t="s">
        <v>3489</v>
      </c>
      <c r="D18" s="218">
        <v>44608</v>
      </c>
      <c r="E18" s="1760">
        <v>99195</v>
      </c>
      <c r="F18">
        <v>10</v>
      </c>
      <c r="G18" s="1760">
        <f t="shared" si="12"/>
        <v>4959.75</v>
      </c>
      <c r="H18" s="1760">
        <f t="shared" si="13"/>
        <v>94235.25</v>
      </c>
      <c r="I18" s="1852">
        <v>9.5000000000000001E-2</v>
      </c>
      <c r="J18">
        <f t="shared" si="14"/>
        <v>44</v>
      </c>
      <c r="K18" s="1760">
        <f t="shared" si="15"/>
        <v>1135.9865753424656</v>
      </c>
      <c r="L18" s="1760">
        <f t="shared" si="16"/>
        <v>98059.013424657533</v>
      </c>
      <c r="M18"/>
      <c r="O18" t="str">
        <f t="shared" si="11"/>
        <v>less than 180 Days</v>
      </c>
    </row>
    <row r="19" spans="2:15">
      <c r="C19" t="s">
        <v>3490</v>
      </c>
      <c r="D19" s="218">
        <v>44608</v>
      </c>
      <c r="E19" s="1760">
        <v>18328</v>
      </c>
      <c r="F19">
        <v>10</v>
      </c>
      <c r="G19" s="1760">
        <f t="shared" si="12"/>
        <v>916.40000000000009</v>
      </c>
      <c r="H19" s="1760">
        <f t="shared" si="13"/>
        <v>17411.599999999999</v>
      </c>
      <c r="I19" s="1852">
        <v>9.5000000000000001E-2</v>
      </c>
      <c r="J19">
        <f t="shared" si="14"/>
        <v>44</v>
      </c>
      <c r="K19" s="1760">
        <f t="shared" si="15"/>
        <v>209.89326027397263</v>
      </c>
      <c r="L19" s="1760">
        <f t="shared" si="16"/>
        <v>18118.106739726027</v>
      </c>
      <c r="M19"/>
      <c r="O19" t="str">
        <f t="shared" si="11"/>
        <v>less than 180 Days</v>
      </c>
    </row>
    <row r="20" spans="2:15">
      <c r="M20"/>
    </row>
    <row r="21" spans="2:15">
      <c r="M21"/>
    </row>
    <row r="22" spans="2:15">
      <c r="B22" t="s">
        <v>83</v>
      </c>
      <c r="C22" t="s">
        <v>3495</v>
      </c>
      <c r="D22" s="218">
        <v>44287</v>
      </c>
      <c r="E22" s="1760">
        <v>641330</v>
      </c>
      <c r="F22">
        <v>15</v>
      </c>
      <c r="G22" s="1760">
        <f t="shared" ref="G22" si="17">E22*5%</f>
        <v>32066.5</v>
      </c>
      <c r="H22" s="1760">
        <f t="shared" ref="H22" si="18">E22-G22</f>
        <v>609263.5</v>
      </c>
      <c r="I22" s="1852">
        <v>6.3299999999999995E-2</v>
      </c>
      <c r="J22">
        <f t="shared" ref="J22" si="19">$L$1-D22</f>
        <v>365</v>
      </c>
      <c r="K22" s="1760">
        <f t="shared" ref="K22" si="20">E22*I22*J22/365</f>
        <v>40596.188999999998</v>
      </c>
      <c r="L22" s="1760">
        <f t="shared" ref="L22" si="21">E22-K22</f>
        <v>600733.81099999999</v>
      </c>
      <c r="M22"/>
      <c r="O22" t="str">
        <f t="shared" ref="O22:O58" si="22">IF(D22&lt;$O$1,"More than 180 Days","less than 180 Days")</f>
        <v>More than 180 Days</v>
      </c>
    </row>
    <row r="23" spans="2:15">
      <c r="C23" t="s">
        <v>3496</v>
      </c>
      <c r="D23" s="218">
        <v>44288</v>
      </c>
      <c r="E23" s="1760">
        <v>443048</v>
      </c>
      <c r="F23">
        <v>15</v>
      </c>
      <c r="G23" s="1760">
        <f t="shared" ref="G23:G58" si="23">E23*5%</f>
        <v>22152.400000000001</v>
      </c>
      <c r="H23" s="1760">
        <f t="shared" ref="H23:H58" si="24">E23-G23</f>
        <v>420895.6</v>
      </c>
      <c r="I23" s="1852">
        <v>6.3299999999999995E-2</v>
      </c>
      <c r="J23">
        <f t="shared" ref="J23:J58" si="25">$L$1-D23</f>
        <v>364</v>
      </c>
      <c r="K23" s="1760">
        <f t="shared" ref="K23:K58" si="26">E23*I23*J23/365</f>
        <v>27968.102952328769</v>
      </c>
      <c r="L23" s="1760">
        <f t="shared" ref="L23:L58" si="27">E23-K23</f>
        <v>415079.89704767126</v>
      </c>
      <c r="M23"/>
      <c r="O23" t="str">
        <f t="shared" si="22"/>
        <v>More than 180 Days</v>
      </c>
    </row>
    <row r="24" spans="2:15">
      <c r="C24" t="s">
        <v>3497</v>
      </c>
      <c r="D24" s="218">
        <v>44293</v>
      </c>
      <c r="E24" s="1760">
        <v>150626</v>
      </c>
      <c r="F24">
        <v>15</v>
      </c>
      <c r="G24" s="1760">
        <f t="shared" si="23"/>
        <v>7531.3</v>
      </c>
      <c r="H24" s="1760">
        <f t="shared" si="24"/>
        <v>143094.70000000001</v>
      </c>
      <c r="I24" s="1852">
        <v>6.3299999999999995E-2</v>
      </c>
      <c r="J24">
        <f t="shared" si="25"/>
        <v>359</v>
      </c>
      <c r="K24" s="1760">
        <f t="shared" si="26"/>
        <v>9377.8922252054799</v>
      </c>
      <c r="L24" s="1760">
        <f t="shared" si="27"/>
        <v>141248.10777479451</v>
      </c>
      <c r="M24"/>
      <c r="O24" t="str">
        <f t="shared" si="22"/>
        <v>More than 180 Days</v>
      </c>
    </row>
    <row r="25" spans="2:15">
      <c r="C25" t="s">
        <v>3498</v>
      </c>
      <c r="D25" s="218">
        <v>44306</v>
      </c>
      <c r="E25" s="1760">
        <v>50025</v>
      </c>
      <c r="F25">
        <v>15</v>
      </c>
      <c r="G25" s="1760">
        <f t="shared" si="23"/>
        <v>2501.25</v>
      </c>
      <c r="H25" s="1760">
        <f t="shared" si="24"/>
        <v>47523.75</v>
      </c>
      <c r="I25" s="1852">
        <v>6.3299999999999995E-2</v>
      </c>
      <c r="J25">
        <f t="shared" si="25"/>
        <v>346</v>
      </c>
      <c r="K25" s="1760">
        <f t="shared" si="26"/>
        <v>3001.746698630137</v>
      </c>
      <c r="L25" s="1760">
        <f t="shared" si="27"/>
        <v>47023.253301369863</v>
      </c>
      <c r="M25"/>
      <c r="O25" t="str">
        <f t="shared" si="22"/>
        <v>More than 180 Days</v>
      </c>
    </row>
    <row r="26" spans="2:15">
      <c r="C26" t="s">
        <v>3499</v>
      </c>
      <c r="D26" s="218">
        <v>44348</v>
      </c>
      <c r="E26" s="1760">
        <v>141234</v>
      </c>
      <c r="F26">
        <v>15</v>
      </c>
      <c r="G26" s="1760">
        <f t="shared" si="23"/>
        <v>7061.7000000000007</v>
      </c>
      <c r="H26" s="1760">
        <f t="shared" si="24"/>
        <v>134172.29999999999</v>
      </c>
      <c r="I26" s="1852">
        <v>6.3299999999999995E-2</v>
      </c>
      <c r="J26">
        <f t="shared" si="25"/>
        <v>304</v>
      </c>
      <c r="K26" s="1760">
        <f t="shared" si="26"/>
        <v>7446.0112569863013</v>
      </c>
      <c r="L26" s="1760">
        <f t="shared" si="27"/>
        <v>133787.9887430137</v>
      </c>
      <c r="M26"/>
      <c r="O26" t="str">
        <f t="shared" si="22"/>
        <v>More than 180 Days</v>
      </c>
    </row>
    <row r="27" spans="2:15">
      <c r="C27" t="s">
        <v>3500</v>
      </c>
      <c r="D27" s="218">
        <v>44357</v>
      </c>
      <c r="E27" s="1760">
        <v>43110</v>
      </c>
      <c r="F27">
        <v>15</v>
      </c>
      <c r="G27" s="1760">
        <f t="shared" si="23"/>
        <v>2155.5</v>
      </c>
      <c r="H27" s="1760">
        <f t="shared" si="24"/>
        <v>40954.5</v>
      </c>
      <c r="I27" s="1852">
        <v>6.3299999999999995E-2</v>
      </c>
      <c r="J27">
        <f t="shared" si="25"/>
        <v>295</v>
      </c>
      <c r="K27" s="1760">
        <f t="shared" si="26"/>
        <v>2205.5194109589038</v>
      </c>
      <c r="L27" s="1760">
        <f t="shared" si="27"/>
        <v>40904.480589041093</v>
      </c>
      <c r="M27"/>
      <c r="O27" t="str">
        <f t="shared" si="22"/>
        <v>More than 180 Days</v>
      </c>
    </row>
    <row r="28" spans="2:15">
      <c r="C28" t="s">
        <v>3501</v>
      </c>
      <c r="D28" s="218">
        <v>44359</v>
      </c>
      <c r="E28" s="1760">
        <v>36580</v>
      </c>
      <c r="F28">
        <v>15</v>
      </c>
      <c r="G28" s="1760">
        <f t="shared" si="23"/>
        <v>1829</v>
      </c>
      <c r="H28" s="1760">
        <f t="shared" si="24"/>
        <v>34751</v>
      </c>
      <c r="I28" s="1852">
        <v>6.3299999999999995E-2</v>
      </c>
      <c r="J28">
        <f t="shared" si="25"/>
        <v>293</v>
      </c>
      <c r="K28" s="1760">
        <f t="shared" si="26"/>
        <v>1858.7550739726025</v>
      </c>
      <c r="L28" s="1760">
        <f t="shared" si="27"/>
        <v>34721.244926027401</v>
      </c>
      <c r="M28"/>
      <c r="O28" t="str">
        <f t="shared" si="22"/>
        <v>More than 180 Days</v>
      </c>
    </row>
    <row r="29" spans="2:15">
      <c r="C29" t="s">
        <v>3502</v>
      </c>
      <c r="D29" s="218">
        <v>44365</v>
      </c>
      <c r="E29" s="1760">
        <v>38080</v>
      </c>
      <c r="F29">
        <v>15</v>
      </c>
      <c r="G29" s="1760">
        <f t="shared" si="23"/>
        <v>1904</v>
      </c>
      <c r="H29" s="1760">
        <f t="shared" si="24"/>
        <v>36176</v>
      </c>
      <c r="I29" s="1852">
        <v>6.3299999999999995E-2</v>
      </c>
      <c r="J29">
        <f t="shared" si="25"/>
        <v>287</v>
      </c>
      <c r="K29" s="1760">
        <f t="shared" si="26"/>
        <v>1895.3511452054793</v>
      </c>
      <c r="L29" s="1760">
        <f t="shared" si="27"/>
        <v>36184.648854794519</v>
      </c>
      <c r="M29"/>
      <c r="O29" t="str">
        <f t="shared" si="22"/>
        <v>More than 180 Days</v>
      </c>
    </row>
    <row r="30" spans="2:15">
      <c r="C30" t="s">
        <v>3503</v>
      </c>
      <c r="D30" s="218">
        <v>44365</v>
      </c>
      <c r="E30" s="1760">
        <v>34060</v>
      </c>
      <c r="F30">
        <v>15</v>
      </c>
      <c r="G30" s="1760">
        <f t="shared" si="23"/>
        <v>1703</v>
      </c>
      <c r="H30" s="1760">
        <f t="shared" si="24"/>
        <v>32357</v>
      </c>
      <c r="I30" s="1852">
        <v>6.3299999999999995E-2</v>
      </c>
      <c r="J30">
        <f t="shared" si="25"/>
        <v>287</v>
      </c>
      <c r="K30" s="1760">
        <f t="shared" si="26"/>
        <v>1695.2641808219178</v>
      </c>
      <c r="L30" s="1760">
        <f t="shared" si="27"/>
        <v>32364.73581917808</v>
      </c>
      <c r="M30"/>
      <c r="O30" t="str">
        <f t="shared" si="22"/>
        <v>More than 180 Days</v>
      </c>
    </row>
    <row r="31" spans="2:15">
      <c r="C31" t="s">
        <v>3504</v>
      </c>
      <c r="D31" s="218">
        <v>44377</v>
      </c>
      <c r="E31" s="1760">
        <v>368231</v>
      </c>
      <c r="F31">
        <v>15</v>
      </c>
      <c r="G31" s="1760">
        <f t="shared" si="23"/>
        <v>18411.55</v>
      </c>
      <c r="H31" s="1760">
        <f t="shared" si="24"/>
        <v>349819.45</v>
      </c>
      <c r="I31" s="1852">
        <v>6.3299999999999995E-2</v>
      </c>
      <c r="J31">
        <f t="shared" si="25"/>
        <v>275</v>
      </c>
      <c r="K31" s="1760">
        <f t="shared" si="26"/>
        <v>17561.592143835616</v>
      </c>
      <c r="L31" s="1760">
        <f t="shared" si="27"/>
        <v>350669.40785616438</v>
      </c>
      <c r="M31"/>
      <c r="O31" t="str">
        <f t="shared" si="22"/>
        <v>More than 180 Days</v>
      </c>
    </row>
    <row r="32" spans="2:15">
      <c r="C32" t="s">
        <v>3505</v>
      </c>
      <c r="D32" s="218">
        <v>44378</v>
      </c>
      <c r="E32" s="1760">
        <v>347174</v>
      </c>
      <c r="F32">
        <v>15</v>
      </c>
      <c r="G32" s="1760">
        <f t="shared" si="23"/>
        <v>17358.7</v>
      </c>
      <c r="H32" s="1760">
        <f t="shared" si="24"/>
        <v>329815.3</v>
      </c>
      <c r="I32" s="1852">
        <v>6.3299999999999995E-2</v>
      </c>
      <c r="J32">
        <f t="shared" si="25"/>
        <v>274</v>
      </c>
      <c r="K32" s="1760">
        <f t="shared" si="26"/>
        <v>16497.137783013699</v>
      </c>
      <c r="L32" s="1760">
        <f t="shared" si="27"/>
        <v>330676.86221698631</v>
      </c>
      <c r="M32"/>
      <c r="O32" t="str">
        <f t="shared" si="22"/>
        <v>More than 180 Days</v>
      </c>
    </row>
    <row r="33" spans="3:15">
      <c r="C33" t="s">
        <v>3506</v>
      </c>
      <c r="D33" s="218">
        <v>44382</v>
      </c>
      <c r="E33" s="1760">
        <v>188800</v>
      </c>
      <c r="F33">
        <v>15</v>
      </c>
      <c r="G33" s="1760">
        <f t="shared" si="23"/>
        <v>9440</v>
      </c>
      <c r="H33" s="1760">
        <f t="shared" si="24"/>
        <v>179360</v>
      </c>
      <c r="I33" s="1852">
        <v>6.3299999999999995E-2</v>
      </c>
      <c r="J33">
        <f t="shared" si="25"/>
        <v>270</v>
      </c>
      <c r="K33" s="1760">
        <f t="shared" si="26"/>
        <v>8840.4953424657524</v>
      </c>
      <c r="L33" s="1760">
        <f t="shared" si="27"/>
        <v>179959.50465753424</v>
      </c>
      <c r="M33"/>
      <c r="O33" t="str">
        <f t="shared" si="22"/>
        <v>More than 180 Days</v>
      </c>
    </row>
    <row r="34" spans="3:15">
      <c r="C34" t="s">
        <v>3507</v>
      </c>
      <c r="D34" s="218">
        <v>44383</v>
      </c>
      <c r="E34" s="1760">
        <v>49088</v>
      </c>
      <c r="F34">
        <v>15</v>
      </c>
      <c r="G34" s="1760">
        <f t="shared" si="23"/>
        <v>2454.4</v>
      </c>
      <c r="H34" s="1760">
        <f t="shared" si="24"/>
        <v>46633.599999999999</v>
      </c>
      <c r="I34" s="1852">
        <v>6.3299999999999995E-2</v>
      </c>
      <c r="J34">
        <f t="shared" si="25"/>
        <v>269</v>
      </c>
      <c r="K34" s="1760">
        <f t="shared" si="26"/>
        <v>2290.0157194520548</v>
      </c>
      <c r="L34" s="1760">
        <f t="shared" si="27"/>
        <v>46797.984280547942</v>
      </c>
      <c r="M34"/>
      <c r="O34" t="str">
        <f t="shared" si="22"/>
        <v>More than 180 Days</v>
      </c>
    </row>
    <row r="35" spans="3:15">
      <c r="C35" t="s">
        <v>3508</v>
      </c>
      <c r="D35" s="218">
        <v>44393</v>
      </c>
      <c r="E35" s="1760">
        <v>261731</v>
      </c>
      <c r="F35">
        <v>15</v>
      </c>
      <c r="G35" s="1760">
        <f t="shared" si="23"/>
        <v>13086.550000000001</v>
      </c>
      <c r="H35" s="1760">
        <f t="shared" si="24"/>
        <v>248644.45</v>
      </c>
      <c r="I35" s="1852">
        <v>6.3299999999999995E-2</v>
      </c>
      <c r="J35">
        <f t="shared" si="25"/>
        <v>259</v>
      </c>
      <c r="K35" s="1760">
        <f t="shared" si="26"/>
        <v>11756.167741643836</v>
      </c>
      <c r="L35" s="1760">
        <f t="shared" si="27"/>
        <v>249974.83225835615</v>
      </c>
      <c r="M35"/>
      <c r="O35" t="str">
        <f t="shared" si="22"/>
        <v>More than 180 Days</v>
      </c>
    </row>
    <row r="36" spans="3:15">
      <c r="C36" t="s">
        <v>3509</v>
      </c>
      <c r="D36" s="218">
        <v>44415</v>
      </c>
      <c r="E36" s="1760">
        <v>29900</v>
      </c>
      <c r="F36">
        <v>15</v>
      </c>
      <c r="G36" s="1760">
        <f t="shared" si="23"/>
        <v>1495</v>
      </c>
      <c r="H36" s="1760">
        <f t="shared" si="24"/>
        <v>28405</v>
      </c>
      <c r="I36" s="1852">
        <v>6.3299999999999995E-2</v>
      </c>
      <c r="J36">
        <f t="shared" si="25"/>
        <v>237</v>
      </c>
      <c r="K36" s="1760">
        <f t="shared" si="26"/>
        <v>1228.9391506849315</v>
      </c>
      <c r="L36" s="1760">
        <f t="shared" si="27"/>
        <v>28671.060849315068</v>
      </c>
      <c r="M36"/>
      <c r="O36" t="str">
        <f t="shared" si="22"/>
        <v>More than 180 Days</v>
      </c>
    </row>
    <row r="37" spans="3:15">
      <c r="C37" t="s">
        <v>3510</v>
      </c>
      <c r="D37" s="218">
        <v>44427</v>
      </c>
      <c r="E37" s="1760">
        <v>91963</v>
      </c>
      <c r="F37">
        <v>15</v>
      </c>
      <c r="G37" s="1760">
        <f t="shared" si="23"/>
        <v>4598.1500000000005</v>
      </c>
      <c r="H37" s="1760">
        <f t="shared" si="24"/>
        <v>87364.85</v>
      </c>
      <c r="I37" s="1852">
        <v>6.3299999999999995E-2</v>
      </c>
      <c r="J37">
        <f t="shared" si="25"/>
        <v>225</v>
      </c>
      <c r="K37" s="1760">
        <f t="shared" si="26"/>
        <v>3588.4466506849312</v>
      </c>
      <c r="L37" s="1760">
        <f t="shared" si="27"/>
        <v>88374.553349315072</v>
      </c>
      <c r="M37"/>
      <c r="O37" t="str">
        <f t="shared" si="22"/>
        <v>More than 180 Days</v>
      </c>
    </row>
    <row r="38" spans="3:15">
      <c r="C38" t="s">
        <v>3511</v>
      </c>
      <c r="D38" s="218">
        <v>44438</v>
      </c>
      <c r="E38" s="1760">
        <v>69817</v>
      </c>
      <c r="F38">
        <v>15</v>
      </c>
      <c r="G38" s="1760">
        <f t="shared" si="23"/>
        <v>3490.8500000000004</v>
      </c>
      <c r="H38" s="1760">
        <f t="shared" si="24"/>
        <v>66326.149999999994</v>
      </c>
      <c r="I38" s="1852">
        <v>6.3299999999999995E-2</v>
      </c>
      <c r="J38">
        <f t="shared" si="25"/>
        <v>214</v>
      </c>
      <c r="K38" s="1760">
        <f t="shared" si="26"/>
        <v>2591.109713424657</v>
      </c>
      <c r="L38" s="1760">
        <f t="shared" si="27"/>
        <v>67225.890286575348</v>
      </c>
      <c r="M38"/>
      <c r="O38" t="str">
        <f t="shared" si="22"/>
        <v>More than 180 Days</v>
      </c>
    </row>
    <row r="39" spans="3:15">
      <c r="C39" t="s">
        <v>3512</v>
      </c>
      <c r="D39" s="218">
        <v>44449</v>
      </c>
      <c r="E39" s="1760">
        <v>27152</v>
      </c>
      <c r="F39">
        <v>15</v>
      </c>
      <c r="G39" s="1760">
        <f t="shared" si="23"/>
        <v>1357.6000000000001</v>
      </c>
      <c r="H39" s="1760">
        <f t="shared" si="24"/>
        <v>25794.400000000001</v>
      </c>
      <c r="I39" s="1852">
        <v>6.3299999999999995E-2</v>
      </c>
      <c r="J39">
        <f t="shared" si="25"/>
        <v>203</v>
      </c>
      <c r="K39" s="1760">
        <f t="shared" si="26"/>
        <v>955.89173917808216</v>
      </c>
      <c r="L39" s="1760">
        <f t="shared" si="27"/>
        <v>26196.108260821919</v>
      </c>
      <c r="M39"/>
      <c r="O39" t="str">
        <f t="shared" si="22"/>
        <v>More than 180 Days</v>
      </c>
    </row>
    <row r="40" spans="3:15">
      <c r="C40" t="s">
        <v>3513</v>
      </c>
      <c r="D40" s="218">
        <v>44459</v>
      </c>
      <c r="E40" s="1760">
        <v>349018</v>
      </c>
      <c r="F40">
        <v>15</v>
      </c>
      <c r="G40" s="1760">
        <f t="shared" si="23"/>
        <v>17450.900000000001</v>
      </c>
      <c r="H40" s="1760">
        <f t="shared" si="24"/>
        <v>331567.09999999998</v>
      </c>
      <c r="I40" s="1852">
        <v>6.3299999999999995E-2</v>
      </c>
      <c r="J40">
        <f t="shared" si="25"/>
        <v>193</v>
      </c>
      <c r="K40" s="1760">
        <f t="shared" si="26"/>
        <v>11681.967134794519</v>
      </c>
      <c r="L40" s="1760">
        <f t="shared" si="27"/>
        <v>337336.03286520549</v>
      </c>
      <c r="M40"/>
      <c r="O40" t="str">
        <f t="shared" si="22"/>
        <v>More than 180 Days</v>
      </c>
    </row>
    <row r="41" spans="3:15">
      <c r="C41" t="s">
        <v>3514</v>
      </c>
      <c r="D41" s="218">
        <v>44466</v>
      </c>
      <c r="E41" s="1760">
        <v>64247</v>
      </c>
      <c r="F41">
        <v>15</v>
      </c>
      <c r="G41" s="1760">
        <f t="shared" si="23"/>
        <v>3212.3500000000004</v>
      </c>
      <c r="H41" s="1760">
        <f t="shared" si="24"/>
        <v>61034.65</v>
      </c>
      <c r="I41" s="1852">
        <v>6.3299999999999995E-2</v>
      </c>
      <c r="J41">
        <f t="shared" si="25"/>
        <v>186</v>
      </c>
      <c r="K41" s="1760">
        <f t="shared" si="26"/>
        <v>2072.4145989041094</v>
      </c>
      <c r="L41" s="1760">
        <f t="shared" si="27"/>
        <v>62174.585401095894</v>
      </c>
      <c r="M41"/>
      <c r="O41" t="str">
        <f t="shared" si="22"/>
        <v>More than 180 Days</v>
      </c>
    </row>
    <row r="42" spans="3:15">
      <c r="C42" t="s">
        <v>3515</v>
      </c>
      <c r="D42" s="218">
        <v>44466</v>
      </c>
      <c r="E42" s="1760">
        <v>392237</v>
      </c>
      <c r="F42">
        <v>15</v>
      </c>
      <c r="G42" s="1760">
        <f t="shared" si="23"/>
        <v>19611.850000000002</v>
      </c>
      <c r="H42" s="1760">
        <f t="shared" si="24"/>
        <v>372625.15</v>
      </c>
      <c r="I42" s="1852">
        <v>6.3299999999999995E-2</v>
      </c>
      <c r="J42">
        <f t="shared" si="25"/>
        <v>186</v>
      </c>
      <c r="K42" s="1760">
        <f t="shared" si="26"/>
        <v>12652.383535890409</v>
      </c>
      <c r="L42" s="1760">
        <f t="shared" si="27"/>
        <v>379584.61646410957</v>
      </c>
      <c r="M42"/>
      <c r="O42" t="str">
        <f t="shared" si="22"/>
        <v>More than 180 Days</v>
      </c>
    </row>
    <row r="43" spans="3:15">
      <c r="C43" t="s">
        <v>3516</v>
      </c>
      <c r="D43" s="218">
        <v>44473</v>
      </c>
      <c r="E43" s="1760">
        <v>68244</v>
      </c>
      <c r="F43">
        <v>15</v>
      </c>
      <c r="G43" s="1760">
        <f t="shared" si="23"/>
        <v>3412.2000000000003</v>
      </c>
      <c r="H43" s="1760">
        <f t="shared" si="24"/>
        <v>64831.8</v>
      </c>
      <c r="I43" s="1852">
        <v>6.3299999999999995E-2</v>
      </c>
      <c r="J43">
        <f t="shared" si="25"/>
        <v>179</v>
      </c>
      <c r="K43" s="1760">
        <f t="shared" si="26"/>
        <v>2118.4994268493151</v>
      </c>
      <c r="L43" s="1760">
        <f t="shared" si="27"/>
        <v>66125.500573150683</v>
      </c>
      <c r="M43"/>
      <c r="O43" t="str">
        <f t="shared" si="22"/>
        <v>less than 180 Days</v>
      </c>
    </row>
    <row r="44" spans="3:15">
      <c r="C44" t="s">
        <v>3517</v>
      </c>
      <c r="D44" s="218">
        <v>44477</v>
      </c>
      <c r="E44" s="1760">
        <v>983720</v>
      </c>
      <c r="F44">
        <v>15</v>
      </c>
      <c r="G44" s="1760">
        <f t="shared" si="23"/>
        <v>49186</v>
      </c>
      <c r="H44" s="1760">
        <f t="shared" si="24"/>
        <v>934534</v>
      </c>
      <c r="I44" s="1852">
        <v>6.3299999999999995E-2</v>
      </c>
      <c r="J44">
        <f t="shared" si="25"/>
        <v>175</v>
      </c>
      <c r="K44" s="1760">
        <f t="shared" si="26"/>
        <v>29855.22821917808</v>
      </c>
      <c r="L44" s="1760">
        <f t="shared" si="27"/>
        <v>953864.77178082196</v>
      </c>
      <c r="M44"/>
      <c r="O44" t="str">
        <f t="shared" si="22"/>
        <v>less than 180 Days</v>
      </c>
    </row>
    <row r="45" spans="3:15">
      <c r="C45" t="s">
        <v>3518</v>
      </c>
      <c r="D45" s="218">
        <v>44491</v>
      </c>
      <c r="E45" s="1760">
        <v>94760</v>
      </c>
      <c r="F45">
        <v>15</v>
      </c>
      <c r="G45" s="1760">
        <f t="shared" si="23"/>
        <v>4738</v>
      </c>
      <c r="H45" s="1760">
        <f t="shared" si="24"/>
        <v>90022</v>
      </c>
      <c r="I45" s="1852">
        <v>6.3299999999999995E-2</v>
      </c>
      <c r="J45">
        <f t="shared" si="25"/>
        <v>161</v>
      </c>
      <c r="K45" s="1760">
        <f t="shared" si="26"/>
        <v>2645.8290082191779</v>
      </c>
      <c r="L45" s="1760">
        <f t="shared" si="27"/>
        <v>92114.170991780818</v>
      </c>
      <c r="M45"/>
      <c r="O45" t="str">
        <f t="shared" si="22"/>
        <v>less than 180 Days</v>
      </c>
    </row>
    <row r="46" spans="3:15">
      <c r="C46" t="s">
        <v>3519</v>
      </c>
      <c r="D46" s="218">
        <v>44491</v>
      </c>
      <c r="E46" s="1760">
        <v>70400</v>
      </c>
      <c r="F46">
        <v>15</v>
      </c>
      <c r="G46" s="1760">
        <f t="shared" si="23"/>
        <v>3520</v>
      </c>
      <c r="H46" s="1760">
        <f t="shared" si="24"/>
        <v>66880</v>
      </c>
      <c r="I46" s="1852">
        <v>6.3299999999999995E-2</v>
      </c>
      <c r="J46">
        <f t="shared" si="25"/>
        <v>161</v>
      </c>
      <c r="K46" s="1760">
        <f t="shared" si="26"/>
        <v>1965.6644383561641</v>
      </c>
      <c r="L46" s="1760">
        <f t="shared" si="27"/>
        <v>68434.335561643835</v>
      </c>
      <c r="M46"/>
      <c r="O46" t="str">
        <f t="shared" si="22"/>
        <v>less than 180 Days</v>
      </c>
    </row>
    <row r="47" spans="3:15">
      <c r="C47" t="s">
        <v>3520</v>
      </c>
      <c r="D47" s="218">
        <v>44495</v>
      </c>
      <c r="E47" s="1760">
        <v>689275</v>
      </c>
      <c r="F47">
        <v>15</v>
      </c>
      <c r="G47" s="1760">
        <f t="shared" si="23"/>
        <v>34463.75</v>
      </c>
      <c r="H47" s="1760">
        <f t="shared" si="24"/>
        <v>654811.25</v>
      </c>
      <c r="I47" s="1852">
        <v>6.3299999999999995E-2</v>
      </c>
      <c r="J47">
        <f t="shared" si="25"/>
        <v>157</v>
      </c>
      <c r="K47" s="1760">
        <f t="shared" si="26"/>
        <v>18767.353089041095</v>
      </c>
      <c r="L47" s="1760">
        <f t="shared" si="27"/>
        <v>670507.64691095892</v>
      </c>
      <c r="M47"/>
      <c r="O47" t="str">
        <f t="shared" si="22"/>
        <v>less than 180 Days</v>
      </c>
    </row>
    <row r="48" spans="3:15">
      <c r="C48" t="s">
        <v>3521</v>
      </c>
      <c r="D48" s="218">
        <v>44520</v>
      </c>
      <c r="E48" s="1760">
        <v>141448</v>
      </c>
      <c r="F48">
        <v>15</v>
      </c>
      <c r="G48" s="1760">
        <f t="shared" si="23"/>
        <v>7072.4000000000005</v>
      </c>
      <c r="H48" s="1760">
        <f t="shared" si="24"/>
        <v>134375.6</v>
      </c>
      <c r="I48" s="1852">
        <v>6.3299999999999995E-2</v>
      </c>
      <c r="J48">
        <f t="shared" si="25"/>
        <v>132</v>
      </c>
      <c r="K48" s="1760">
        <f t="shared" si="26"/>
        <v>3238.0353665753419</v>
      </c>
      <c r="L48" s="1760">
        <f t="shared" si="27"/>
        <v>138209.96463342465</v>
      </c>
      <c r="M48"/>
      <c r="O48" t="str">
        <f t="shared" si="22"/>
        <v>less than 180 Days</v>
      </c>
    </row>
    <row r="49" spans="2:15">
      <c r="C49" t="s">
        <v>3522</v>
      </c>
      <c r="D49" s="218">
        <v>44524</v>
      </c>
      <c r="E49" s="1760">
        <v>45078</v>
      </c>
      <c r="F49">
        <v>15</v>
      </c>
      <c r="G49" s="1760">
        <f t="shared" si="23"/>
        <v>2253.9</v>
      </c>
      <c r="H49" s="1760">
        <f t="shared" si="24"/>
        <v>42824.1</v>
      </c>
      <c r="I49" s="1852">
        <v>6.3299999999999995E-2</v>
      </c>
      <c r="J49">
        <f t="shared" si="25"/>
        <v>128</v>
      </c>
      <c r="K49" s="1760">
        <f t="shared" si="26"/>
        <v>1000.6574991780822</v>
      </c>
      <c r="L49" s="1760">
        <f t="shared" si="27"/>
        <v>44077.34250082192</v>
      </c>
      <c r="M49"/>
      <c r="O49" t="str">
        <f t="shared" si="22"/>
        <v>less than 180 Days</v>
      </c>
    </row>
    <row r="50" spans="2:15">
      <c r="C50" t="s">
        <v>3523</v>
      </c>
      <c r="D50" s="218">
        <v>44540</v>
      </c>
      <c r="E50" s="1760">
        <v>996882</v>
      </c>
      <c r="F50">
        <v>15</v>
      </c>
      <c r="G50" s="1760">
        <f t="shared" si="23"/>
        <v>49844.100000000006</v>
      </c>
      <c r="H50" s="1760">
        <f t="shared" si="24"/>
        <v>947037.9</v>
      </c>
      <c r="I50" s="1852">
        <v>6.3299999999999995E-2</v>
      </c>
      <c r="J50">
        <f t="shared" si="25"/>
        <v>112</v>
      </c>
      <c r="K50" s="1760">
        <f t="shared" si="26"/>
        <v>19362.998978630138</v>
      </c>
      <c r="L50" s="1760">
        <f t="shared" si="27"/>
        <v>977519.00102136983</v>
      </c>
      <c r="M50"/>
      <c r="O50" t="str">
        <f t="shared" si="22"/>
        <v>less than 180 Days</v>
      </c>
    </row>
    <row r="51" spans="2:15">
      <c r="C51" t="s">
        <v>3524</v>
      </c>
      <c r="D51" s="218">
        <v>44541</v>
      </c>
      <c r="E51" s="1760">
        <v>95465</v>
      </c>
      <c r="F51">
        <v>15</v>
      </c>
      <c r="G51" s="1760">
        <f t="shared" si="23"/>
        <v>4773.25</v>
      </c>
      <c r="H51" s="1760">
        <f t="shared" si="24"/>
        <v>90691.75</v>
      </c>
      <c r="I51" s="1852">
        <v>6.3299999999999995E-2</v>
      </c>
      <c r="J51">
        <f t="shared" si="25"/>
        <v>111</v>
      </c>
      <c r="K51" s="1760">
        <f t="shared" si="26"/>
        <v>1837.7143273972599</v>
      </c>
      <c r="L51" s="1760">
        <f t="shared" si="27"/>
        <v>93627.285672602738</v>
      </c>
      <c r="M51"/>
      <c r="O51" t="str">
        <f t="shared" si="22"/>
        <v>less than 180 Days</v>
      </c>
    </row>
    <row r="52" spans="2:15">
      <c r="C52" t="s">
        <v>3525</v>
      </c>
      <c r="D52" s="218">
        <v>44545</v>
      </c>
      <c r="E52" s="1760">
        <v>188470</v>
      </c>
      <c r="F52">
        <v>15</v>
      </c>
      <c r="G52" s="1760">
        <f t="shared" si="23"/>
        <v>9423.5</v>
      </c>
      <c r="H52" s="1760">
        <f t="shared" si="24"/>
        <v>179046.5</v>
      </c>
      <c r="I52" s="1852">
        <v>6.3299999999999995E-2</v>
      </c>
      <c r="J52">
        <f t="shared" si="25"/>
        <v>107</v>
      </c>
      <c r="K52" s="1760">
        <f t="shared" si="26"/>
        <v>3497.3319369863011</v>
      </c>
      <c r="L52" s="1760">
        <f t="shared" si="27"/>
        <v>184972.6680630137</v>
      </c>
      <c r="M52"/>
      <c r="O52" t="str">
        <f t="shared" si="22"/>
        <v>less than 180 Days</v>
      </c>
    </row>
    <row r="53" spans="2:15">
      <c r="C53" t="s">
        <v>3526</v>
      </c>
      <c r="D53" s="218">
        <v>44552</v>
      </c>
      <c r="E53" s="1760">
        <v>207341</v>
      </c>
      <c r="F53">
        <v>15</v>
      </c>
      <c r="G53" s="1760">
        <f t="shared" si="23"/>
        <v>10367.050000000001</v>
      </c>
      <c r="H53" s="1760">
        <f t="shared" si="24"/>
        <v>196973.95</v>
      </c>
      <c r="I53" s="1852">
        <v>6.3299999999999995E-2</v>
      </c>
      <c r="J53">
        <f t="shared" si="25"/>
        <v>100</v>
      </c>
      <c r="K53" s="1760">
        <f t="shared" si="26"/>
        <v>3595.8041917808218</v>
      </c>
      <c r="L53" s="1760">
        <f t="shared" si="27"/>
        <v>203745.19580821917</v>
      </c>
      <c r="M53"/>
      <c r="O53" t="str">
        <f t="shared" si="22"/>
        <v>less than 180 Days</v>
      </c>
    </row>
    <row r="54" spans="2:15">
      <c r="C54" t="s">
        <v>3527</v>
      </c>
      <c r="D54" s="218">
        <v>44559</v>
      </c>
      <c r="E54" s="1760">
        <v>112860</v>
      </c>
      <c r="F54">
        <v>15</v>
      </c>
      <c r="G54" s="1760">
        <f t="shared" si="23"/>
        <v>5643</v>
      </c>
      <c r="H54" s="1760">
        <f t="shared" si="24"/>
        <v>107217</v>
      </c>
      <c r="I54" s="1852">
        <v>6.3299999999999995E-2</v>
      </c>
      <c r="J54">
        <f t="shared" si="25"/>
        <v>93</v>
      </c>
      <c r="K54" s="1760">
        <f t="shared" si="26"/>
        <v>1820.2617369863012</v>
      </c>
      <c r="L54" s="1760">
        <f t="shared" si="27"/>
        <v>111039.7382630137</v>
      </c>
      <c r="M54"/>
      <c r="O54" t="str">
        <f t="shared" si="22"/>
        <v>less than 180 Days</v>
      </c>
    </row>
    <row r="55" spans="2:15">
      <c r="C55" t="s">
        <v>3528</v>
      </c>
      <c r="D55" s="218">
        <v>44602</v>
      </c>
      <c r="E55" s="1760">
        <v>245000</v>
      </c>
      <c r="F55">
        <v>15</v>
      </c>
      <c r="G55" s="1760">
        <f t="shared" si="23"/>
        <v>12250</v>
      </c>
      <c r="H55" s="1760">
        <f t="shared" si="24"/>
        <v>232750</v>
      </c>
      <c r="I55" s="1852">
        <v>6.3299999999999995E-2</v>
      </c>
      <c r="J55">
        <f t="shared" si="25"/>
        <v>50</v>
      </c>
      <c r="K55" s="1760">
        <f t="shared" si="26"/>
        <v>2124.4520547945203</v>
      </c>
      <c r="L55" s="1760">
        <f t="shared" si="27"/>
        <v>242875.54794520547</v>
      </c>
      <c r="M55"/>
      <c r="O55" t="str">
        <f t="shared" si="22"/>
        <v>less than 180 Days</v>
      </c>
    </row>
    <row r="56" spans="2:15">
      <c r="C56" t="s">
        <v>3529</v>
      </c>
      <c r="D56" s="218">
        <v>44602</v>
      </c>
      <c r="E56" s="1760">
        <v>615500</v>
      </c>
      <c r="F56">
        <v>15</v>
      </c>
      <c r="G56" s="1760">
        <f t="shared" si="23"/>
        <v>30775</v>
      </c>
      <c r="H56" s="1760">
        <f t="shared" si="24"/>
        <v>584725</v>
      </c>
      <c r="I56" s="1852">
        <v>6.3299999999999995E-2</v>
      </c>
      <c r="J56">
        <f t="shared" si="25"/>
        <v>50</v>
      </c>
      <c r="K56" s="1760">
        <f t="shared" si="26"/>
        <v>5337.1438356164381</v>
      </c>
      <c r="L56" s="1760">
        <f t="shared" si="27"/>
        <v>610162.85616438359</v>
      </c>
      <c r="M56"/>
      <c r="O56" t="str">
        <f t="shared" si="22"/>
        <v>less than 180 Days</v>
      </c>
    </row>
    <row r="57" spans="2:15">
      <c r="C57" t="s">
        <v>3530</v>
      </c>
      <c r="D57" s="218">
        <v>44602</v>
      </c>
      <c r="E57" s="1760">
        <v>69500</v>
      </c>
      <c r="F57">
        <v>15</v>
      </c>
      <c r="G57" s="1760">
        <f t="shared" si="23"/>
        <v>3475</v>
      </c>
      <c r="H57" s="1760">
        <f t="shared" si="24"/>
        <v>66025</v>
      </c>
      <c r="I57" s="1852">
        <v>6.3299999999999995E-2</v>
      </c>
      <c r="J57">
        <f t="shared" si="25"/>
        <v>50</v>
      </c>
      <c r="K57" s="1760">
        <f t="shared" si="26"/>
        <v>602.65068493150682</v>
      </c>
      <c r="L57" s="1760">
        <f t="shared" si="27"/>
        <v>68897.349315068495</v>
      </c>
      <c r="M57"/>
      <c r="O57" t="str">
        <f t="shared" si="22"/>
        <v>less than 180 Days</v>
      </c>
    </row>
    <row r="58" spans="2:15">
      <c r="C58" t="s">
        <v>3531</v>
      </c>
      <c r="D58" s="218">
        <v>44622</v>
      </c>
      <c r="E58" s="1760">
        <v>47930</v>
      </c>
      <c r="F58">
        <v>15</v>
      </c>
      <c r="G58" s="1760">
        <f t="shared" si="23"/>
        <v>2396.5</v>
      </c>
      <c r="H58" s="1760">
        <f t="shared" si="24"/>
        <v>45533.5</v>
      </c>
      <c r="I58" s="1852">
        <v>6.3299999999999995E-2</v>
      </c>
      <c r="J58">
        <f t="shared" si="25"/>
        <v>30</v>
      </c>
      <c r="K58" s="1760">
        <f t="shared" si="26"/>
        <v>249.36731506849313</v>
      </c>
      <c r="L58" s="1760">
        <f t="shared" si="27"/>
        <v>47680.632684931508</v>
      </c>
      <c r="M58"/>
      <c r="O58" t="str">
        <f t="shared" si="22"/>
        <v>less than 180 Days</v>
      </c>
    </row>
    <row r="59" spans="2:15">
      <c r="M59"/>
    </row>
    <row r="60" spans="2:15">
      <c r="M60"/>
    </row>
    <row r="61" spans="2:15">
      <c r="B61" t="s">
        <v>3532</v>
      </c>
      <c r="C61" t="s">
        <v>3533</v>
      </c>
      <c r="D61" s="218">
        <v>44489</v>
      </c>
      <c r="E61" s="1760">
        <v>6579260</v>
      </c>
      <c r="F61">
        <v>8</v>
      </c>
      <c r="G61" s="1760">
        <f t="shared" ref="G61" si="28">E61*5%</f>
        <v>328963</v>
      </c>
      <c r="H61" s="1760">
        <f t="shared" ref="H61" si="29">E61-G61</f>
        <v>6250297</v>
      </c>
      <c r="I61" s="1852">
        <v>0.1188</v>
      </c>
      <c r="J61">
        <f t="shared" ref="J61" si="30">$L$1-D61</f>
        <v>163</v>
      </c>
      <c r="K61" s="1760">
        <f t="shared" ref="K61" si="31">E61*I61*J61/365</f>
        <v>349050.47217534244</v>
      </c>
      <c r="L61" s="1760">
        <f t="shared" ref="L61" si="32">E61-K61</f>
        <v>6230209.527824658</v>
      </c>
      <c r="M61"/>
      <c r="O61" t="str">
        <f t="shared" ref="O61:O62" si="33">IF(D61&lt;$O$1,"More than 180 Days","less than 180 Days")</f>
        <v>less than 180 Days</v>
      </c>
    </row>
    <row r="62" spans="2:15">
      <c r="C62" t="s">
        <v>3534</v>
      </c>
      <c r="D62" s="218">
        <v>44643</v>
      </c>
      <c r="E62" s="1760">
        <v>95000</v>
      </c>
      <c r="F62">
        <v>10</v>
      </c>
      <c r="G62" s="1760">
        <f t="shared" ref="G62" si="34">E62*5%</f>
        <v>4750</v>
      </c>
      <c r="H62" s="1760">
        <f t="shared" ref="H62" si="35">E62-G62</f>
        <v>90250</v>
      </c>
      <c r="I62" s="1852">
        <v>9.5000000000000001E-2</v>
      </c>
      <c r="J62">
        <f t="shared" ref="J62" si="36">$L$1-D62</f>
        <v>9</v>
      </c>
      <c r="K62" s="1760">
        <f t="shared" ref="K62" si="37">E62*I62*J62/365</f>
        <v>222.53424657534248</v>
      </c>
      <c r="L62" s="1760">
        <f t="shared" ref="L62" si="38">E62-K62</f>
        <v>94777.465753424651</v>
      </c>
      <c r="M62"/>
      <c r="O62" t="str">
        <f t="shared" si="33"/>
        <v>less than 180 Days</v>
      </c>
    </row>
    <row r="63" spans="2:15">
      <c r="D63" s="218"/>
      <c r="G63" s="1760"/>
      <c r="H63" s="1760"/>
      <c r="K63" s="1760"/>
      <c r="L63" s="1760"/>
      <c r="M63"/>
    </row>
    <row r="64" spans="2:15">
      <c r="M64"/>
    </row>
    <row r="65" spans="1:17">
      <c r="M65"/>
    </row>
    <row r="66" spans="1:17">
      <c r="A66" t="s">
        <v>3535</v>
      </c>
      <c r="E66"/>
      <c r="I66" s="371"/>
      <c r="L66" s="218">
        <v>44652</v>
      </c>
      <c r="M66"/>
    </row>
    <row r="67" spans="1:17">
      <c r="B67" s="254" t="s">
        <v>3467</v>
      </c>
      <c r="C67" s="254" t="s">
        <v>3468</v>
      </c>
      <c r="D67" s="254" t="s">
        <v>3469</v>
      </c>
      <c r="E67" s="254" t="s">
        <v>3471</v>
      </c>
      <c r="F67" s="254" t="s">
        <v>1362</v>
      </c>
      <c r="G67" s="254" t="s">
        <v>3474</v>
      </c>
      <c r="H67" s="254" t="s">
        <v>3475</v>
      </c>
      <c r="I67" s="254" t="s">
        <v>3476</v>
      </c>
      <c r="J67" s="254" t="s">
        <v>3472</v>
      </c>
      <c r="K67" s="254" t="s">
        <v>3473</v>
      </c>
      <c r="L67" s="254" t="s">
        <v>2123</v>
      </c>
      <c r="M67" s="254" t="s">
        <v>3537</v>
      </c>
      <c r="N67" s="254" t="s">
        <v>3539</v>
      </c>
    </row>
    <row r="68" spans="1:17">
      <c r="B68" t="s">
        <v>1131</v>
      </c>
      <c r="C68" s="1857" t="s">
        <v>3536</v>
      </c>
      <c r="D68" s="1858">
        <v>43922</v>
      </c>
      <c r="E68" s="1859">
        <v>860479.8</v>
      </c>
      <c r="F68" s="1860">
        <v>3</v>
      </c>
      <c r="G68" s="1861">
        <f t="shared" ref="G68:G91" si="39">E68*5%</f>
        <v>43023.990000000005</v>
      </c>
      <c r="H68" s="1862">
        <f t="shared" ref="H68:H91" si="40">E68-G68</f>
        <v>817455.81</v>
      </c>
      <c r="I68" s="1863">
        <v>0.31669999999999998</v>
      </c>
      <c r="J68" s="1860">
        <f>365</f>
        <v>365</v>
      </c>
      <c r="K68" s="1861">
        <f t="shared" ref="K68:K78" si="41">E68*I68*J68/365</f>
        <v>272513.95266000001</v>
      </c>
      <c r="L68" s="1861">
        <f>N68-K68</f>
        <v>82012.09467999998</v>
      </c>
      <c r="M68" s="1862">
        <v>505953.75266000006</v>
      </c>
      <c r="N68" s="1864">
        <f>E68-M68</f>
        <v>354526.04733999999</v>
      </c>
      <c r="O68" s="1856"/>
    </row>
    <row r="69" spans="1:17">
      <c r="C69" t="s">
        <v>3538</v>
      </c>
      <c r="D69" s="1853">
        <v>44092</v>
      </c>
      <c r="E69" s="1854">
        <v>31750</v>
      </c>
      <c r="F69" s="584">
        <v>3</v>
      </c>
      <c r="G69" s="1760">
        <f t="shared" ref="G69:G76" si="42">E69*5%</f>
        <v>1587.5</v>
      </c>
      <c r="H69" s="618">
        <f t="shared" ref="H69:H76" si="43">E69-G69</f>
        <v>30162.5</v>
      </c>
      <c r="I69" s="1855">
        <v>0.31669999999999998</v>
      </c>
      <c r="J69" s="584">
        <f>365</f>
        <v>365</v>
      </c>
      <c r="K69" s="1760">
        <f t="shared" ref="K69:K76" si="44">E69*I69*J69/365</f>
        <v>10055.224999999999</v>
      </c>
      <c r="L69" s="1760">
        <f t="shared" ref="L69:L91" si="45">N69-K69</f>
        <v>16618.109474885845</v>
      </c>
      <c r="M69" s="618">
        <v>5076.6655251141547</v>
      </c>
      <c r="N69" s="1856">
        <f t="shared" ref="N69:N91" si="46">E69-M69</f>
        <v>26673.334474885844</v>
      </c>
    </row>
    <row r="70" spans="1:17">
      <c r="C70" t="s">
        <v>3538</v>
      </c>
      <c r="D70" s="1853">
        <v>44094</v>
      </c>
      <c r="E70" s="1854">
        <v>26400</v>
      </c>
      <c r="F70" s="584">
        <v>3</v>
      </c>
      <c r="G70" s="1760">
        <f t="shared" si="42"/>
        <v>1320</v>
      </c>
      <c r="H70" s="618">
        <f t="shared" si="43"/>
        <v>25080</v>
      </c>
      <c r="I70" s="1855">
        <v>0.31669999999999998</v>
      </c>
      <c r="J70" s="584">
        <f>365</f>
        <v>365</v>
      </c>
      <c r="K70" s="1760">
        <f t="shared" si="44"/>
        <v>8360.8799999999992</v>
      </c>
      <c r="L70" s="1760">
        <f t="shared" si="45"/>
        <v>13861.410410958908</v>
      </c>
      <c r="M70" s="618">
        <v>4177.7095890410947</v>
      </c>
      <c r="N70" s="1856">
        <f t="shared" si="46"/>
        <v>22222.290410958907</v>
      </c>
    </row>
    <row r="71" spans="1:17">
      <c r="C71" t="s">
        <v>3538</v>
      </c>
      <c r="D71" s="1853">
        <v>44190</v>
      </c>
      <c r="E71" s="1854">
        <v>88800</v>
      </c>
      <c r="F71" s="584">
        <v>3</v>
      </c>
      <c r="G71" s="1760">
        <f t="shared" si="42"/>
        <v>4440</v>
      </c>
      <c r="H71" s="618">
        <f t="shared" si="43"/>
        <v>84360</v>
      </c>
      <c r="I71" s="1855">
        <v>0.31669999999999998</v>
      </c>
      <c r="J71" s="584">
        <f>365</f>
        <v>365</v>
      </c>
      <c r="K71" s="1760">
        <f t="shared" si="44"/>
        <v>28122.960000000003</v>
      </c>
      <c r="L71" s="1760">
        <f t="shared" si="45"/>
        <v>53650.892054794516</v>
      </c>
      <c r="M71" s="618">
        <v>7026.14794520548</v>
      </c>
      <c r="N71" s="1856">
        <f t="shared" si="46"/>
        <v>81773.852054794523</v>
      </c>
    </row>
    <row r="72" spans="1:17">
      <c r="C72" t="s">
        <v>3538</v>
      </c>
      <c r="D72" s="1853">
        <v>44232</v>
      </c>
      <c r="E72" s="1854">
        <v>29000</v>
      </c>
      <c r="F72" s="584">
        <v>3</v>
      </c>
      <c r="G72" s="1760">
        <f t="shared" si="42"/>
        <v>1450</v>
      </c>
      <c r="H72" s="618">
        <f t="shared" si="43"/>
        <v>27550</v>
      </c>
      <c r="I72" s="1855">
        <v>0.31669999999999998</v>
      </c>
      <c r="J72" s="584">
        <f>365</f>
        <v>365</v>
      </c>
      <c r="K72" s="1760">
        <f t="shared" si="44"/>
        <v>9184.2999999999993</v>
      </c>
      <c r="L72" s="1760">
        <f t="shared" si="45"/>
        <v>18525.001369863014</v>
      </c>
      <c r="M72" s="618">
        <v>1290.6986301369864</v>
      </c>
      <c r="N72" s="1856">
        <f t="shared" si="46"/>
        <v>27709.301369863013</v>
      </c>
    </row>
    <row r="73" spans="1:17">
      <c r="C73" t="s">
        <v>3538</v>
      </c>
      <c r="D73" s="1853">
        <v>44245</v>
      </c>
      <c r="E73" s="1854">
        <v>30400</v>
      </c>
      <c r="F73" s="584">
        <v>3</v>
      </c>
      <c r="G73" s="1760">
        <f t="shared" si="42"/>
        <v>1520</v>
      </c>
      <c r="H73" s="618">
        <f t="shared" si="43"/>
        <v>28880</v>
      </c>
      <c r="I73" s="1855">
        <v>0.31669999999999998</v>
      </c>
      <c r="J73" s="584">
        <f>365</f>
        <v>365</v>
      </c>
      <c r="K73" s="1760">
        <f t="shared" si="44"/>
        <v>9627.68</v>
      </c>
      <c r="L73" s="1760">
        <f t="shared" si="45"/>
        <v>19745.03598173516</v>
      </c>
      <c r="M73" s="618">
        <v>1027.2840182648401</v>
      </c>
      <c r="N73" s="1856">
        <f t="shared" si="46"/>
        <v>29372.71598173516</v>
      </c>
    </row>
    <row r="74" spans="1:17">
      <c r="C74" t="s">
        <v>3538</v>
      </c>
      <c r="D74" s="1853">
        <v>44259</v>
      </c>
      <c r="E74" s="1854">
        <v>19470</v>
      </c>
      <c r="F74" s="584">
        <v>3</v>
      </c>
      <c r="G74" s="1760">
        <f t="shared" si="42"/>
        <v>973.5</v>
      </c>
      <c r="H74" s="618">
        <f t="shared" si="43"/>
        <v>18496.5</v>
      </c>
      <c r="I74" s="1855">
        <v>0.31669999999999998</v>
      </c>
      <c r="J74" s="584">
        <f>365</f>
        <v>365</v>
      </c>
      <c r="K74" s="1760">
        <f t="shared" si="44"/>
        <v>6166.1489999999994</v>
      </c>
      <c r="L74" s="1760">
        <f t="shared" si="45"/>
        <v>12870.576821917808</v>
      </c>
      <c r="M74" s="618">
        <v>433.27417808219178</v>
      </c>
      <c r="N74" s="1856">
        <f t="shared" si="46"/>
        <v>19036.725821917807</v>
      </c>
    </row>
    <row r="75" spans="1:17">
      <c r="C75" t="s">
        <v>3538</v>
      </c>
      <c r="D75" s="1853">
        <v>44264</v>
      </c>
      <c r="E75" s="1854">
        <v>15989</v>
      </c>
      <c r="F75" s="584">
        <v>3</v>
      </c>
      <c r="G75" s="1760">
        <f t="shared" si="42"/>
        <v>799.45</v>
      </c>
      <c r="H75" s="618">
        <f t="shared" si="43"/>
        <v>15189.55</v>
      </c>
      <c r="I75" s="1855">
        <v>0.31669999999999998</v>
      </c>
      <c r="J75" s="584">
        <f>365</f>
        <v>365</v>
      </c>
      <c r="K75" s="1760">
        <f t="shared" si="44"/>
        <v>5063.7163</v>
      </c>
      <c r="L75" s="1760">
        <f t="shared" si="45"/>
        <v>10635.366343832475</v>
      </c>
      <c r="M75" s="618">
        <v>289.91735616752499</v>
      </c>
      <c r="N75" s="1856">
        <f t="shared" si="46"/>
        <v>15699.082643832475</v>
      </c>
      <c r="O75" s="1856"/>
    </row>
    <row r="76" spans="1:17">
      <c r="C76" t="s">
        <v>3538</v>
      </c>
      <c r="D76" s="1853">
        <v>44286</v>
      </c>
      <c r="E76" s="1854">
        <v>13280</v>
      </c>
      <c r="F76" s="584">
        <v>3</v>
      </c>
      <c r="G76" s="1760">
        <f t="shared" si="42"/>
        <v>664</v>
      </c>
      <c r="H76" s="618">
        <f t="shared" si="43"/>
        <v>12616</v>
      </c>
      <c r="I76" s="1855">
        <v>0.31669999999999998</v>
      </c>
      <c r="J76" s="584">
        <f>365</f>
        <v>365</v>
      </c>
      <c r="K76" s="1760">
        <f t="shared" si="44"/>
        <v>4205.7759999999998</v>
      </c>
      <c r="L76" s="1760">
        <f t="shared" si="45"/>
        <v>9074.2240000000002</v>
      </c>
      <c r="M76" s="618">
        <v>0</v>
      </c>
      <c r="N76" s="1856">
        <f t="shared" si="46"/>
        <v>13280</v>
      </c>
      <c r="O76" s="1856"/>
    </row>
    <row r="77" spans="1:17">
      <c r="D77" s="1853"/>
      <c r="E77" s="1854"/>
      <c r="F77" s="584"/>
      <c r="G77" s="1760"/>
      <c r="H77" s="618"/>
      <c r="I77" s="1855"/>
      <c r="J77" s="584"/>
      <c r="K77" s="1760"/>
      <c r="L77" s="1760"/>
      <c r="M77" s="618"/>
      <c r="O77" s="1856"/>
    </row>
    <row r="78" spans="1:17">
      <c r="B78" t="s">
        <v>2382</v>
      </c>
      <c r="C78" s="1857" t="s">
        <v>3536</v>
      </c>
      <c r="D78" s="1865">
        <v>43922</v>
      </c>
      <c r="E78" s="1859">
        <v>44957759.029169858</v>
      </c>
      <c r="F78" s="1860">
        <v>15</v>
      </c>
      <c r="G78" s="1861">
        <f t="shared" si="39"/>
        <v>2247887.9514584928</v>
      </c>
      <c r="H78" s="1862">
        <f t="shared" si="40"/>
        <v>42709871.077711366</v>
      </c>
      <c r="I78" s="1863">
        <v>6.3299999999999995E-2</v>
      </c>
      <c r="J78" s="1860">
        <f>365</f>
        <v>365</v>
      </c>
      <c r="K78" s="1861">
        <f t="shared" si="41"/>
        <v>2845826.1465464518</v>
      </c>
      <c r="L78" s="1861">
        <f t="shared" si="45"/>
        <v>35963498.179530501</v>
      </c>
      <c r="M78" s="1861">
        <f>3302608.55654645+K78</f>
        <v>6148434.703092902</v>
      </c>
      <c r="N78" s="1864">
        <f t="shared" si="46"/>
        <v>38809324.326076955</v>
      </c>
      <c r="P78" s="1760"/>
    </row>
    <row r="79" spans="1:17">
      <c r="C79" t="s">
        <v>3538</v>
      </c>
      <c r="D79" s="218">
        <v>44020</v>
      </c>
      <c r="E79" s="1854">
        <v>1062000</v>
      </c>
      <c r="F79" s="584">
        <v>15</v>
      </c>
      <c r="G79" s="1760">
        <f t="shared" si="39"/>
        <v>53100</v>
      </c>
      <c r="H79" s="618">
        <f t="shared" si="40"/>
        <v>1008900</v>
      </c>
      <c r="I79" s="1855">
        <v>6.3299999999999995E-2</v>
      </c>
      <c r="J79" s="584">
        <f>365</f>
        <v>365</v>
      </c>
      <c r="K79" s="1760">
        <f t="shared" ref="K79:K87" si="47">E79*I79*J79/365</f>
        <v>67224.599999999991</v>
      </c>
      <c r="L79" s="1760">
        <f t="shared" si="45"/>
        <v>880984.76712328778</v>
      </c>
      <c r="M79" s="1760">
        <f>46566.0328767123+K79</f>
        <v>113790.63287671229</v>
      </c>
      <c r="N79" s="1856">
        <f t="shared" si="46"/>
        <v>948209.36712328775</v>
      </c>
      <c r="P79" s="1760"/>
    </row>
    <row r="80" spans="1:17">
      <c r="C80" t="s">
        <v>3538</v>
      </c>
      <c r="D80" s="218">
        <v>44072</v>
      </c>
      <c r="E80" s="1854">
        <v>22267</v>
      </c>
      <c r="F80" s="584">
        <v>15</v>
      </c>
      <c r="G80" s="1760">
        <f t="shared" si="39"/>
        <v>1113.3500000000001</v>
      </c>
      <c r="H80" s="618">
        <f t="shared" si="40"/>
        <v>21153.65</v>
      </c>
      <c r="I80" s="1855">
        <v>6.3299999999999995E-2</v>
      </c>
      <c r="J80" s="584">
        <f>365</f>
        <v>365</v>
      </c>
      <c r="K80" s="1760">
        <f t="shared" si="47"/>
        <v>1409.5011</v>
      </c>
      <c r="L80" s="1760">
        <f t="shared" si="45"/>
        <v>18662.515294972778</v>
      </c>
      <c r="M80" s="1760">
        <f>785.482505027219+K80</f>
        <v>2194.9836050272188</v>
      </c>
      <c r="N80" s="1856">
        <f t="shared" si="46"/>
        <v>20072.016394972779</v>
      </c>
      <c r="P80" s="1760"/>
      <c r="Q80" s="371"/>
    </row>
    <row r="81" spans="2:17">
      <c r="C81" t="s">
        <v>3538</v>
      </c>
      <c r="D81" s="218">
        <v>44095</v>
      </c>
      <c r="E81" s="1854">
        <v>5048</v>
      </c>
      <c r="F81" s="584">
        <v>15</v>
      </c>
      <c r="G81" s="1760">
        <f t="shared" si="39"/>
        <v>252.4</v>
      </c>
      <c r="H81" s="618">
        <f t="shared" si="40"/>
        <v>4795.6000000000004</v>
      </c>
      <c r="I81" s="1855">
        <v>6.3299999999999995E-2</v>
      </c>
      <c r="J81" s="584">
        <f>365</f>
        <v>365</v>
      </c>
      <c r="K81" s="1760">
        <f t="shared" si="47"/>
        <v>319.53839999999997</v>
      </c>
      <c r="L81" s="1760">
        <f t="shared" si="45"/>
        <v>4249.9895707762553</v>
      </c>
      <c r="M81" s="1760">
        <f>158.933629223744+K81</f>
        <v>478.47202922374396</v>
      </c>
      <c r="N81" s="1856">
        <f t="shared" si="46"/>
        <v>4569.5279707762556</v>
      </c>
      <c r="P81" s="1856"/>
      <c r="Q81" s="371"/>
    </row>
    <row r="82" spans="2:17">
      <c r="C82" t="s">
        <v>3538</v>
      </c>
      <c r="D82" s="218">
        <v>44111</v>
      </c>
      <c r="E82" s="1854">
        <v>224200</v>
      </c>
      <c r="F82" s="584">
        <v>15</v>
      </c>
      <c r="G82" s="1760">
        <f t="shared" si="39"/>
        <v>11210</v>
      </c>
      <c r="H82" s="618">
        <f t="shared" si="40"/>
        <v>212990</v>
      </c>
      <c r="I82" s="1855">
        <v>6.3299999999999995E-2</v>
      </c>
      <c r="J82" s="584">
        <f>365</f>
        <v>365</v>
      </c>
      <c r="K82" s="1760">
        <f t="shared" si="47"/>
        <v>14191.859999999999</v>
      </c>
      <c r="L82" s="1760">
        <f t="shared" si="45"/>
        <v>189348.77543378997</v>
      </c>
      <c r="M82" s="1760">
        <f>6467.50456621005+K82</f>
        <v>20659.36456621005</v>
      </c>
      <c r="N82" s="1856">
        <f t="shared" si="46"/>
        <v>203540.63543378995</v>
      </c>
      <c r="P82" s="371"/>
      <c r="Q82" s="371"/>
    </row>
    <row r="83" spans="2:17">
      <c r="C83" t="s">
        <v>3538</v>
      </c>
      <c r="D83" s="218">
        <v>44140</v>
      </c>
      <c r="E83" s="1854">
        <v>224200</v>
      </c>
      <c r="F83" s="584">
        <v>15</v>
      </c>
      <c r="G83" s="1760">
        <f t="shared" si="39"/>
        <v>11210</v>
      </c>
      <c r="H83" s="618">
        <f t="shared" si="40"/>
        <v>212990</v>
      </c>
      <c r="I83" s="1855">
        <v>6.3299999999999995E-2</v>
      </c>
      <c r="J83" s="584">
        <f>365</f>
        <v>365</v>
      </c>
      <c r="K83" s="1760">
        <f t="shared" si="47"/>
        <v>14191.859999999999</v>
      </c>
      <c r="L83" s="1760">
        <f t="shared" si="45"/>
        <v>190420.53333333335</v>
      </c>
      <c r="M83" s="1760">
        <f>5395.74666666667+K83</f>
        <v>19587.606666666667</v>
      </c>
      <c r="N83" s="1856">
        <f t="shared" si="46"/>
        <v>204612.39333333334</v>
      </c>
      <c r="P83" s="371"/>
    </row>
    <row r="84" spans="2:17">
      <c r="C84" t="s">
        <v>3538</v>
      </c>
      <c r="D84" s="218">
        <v>44194</v>
      </c>
      <c r="E84" s="1854">
        <v>555190</v>
      </c>
      <c r="F84" s="584">
        <v>15</v>
      </c>
      <c r="G84" s="1760">
        <f t="shared" si="39"/>
        <v>27759.5</v>
      </c>
      <c r="H84" s="618">
        <f t="shared" si="40"/>
        <v>527430.5</v>
      </c>
      <c r="I84" s="1855">
        <v>6.3299999999999995E-2</v>
      </c>
      <c r="J84" s="584">
        <f>365</f>
        <v>365</v>
      </c>
      <c r="K84" s="1760">
        <f t="shared" si="47"/>
        <v>35143.526999999995</v>
      </c>
      <c r="L84" s="1760">
        <f t="shared" si="45"/>
        <v>476483.32486757991</v>
      </c>
      <c r="M84" s="1760">
        <f>8419.62113242009+K84</f>
        <v>43563.148132420087</v>
      </c>
      <c r="N84" s="1856">
        <f t="shared" si="46"/>
        <v>511626.85186757991</v>
      </c>
    </row>
    <row r="85" spans="2:17">
      <c r="C85" t="s">
        <v>3538</v>
      </c>
      <c r="D85" s="218">
        <v>44272</v>
      </c>
      <c r="E85" s="1854">
        <v>359900</v>
      </c>
      <c r="F85" s="584">
        <v>15</v>
      </c>
      <c r="G85" s="1760">
        <f t="shared" si="39"/>
        <v>17995</v>
      </c>
      <c r="H85" s="618">
        <f t="shared" si="40"/>
        <v>341905</v>
      </c>
      <c r="I85" s="1855">
        <v>6.3299999999999995E-2</v>
      </c>
      <c r="J85" s="584">
        <f>365</f>
        <v>365</v>
      </c>
      <c r="K85" s="1760">
        <f t="shared" si="47"/>
        <v>22781.67</v>
      </c>
      <c r="L85" s="1760">
        <f t="shared" si="45"/>
        <v>313506.09625570779</v>
      </c>
      <c r="M85" s="1760">
        <f>830.563744292238+K85</f>
        <v>23612.233744292236</v>
      </c>
      <c r="N85" s="1856">
        <f t="shared" si="46"/>
        <v>336287.76625570777</v>
      </c>
    </row>
    <row r="86" spans="2:17">
      <c r="C86" t="s">
        <v>3538</v>
      </c>
      <c r="D86" s="218">
        <v>44276</v>
      </c>
      <c r="E86" s="1854">
        <v>7000</v>
      </c>
      <c r="F86" s="584">
        <v>15</v>
      </c>
      <c r="G86" s="1760">
        <f t="shared" si="39"/>
        <v>350</v>
      </c>
      <c r="H86" s="618">
        <f t="shared" si="40"/>
        <v>6650</v>
      </c>
      <c r="I86" s="1855">
        <v>6.3299999999999995E-2</v>
      </c>
      <c r="J86" s="584">
        <f>365</f>
        <v>365</v>
      </c>
      <c r="K86" s="1760">
        <f t="shared" si="47"/>
        <v>443.1</v>
      </c>
      <c r="L86" s="1760">
        <f t="shared" si="45"/>
        <v>6102.2611872146117</v>
      </c>
      <c r="M86" s="1760">
        <f>11.5388127853881+K86</f>
        <v>454.6388127853881</v>
      </c>
      <c r="N86" s="1856">
        <f t="shared" si="46"/>
        <v>6545.3611872146121</v>
      </c>
    </row>
    <row r="87" spans="2:17">
      <c r="C87" t="s">
        <v>3538</v>
      </c>
      <c r="D87" s="218">
        <v>44279</v>
      </c>
      <c r="E87" s="1854">
        <v>1395972</v>
      </c>
      <c r="F87" s="584">
        <v>15</v>
      </c>
      <c r="G87" s="1760">
        <f t="shared" si="39"/>
        <v>69798.600000000006</v>
      </c>
      <c r="H87" s="618">
        <f t="shared" si="40"/>
        <v>1326173.3999999999</v>
      </c>
      <c r="I87" s="1855">
        <v>6.3299999999999995E-2</v>
      </c>
      <c r="J87" s="584">
        <f>365</f>
        <v>365</v>
      </c>
      <c r="K87" s="1760">
        <f t="shared" si="47"/>
        <v>88365.027599999987</v>
      </c>
      <c r="L87" s="1760">
        <f t="shared" si="45"/>
        <v>1217631.1588438358</v>
      </c>
      <c r="M87" s="1760">
        <f>1610.78595616438+K87</f>
        <v>89975.813556164372</v>
      </c>
      <c r="N87" s="1856">
        <f t="shared" si="46"/>
        <v>1305996.1864438357</v>
      </c>
    </row>
    <row r="88" spans="2:17">
      <c r="D88" s="218"/>
      <c r="E88" s="1854"/>
      <c r="F88" s="584"/>
      <c r="G88" s="1760"/>
      <c r="H88" s="618"/>
      <c r="I88" s="1855"/>
      <c r="J88" s="584"/>
      <c r="K88" s="1760"/>
      <c r="L88" s="1760"/>
    </row>
    <row r="89" spans="2:17">
      <c r="B89" t="s">
        <v>2379</v>
      </c>
      <c r="C89" t="s">
        <v>3536</v>
      </c>
      <c r="D89" s="218">
        <v>43922</v>
      </c>
      <c r="E89" s="1854">
        <v>681807</v>
      </c>
      <c r="F89" s="584">
        <v>10</v>
      </c>
      <c r="G89" s="1868">
        <f t="shared" si="39"/>
        <v>34090.35</v>
      </c>
      <c r="H89" s="618">
        <f t="shared" si="40"/>
        <v>647716.65</v>
      </c>
      <c r="I89" s="1855">
        <v>9.5000000000000001E-2</v>
      </c>
      <c r="J89" s="584">
        <f>365</f>
        <v>365</v>
      </c>
      <c r="K89" s="1868">
        <v>0</v>
      </c>
      <c r="L89" s="1868">
        <f t="shared" si="45"/>
        <v>34090</v>
      </c>
      <c r="M89" s="1868">
        <v>647717</v>
      </c>
      <c r="N89" s="1856">
        <f t="shared" si="46"/>
        <v>34090</v>
      </c>
    </row>
    <row r="90" spans="2:17">
      <c r="D90" s="218"/>
      <c r="E90" s="1854"/>
      <c r="F90" s="584"/>
      <c r="G90" s="1760"/>
      <c r="H90" s="618"/>
      <c r="I90" s="1855"/>
      <c r="J90" s="584"/>
      <c r="K90" s="1760"/>
      <c r="L90" s="1760"/>
    </row>
    <row r="91" spans="2:17">
      <c r="B91" t="s">
        <v>2384</v>
      </c>
      <c r="C91" s="1857" t="s">
        <v>3536</v>
      </c>
      <c r="D91" s="1865">
        <v>43922</v>
      </c>
      <c r="E91" s="1859">
        <v>4081156</v>
      </c>
      <c r="F91" s="1860">
        <v>8</v>
      </c>
      <c r="G91" s="1861">
        <f t="shared" si="39"/>
        <v>204057.80000000002</v>
      </c>
      <c r="H91" s="1862">
        <f t="shared" si="40"/>
        <v>3877098.2</v>
      </c>
      <c r="I91" s="1863">
        <v>0.11550000000000001</v>
      </c>
      <c r="J91" s="1860">
        <v>365</v>
      </c>
      <c r="K91" s="1861">
        <f t="shared" ref="K91" si="48">E91*I91*J91/365</f>
        <v>471373.51800000004</v>
      </c>
      <c r="L91" s="1861">
        <f t="shared" si="45"/>
        <v>3060163.7289759996</v>
      </c>
      <c r="M91" s="1861">
        <v>549618.75302400009</v>
      </c>
      <c r="N91" s="1864">
        <f t="shared" si="46"/>
        <v>3531537.2469759998</v>
      </c>
    </row>
    <row r="92" spans="2:17">
      <c r="D92" s="218"/>
    </row>
    <row r="93" spans="2:17">
      <c r="D93" s="218"/>
      <c r="G93" s="1760"/>
      <c r="H93" s="1760"/>
      <c r="K93" s="1760"/>
      <c r="L93" s="1760"/>
      <c r="M93" s="2147"/>
    </row>
    <row r="94" spans="2:17">
      <c r="D94" s="218"/>
      <c r="G94" s="1760"/>
      <c r="H94" s="1760"/>
      <c r="K94" s="1760"/>
      <c r="L94" s="1760"/>
      <c r="M94" s="2147"/>
    </row>
  </sheetData>
  <phoneticPr fontId="147"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filterMode="1"/>
  <dimension ref="A1:L912"/>
  <sheetViews>
    <sheetView workbookViewId="0">
      <selection activeCell="G889" sqref="G889"/>
    </sheetView>
  </sheetViews>
  <sheetFormatPr defaultRowHeight="14.4"/>
  <cols>
    <col min="1" max="1" width="51.44140625" bestFit="1" customWidth="1"/>
    <col min="2" max="3" width="14.44140625" bestFit="1" customWidth="1"/>
    <col min="4" max="5" width="13.5546875" bestFit="1" customWidth="1"/>
    <col min="6" max="7" width="14.44140625" bestFit="1" customWidth="1"/>
    <col min="8" max="8" width="16.5546875" bestFit="1" customWidth="1"/>
    <col min="9" max="9" width="39.44140625" bestFit="1" customWidth="1"/>
    <col min="10" max="11" width="16.5546875" bestFit="1" customWidth="1"/>
    <col min="12" max="12" width="12.5546875" bestFit="1" customWidth="1"/>
  </cols>
  <sheetData>
    <row r="1" spans="1:11" ht="15.6">
      <c r="A1" s="2699" t="s">
        <v>81</v>
      </c>
      <c r="B1" s="2699"/>
      <c r="C1" s="2699"/>
      <c r="F1" s="195">
        <v>1273971</v>
      </c>
      <c r="G1" s="195">
        <v>1293971</v>
      </c>
      <c r="H1">
        <f>G1-F1</f>
        <v>20000</v>
      </c>
    </row>
    <row r="2" spans="1:11" ht="15" thickBot="1">
      <c r="A2" s="277" t="s">
        <v>3218</v>
      </c>
      <c r="D2" s="254"/>
      <c r="E2" s="254"/>
      <c r="F2" s="195"/>
      <c r="G2" s="195"/>
      <c r="I2" s="2147">
        <v>278900414</v>
      </c>
      <c r="J2" s="2147">
        <v>271620768.64999998</v>
      </c>
      <c r="K2" s="2147">
        <f>I2-J2</f>
        <v>7279645.3500000238</v>
      </c>
    </row>
    <row r="3" spans="1:11">
      <c r="A3" s="1761" t="s">
        <v>82</v>
      </c>
      <c r="B3" s="3202" t="s">
        <v>2748</v>
      </c>
      <c r="C3" s="3203"/>
      <c r="D3" s="3202" t="s">
        <v>1332</v>
      </c>
      <c r="E3" s="3203"/>
      <c r="F3" s="3204" t="s">
        <v>20</v>
      </c>
      <c r="G3" s="3203"/>
      <c r="K3" s="2147"/>
    </row>
    <row r="4" spans="1:11">
      <c r="A4" s="1762" t="s">
        <v>1</v>
      </c>
      <c r="B4" s="3205" t="s">
        <v>0</v>
      </c>
      <c r="C4" s="3206"/>
      <c r="D4" s="3205" t="s">
        <v>0</v>
      </c>
      <c r="E4" s="3206"/>
      <c r="F4" s="3207" t="s">
        <v>0</v>
      </c>
      <c r="G4" s="3208"/>
    </row>
    <row r="5" spans="1:11">
      <c r="A5" s="1762" t="s">
        <v>82</v>
      </c>
      <c r="B5" s="3200" t="s">
        <v>2748</v>
      </c>
      <c r="C5" s="3201"/>
      <c r="D5" s="3200" t="s">
        <v>1332</v>
      </c>
      <c r="E5" s="3201"/>
      <c r="F5" s="2709" t="s">
        <v>20</v>
      </c>
      <c r="G5" s="3201"/>
    </row>
    <row r="6" spans="1:11">
      <c r="A6" s="1763" t="s">
        <v>82</v>
      </c>
      <c r="B6" s="1764" t="s">
        <v>66</v>
      </c>
      <c r="C6" s="1765" t="s">
        <v>67</v>
      </c>
      <c r="D6" s="1764" t="s">
        <v>66</v>
      </c>
      <c r="E6" s="1765" t="s">
        <v>67</v>
      </c>
      <c r="F6" s="1766" t="s">
        <v>66</v>
      </c>
      <c r="G6" s="1765" t="s">
        <v>67</v>
      </c>
      <c r="H6" s="337" t="s">
        <v>3437</v>
      </c>
      <c r="I6" s="337" t="s">
        <v>3462</v>
      </c>
    </row>
    <row r="7" spans="1:11" hidden="1">
      <c r="A7" s="1767" t="s">
        <v>84</v>
      </c>
      <c r="B7" s="1768"/>
      <c r="C7" s="1769">
        <v>7147460</v>
      </c>
      <c r="D7" s="1770"/>
      <c r="E7" s="238"/>
      <c r="F7" s="1771"/>
      <c r="G7" s="1769">
        <v>7147460</v>
      </c>
    </row>
    <row r="8" spans="1:11" hidden="1">
      <c r="A8" s="1772" t="s">
        <v>85</v>
      </c>
      <c r="B8" s="1773"/>
      <c r="C8" s="1774">
        <v>7147460</v>
      </c>
      <c r="D8" s="1775"/>
      <c r="E8" s="1776"/>
      <c r="F8" s="1777"/>
      <c r="G8" s="1774">
        <v>7147460</v>
      </c>
    </row>
    <row r="9" spans="1:11" hidden="1">
      <c r="A9" s="1767" t="s">
        <v>86</v>
      </c>
      <c r="B9" s="1778">
        <v>5264078.18</v>
      </c>
      <c r="C9" s="1779">
        <v>25754183.66</v>
      </c>
      <c r="D9" s="1780">
        <v>240591919.24000001</v>
      </c>
      <c r="E9" s="1781">
        <v>226049867.87</v>
      </c>
      <c r="F9" s="204">
        <v>9846213.8000000007</v>
      </c>
      <c r="G9" s="1779">
        <v>15794267.91</v>
      </c>
    </row>
    <row r="10" spans="1:11" hidden="1">
      <c r="A10" s="1782" t="s">
        <v>87</v>
      </c>
      <c r="B10" s="1783"/>
      <c r="C10" s="242"/>
      <c r="D10" s="1784">
        <v>1104360</v>
      </c>
      <c r="E10" s="1785">
        <v>1104360</v>
      </c>
      <c r="F10" s="113"/>
      <c r="G10" s="242"/>
    </row>
    <row r="11" spans="1:11" hidden="1">
      <c r="A11" s="1786" t="s">
        <v>2365</v>
      </c>
      <c r="B11" s="1775"/>
      <c r="C11" s="1776"/>
      <c r="D11" s="1787">
        <v>1104360</v>
      </c>
      <c r="E11" s="1774">
        <v>1104360</v>
      </c>
      <c r="F11" s="1128"/>
      <c r="G11" s="1776"/>
    </row>
    <row r="12" spans="1:11" hidden="1">
      <c r="A12" s="1782" t="s">
        <v>89</v>
      </c>
      <c r="B12" s="1788">
        <v>5264078.18</v>
      </c>
      <c r="C12" s="233">
        <v>21773079.52</v>
      </c>
      <c r="D12" s="1788">
        <v>223178072.24000001</v>
      </c>
      <c r="E12" s="233">
        <v>217446194.87</v>
      </c>
      <c r="F12" s="93">
        <v>4984940.8</v>
      </c>
      <c r="G12" s="233">
        <v>15762064.77</v>
      </c>
    </row>
    <row r="13" spans="1:11" hidden="1">
      <c r="A13" s="1789" t="s">
        <v>1295</v>
      </c>
      <c r="B13" s="1790">
        <v>866019</v>
      </c>
      <c r="C13" s="1791">
        <v>7810101.9299999997</v>
      </c>
      <c r="D13" s="1790">
        <v>53890000</v>
      </c>
      <c r="E13" s="1791">
        <v>55876079</v>
      </c>
      <c r="F13" s="110">
        <v>722500</v>
      </c>
      <c r="G13" s="1791">
        <v>9652661.9299999997</v>
      </c>
    </row>
    <row r="14" spans="1:11" hidden="1">
      <c r="A14" s="1792" t="s">
        <v>557</v>
      </c>
      <c r="B14" s="1773"/>
      <c r="C14" s="1774">
        <v>2131848.9300000002</v>
      </c>
      <c r="D14" s="1775"/>
      <c r="E14" s="1776"/>
      <c r="F14" s="1777"/>
      <c r="G14" s="1774">
        <v>2131848.9300000002</v>
      </c>
      <c r="H14">
        <v>8</v>
      </c>
      <c r="I14" t="s">
        <v>951</v>
      </c>
    </row>
    <row r="15" spans="1:11" hidden="1">
      <c r="A15" s="1792" t="s">
        <v>1889</v>
      </c>
      <c r="B15" s="1793"/>
      <c r="C15" s="1794">
        <v>13280</v>
      </c>
      <c r="D15" s="1795">
        <v>482311</v>
      </c>
      <c r="E15" s="1796">
        <v>469031</v>
      </c>
      <c r="F15" s="95"/>
      <c r="G15" s="1797"/>
    </row>
    <row r="16" spans="1:11" hidden="1">
      <c r="A16" s="1792" t="s">
        <v>3219</v>
      </c>
      <c r="B16" s="1793"/>
      <c r="C16" s="1797"/>
      <c r="D16" s="1795">
        <v>144116</v>
      </c>
      <c r="E16" s="1796">
        <v>144116</v>
      </c>
      <c r="F16" s="95"/>
      <c r="G16" s="1797"/>
    </row>
    <row r="17" spans="1:9" hidden="1">
      <c r="A17" s="1792" t="s">
        <v>1890</v>
      </c>
      <c r="B17" s="1798">
        <v>100000</v>
      </c>
      <c r="C17" s="1797"/>
      <c r="D17" s="1795">
        <v>1499555</v>
      </c>
      <c r="E17" s="1796">
        <v>1479555</v>
      </c>
      <c r="F17" s="112">
        <v>120000</v>
      </c>
      <c r="G17" s="1797"/>
      <c r="H17">
        <v>17</v>
      </c>
      <c r="I17" t="s">
        <v>1121</v>
      </c>
    </row>
    <row r="18" spans="1:9" hidden="1">
      <c r="A18" s="1792" t="s">
        <v>2212</v>
      </c>
      <c r="B18" s="1793"/>
      <c r="C18" s="1797"/>
      <c r="D18" s="1795">
        <v>873750</v>
      </c>
      <c r="E18" s="1796">
        <v>873750</v>
      </c>
      <c r="F18" s="95"/>
      <c r="G18" s="1797"/>
    </row>
    <row r="19" spans="1:9" hidden="1">
      <c r="A19" s="1792" t="s">
        <v>3220</v>
      </c>
      <c r="B19" s="1793"/>
      <c r="C19" s="1797"/>
      <c r="D19" s="1795">
        <v>12800</v>
      </c>
      <c r="E19" s="1796">
        <v>128452</v>
      </c>
      <c r="F19" s="95"/>
      <c r="G19" s="1794">
        <v>115652</v>
      </c>
      <c r="H19">
        <v>6</v>
      </c>
      <c r="I19" t="s">
        <v>1358</v>
      </c>
    </row>
    <row r="20" spans="1:9" hidden="1">
      <c r="A20" s="1792" t="s">
        <v>3221</v>
      </c>
      <c r="B20" s="1793"/>
      <c r="C20" s="1797"/>
      <c r="D20" s="1795">
        <v>12390</v>
      </c>
      <c r="E20" s="1796">
        <v>12390</v>
      </c>
      <c r="F20" s="95"/>
      <c r="G20" s="1797"/>
    </row>
    <row r="21" spans="1:9" hidden="1">
      <c r="A21" s="1792" t="s">
        <v>3222</v>
      </c>
      <c r="B21" s="1793"/>
      <c r="C21" s="1797"/>
      <c r="D21" s="1795">
        <v>264666</v>
      </c>
      <c r="E21" s="1796">
        <v>264666</v>
      </c>
      <c r="F21" s="95"/>
      <c r="G21" s="1797"/>
    </row>
    <row r="22" spans="1:9" hidden="1">
      <c r="A22" s="1792" t="s">
        <v>3223</v>
      </c>
      <c r="B22" s="1793"/>
      <c r="C22" s="1797"/>
      <c r="D22" s="1795">
        <v>29618</v>
      </c>
      <c r="E22" s="1796">
        <v>29618</v>
      </c>
      <c r="F22" s="95"/>
      <c r="G22" s="1797"/>
    </row>
    <row r="23" spans="1:9" hidden="1">
      <c r="A23" s="1786" t="s">
        <v>1669</v>
      </c>
      <c r="B23" s="1793"/>
      <c r="C23" s="1797"/>
      <c r="D23" s="1795">
        <v>1360</v>
      </c>
      <c r="E23" s="1796">
        <v>1360</v>
      </c>
      <c r="F23" s="95"/>
      <c r="G23" s="1797"/>
    </row>
    <row r="24" spans="1:9" hidden="1">
      <c r="A24" s="1792" t="s">
        <v>1892</v>
      </c>
      <c r="B24" s="1793"/>
      <c r="C24" s="1794">
        <v>107860</v>
      </c>
      <c r="D24" s="1795">
        <v>109984</v>
      </c>
      <c r="E24" s="1796">
        <v>107860</v>
      </c>
      <c r="F24" s="95"/>
      <c r="G24" s="1794">
        <v>105736</v>
      </c>
      <c r="H24">
        <v>6</v>
      </c>
      <c r="I24" t="s">
        <v>1358</v>
      </c>
    </row>
    <row r="25" spans="1:9" hidden="1">
      <c r="A25" s="1792" t="s">
        <v>1670</v>
      </c>
      <c r="B25" s="1793"/>
      <c r="C25" s="1797"/>
      <c r="D25" s="1795">
        <v>45078</v>
      </c>
      <c r="E25" s="1796">
        <v>45078</v>
      </c>
      <c r="F25" s="95"/>
      <c r="G25" s="1797"/>
    </row>
    <row r="26" spans="1:9" hidden="1">
      <c r="A26" s="1792" t="s">
        <v>969</v>
      </c>
      <c r="B26" s="1793"/>
      <c r="C26" s="1794">
        <v>229032</v>
      </c>
      <c r="D26" s="1795">
        <v>247932</v>
      </c>
      <c r="E26" s="1796">
        <v>18900</v>
      </c>
      <c r="F26" s="95"/>
      <c r="G26" s="1797"/>
    </row>
    <row r="27" spans="1:9" hidden="1">
      <c r="A27" s="1792" t="s">
        <v>3224</v>
      </c>
      <c r="B27" s="1793"/>
      <c r="C27" s="1797"/>
      <c r="D27" s="1795">
        <v>42480</v>
      </c>
      <c r="E27" s="1796">
        <v>276995</v>
      </c>
      <c r="F27" s="95"/>
      <c r="G27" s="1794">
        <v>234515</v>
      </c>
      <c r="H27">
        <v>6</v>
      </c>
      <c r="I27" t="s">
        <v>1358</v>
      </c>
    </row>
    <row r="28" spans="1:9" hidden="1">
      <c r="A28" s="1792" t="s">
        <v>1381</v>
      </c>
      <c r="B28" s="1793"/>
      <c r="C28" s="1794">
        <v>3845</v>
      </c>
      <c r="D28" s="1795">
        <v>3845</v>
      </c>
      <c r="E28" s="1799"/>
      <c r="F28" s="95"/>
      <c r="G28" s="1797"/>
    </row>
    <row r="29" spans="1:9" hidden="1">
      <c r="A29" s="1792" t="s">
        <v>3225</v>
      </c>
      <c r="B29" s="1793"/>
      <c r="C29" s="1797"/>
      <c r="D29" s="1795">
        <v>10000</v>
      </c>
      <c r="E29" s="1796">
        <v>10000</v>
      </c>
      <c r="F29" s="95"/>
      <c r="G29" s="1797"/>
    </row>
    <row r="30" spans="1:9" hidden="1">
      <c r="A30" s="1792" t="s">
        <v>3226</v>
      </c>
      <c r="B30" s="1793"/>
      <c r="C30" s="1797"/>
      <c r="D30" s="1795">
        <v>121490</v>
      </c>
      <c r="E30" s="1796">
        <v>121490</v>
      </c>
      <c r="F30" s="95"/>
      <c r="G30" s="1797"/>
    </row>
    <row r="31" spans="1:9" hidden="1">
      <c r="A31" s="1800" t="s">
        <v>563</v>
      </c>
      <c r="B31" s="1793"/>
      <c r="C31" s="1794">
        <v>142500</v>
      </c>
      <c r="D31" s="1795">
        <v>310000</v>
      </c>
      <c r="E31" s="1796">
        <v>110000</v>
      </c>
      <c r="F31" s="112">
        <v>57500</v>
      </c>
      <c r="G31" s="1797"/>
      <c r="H31">
        <v>17</v>
      </c>
      <c r="I31" t="s">
        <v>1120</v>
      </c>
    </row>
    <row r="32" spans="1:9" hidden="1">
      <c r="A32" s="1792" t="s">
        <v>3227</v>
      </c>
      <c r="B32" s="1793"/>
      <c r="C32" s="1797"/>
      <c r="D32" s="1795">
        <v>21240</v>
      </c>
      <c r="E32" s="1796">
        <v>21240</v>
      </c>
      <c r="F32" s="95"/>
      <c r="G32" s="1797"/>
    </row>
    <row r="33" spans="1:9" hidden="1">
      <c r="A33" s="1792" t="s">
        <v>3228</v>
      </c>
      <c r="B33" s="1793"/>
      <c r="C33" s="1797"/>
      <c r="D33" s="1795">
        <v>59969</v>
      </c>
      <c r="E33" s="1796">
        <v>59969</v>
      </c>
      <c r="F33" s="95"/>
      <c r="G33" s="1797"/>
    </row>
    <row r="34" spans="1:9" hidden="1">
      <c r="A34" s="1792" t="s">
        <v>1292</v>
      </c>
      <c r="B34" s="1798">
        <v>525000</v>
      </c>
      <c r="C34" s="1797"/>
      <c r="D34" s="1795">
        <v>20000</v>
      </c>
      <c r="E34" s="1799"/>
      <c r="F34" s="112">
        <v>545000</v>
      </c>
      <c r="G34" s="1797"/>
      <c r="H34">
        <v>17</v>
      </c>
      <c r="I34" t="s">
        <v>1121</v>
      </c>
    </row>
    <row r="35" spans="1:9" hidden="1">
      <c r="A35" s="1801" t="s">
        <v>564</v>
      </c>
      <c r="B35" s="1793"/>
      <c r="C35" s="1794">
        <v>292686</v>
      </c>
      <c r="D35" s="1795">
        <v>3887678</v>
      </c>
      <c r="E35" s="1796">
        <v>3865921</v>
      </c>
      <c r="F35" s="95"/>
      <c r="G35" s="1794">
        <v>270929</v>
      </c>
      <c r="H35">
        <v>8</v>
      </c>
      <c r="I35" t="s">
        <v>2447</v>
      </c>
    </row>
    <row r="36" spans="1:9" hidden="1">
      <c r="A36" s="1792" t="s">
        <v>3229</v>
      </c>
      <c r="B36" s="1793"/>
      <c r="C36" s="1797"/>
      <c r="D36" s="1795">
        <v>9500</v>
      </c>
      <c r="E36" s="1796">
        <v>9500</v>
      </c>
      <c r="F36" s="95"/>
      <c r="G36" s="1797"/>
    </row>
    <row r="37" spans="1:9" hidden="1">
      <c r="A37" s="1786" t="s">
        <v>565</v>
      </c>
      <c r="B37" s="1793"/>
      <c r="C37" s="1794">
        <v>370676</v>
      </c>
      <c r="D37" s="1795">
        <v>5165631</v>
      </c>
      <c r="E37" s="1796">
        <v>5216342</v>
      </c>
      <c r="F37" s="95"/>
      <c r="G37" s="1794">
        <v>421387</v>
      </c>
      <c r="H37">
        <v>8</v>
      </c>
      <c r="I37" t="s">
        <v>950</v>
      </c>
    </row>
    <row r="38" spans="1:9" hidden="1">
      <c r="A38" s="1786" t="s">
        <v>566</v>
      </c>
      <c r="B38" s="1793"/>
      <c r="C38" s="1794">
        <v>4484</v>
      </c>
      <c r="D38" s="1795">
        <v>34136</v>
      </c>
      <c r="E38" s="1796">
        <v>37912</v>
      </c>
      <c r="F38" s="95"/>
      <c r="G38" s="1794">
        <v>8260</v>
      </c>
      <c r="H38">
        <v>8</v>
      </c>
      <c r="I38" t="s">
        <v>550</v>
      </c>
    </row>
    <row r="39" spans="1:9" hidden="1">
      <c r="A39" s="1786" t="s">
        <v>567</v>
      </c>
      <c r="B39" s="1793"/>
      <c r="C39" s="1794">
        <v>55341</v>
      </c>
      <c r="D39" s="1795">
        <v>539964</v>
      </c>
      <c r="E39" s="1796">
        <v>592317</v>
      </c>
      <c r="F39" s="95"/>
      <c r="G39" s="1794">
        <v>107694</v>
      </c>
      <c r="H39">
        <v>8</v>
      </c>
      <c r="I39" t="s">
        <v>2395</v>
      </c>
    </row>
    <row r="40" spans="1:9" hidden="1">
      <c r="A40" s="1792" t="s">
        <v>1897</v>
      </c>
      <c r="B40" s="1793"/>
      <c r="C40" s="1797"/>
      <c r="D40" s="1795">
        <v>20248</v>
      </c>
      <c r="E40" s="1796">
        <v>22275</v>
      </c>
      <c r="F40" s="95"/>
      <c r="G40" s="1794">
        <v>2027</v>
      </c>
      <c r="H40">
        <v>6</v>
      </c>
      <c r="I40" t="s">
        <v>1358</v>
      </c>
    </row>
    <row r="41" spans="1:9" hidden="1">
      <c r="A41" s="1792" t="s">
        <v>569</v>
      </c>
      <c r="B41" s="1793"/>
      <c r="C41" s="1794">
        <v>3366771</v>
      </c>
      <c r="D41" s="1795">
        <v>34937173</v>
      </c>
      <c r="E41" s="1796">
        <v>37574663</v>
      </c>
      <c r="F41" s="95"/>
      <c r="G41" s="1794">
        <v>6004261</v>
      </c>
      <c r="H41">
        <v>8</v>
      </c>
      <c r="I41" t="s">
        <v>2447</v>
      </c>
    </row>
    <row r="42" spans="1:9" hidden="1">
      <c r="A42" s="1792" t="s">
        <v>3230</v>
      </c>
      <c r="B42" s="1793"/>
      <c r="C42" s="1797"/>
      <c r="D42" s="1795">
        <v>81000</v>
      </c>
      <c r="E42" s="1796">
        <v>162000</v>
      </c>
      <c r="F42" s="95"/>
      <c r="G42" s="1794">
        <v>81000</v>
      </c>
      <c r="H42">
        <v>8</v>
      </c>
      <c r="I42" t="s">
        <v>2395</v>
      </c>
    </row>
    <row r="43" spans="1:9" hidden="1">
      <c r="A43" s="1792" t="s">
        <v>3231</v>
      </c>
      <c r="B43" s="1793"/>
      <c r="C43" s="1797"/>
      <c r="D43" s="1795">
        <v>85196</v>
      </c>
      <c r="E43" s="1796">
        <v>85196</v>
      </c>
      <c r="F43" s="95"/>
      <c r="G43" s="1797"/>
    </row>
    <row r="44" spans="1:9" hidden="1">
      <c r="A44" s="1792" t="s">
        <v>3232</v>
      </c>
      <c r="B44" s="1793"/>
      <c r="C44" s="1797"/>
      <c r="D44" s="1795">
        <v>371150</v>
      </c>
      <c r="E44" s="1796">
        <v>371150</v>
      </c>
      <c r="F44" s="95"/>
      <c r="G44" s="1797"/>
    </row>
    <row r="45" spans="1:9" hidden="1">
      <c r="A45" s="1792" t="s">
        <v>3233</v>
      </c>
      <c r="B45" s="1793"/>
      <c r="C45" s="1797"/>
      <c r="D45" s="1795">
        <v>36000</v>
      </c>
      <c r="E45" s="1796">
        <v>36000</v>
      </c>
      <c r="F45" s="95"/>
      <c r="G45" s="1797"/>
    </row>
    <row r="46" spans="1:9" hidden="1">
      <c r="A46" s="1792" t="s">
        <v>3234</v>
      </c>
      <c r="B46" s="1793"/>
      <c r="C46" s="1797"/>
      <c r="D46" s="1795">
        <v>11850</v>
      </c>
      <c r="E46" s="1796">
        <v>11850</v>
      </c>
      <c r="F46" s="95"/>
      <c r="G46" s="1797"/>
    </row>
    <row r="47" spans="1:9" hidden="1">
      <c r="A47" s="1792" t="s">
        <v>1383</v>
      </c>
      <c r="B47" s="1793"/>
      <c r="C47" s="1794">
        <v>13405</v>
      </c>
      <c r="D47" s="1795">
        <v>449690</v>
      </c>
      <c r="E47" s="1796">
        <v>467105</v>
      </c>
      <c r="F47" s="95"/>
      <c r="G47" s="1794">
        <v>30820</v>
      </c>
      <c r="H47">
        <v>8</v>
      </c>
      <c r="I47" t="s">
        <v>550</v>
      </c>
    </row>
    <row r="48" spans="1:9" hidden="1">
      <c r="A48" s="1792" t="s">
        <v>3235</v>
      </c>
      <c r="B48" s="1793"/>
      <c r="C48" s="1797"/>
      <c r="D48" s="1795">
        <v>51448</v>
      </c>
      <c r="E48" s="1796">
        <v>51448</v>
      </c>
      <c r="F48" s="95"/>
      <c r="G48" s="1797"/>
    </row>
    <row r="49" spans="1:9" hidden="1">
      <c r="A49" s="1792" t="s">
        <v>3236</v>
      </c>
      <c r="B49" s="1793"/>
      <c r="C49" s="1797"/>
      <c r="D49" s="1795">
        <v>360549</v>
      </c>
      <c r="E49" s="1796">
        <v>360549</v>
      </c>
      <c r="F49" s="95"/>
      <c r="G49" s="1797"/>
    </row>
    <row r="50" spans="1:9" hidden="1">
      <c r="A50" s="1792" t="s">
        <v>3237</v>
      </c>
      <c r="B50" s="1793"/>
      <c r="C50" s="1797"/>
      <c r="D50" s="1795">
        <v>7080</v>
      </c>
      <c r="E50" s="1796">
        <v>7080</v>
      </c>
      <c r="F50" s="95"/>
      <c r="G50" s="1797"/>
    </row>
    <row r="51" spans="1:9" hidden="1">
      <c r="A51" s="1786" t="s">
        <v>68</v>
      </c>
      <c r="B51" s="1793"/>
      <c r="C51" s="1794">
        <v>969813</v>
      </c>
      <c r="D51" s="1795">
        <v>2820423</v>
      </c>
      <c r="E51" s="1796">
        <v>1989142</v>
      </c>
      <c r="F51" s="95"/>
      <c r="G51" s="1794">
        <v>138532</v>
      </c>
      <c r="H51">
        <v>8</v>
      </c>
      <c r="I51" t="s">
        <v>949</v>
      </c>
    </row>
    <row r="52" spans="1:9" hidden="1">
      <c r="A52" s="1792" t="s">
        <v>1787</v>
      </c>
      <c r="B52" s="1798">
        <v>241019</v>
      </c>
      <c r="C52" s="1797"/>
      <c r="D52" s="1795">
        <v>292914</v>
      </c>
      <c r="E52" s="1796">
        <v>533933</v>
      </c>
      <c r="F52" s="95"/>
      <c r="G52" s="1797"/>
    </row>
    <row r="53" spans="1:9" hidden="1">
      <c r="A53" s="1792" t="s">
        <v>3238</v>
      </c>
      <c r="B53" s="1793"/>
      <c r="C53" s="1797"/>
      <c r="D53" s="1795">
        <v>69397</v>
      </c>
      <c r="E53" s="1796">
        <v>69397</v>
      </c>
      <c r="F53" s="95"/>
      <c r="G53" s="1797"/>
    </row>
    <row r="54" spans="1:9" hidden="1">
      <c r="A54" s="1786" t="s">
        <v>976</v>
      </c>
      <c r="B54" s="1793"/>
      <c r="C54" s="1797"/>
      <c r="D54" s="1795">
        <v>14160</v>
      </c>
      <c r="E54" s="1796">
        <v>14160</v>
      </c>
      <c r="F54" s="95"/>
      <c r="G54" s="1797"/>
    </row>
    <row r="55" spans="1:9" hidden="1">
      <c r="A55" s="1786" t="s">
        <v>1903</v>
      </c>
      <c r="B55" s="1793"/>
      <c r="C55" s="1797"/>
      <c r="D55" s="1795">
        <v>62481</v>
      </c>
      <c r="E55" s="1796">
        <v>62481</v>
      </c>
      <c r="F55" s="95"/>
      <c r="G55" s="1797"/>
    </row>
    <row r="56" spans="1:9" hidden="1">
      <c r="A56" s="1786" t="s">
        <v>573</v>
      </c>
      <c r="B56" s="1793"/>
      <c r="C56" s="1794">
        <v>108560</v>
      </c>
      <c r="D56" s="1795">
        <v>269748</v>
      </c>
      <c r="E56" s="1796">
        <v>161188</v>
      </c>
      <c r="F56" s="95"/>
      <c r="G56" s="1797"/>
    </row>
    <row r="57" spans="1:9" hidden="1">
      <c r="A57" s="1789" t="s">
        <v>1291</v>
      </c>
      <c r="B57" s="1780">
        <v>1083519.3600000001</v>
      </c>
      <c r="C57" s="1781">
        <v>5717452.3600000003</v>
      </c>
      <c r="D57" s="1780">
        <v>77450805.629999995</v>
      </c>
      <c r="E57" s="1781">
        <v>75180204.489999995</v>
      </c>
      <c r="F57" s="106">
        <v>1674950.98</v>
      </c>
      <c r="G57" s="1781">
        <v>4038282.84</v>
      </c>
    </row>
    <row r="58" spans="1:9" hidden="1">
      <c r="A58" s="1792" t="s">
        <v>1290</v>
      </c>
      <c r="B58" s="1773"/>
      <c r="C58" s="1774">
        <v>435068</v>
      </c>
      <c r="D58" s="1802">
        <v>941154</v>
      </c>
      <c r="E58" s="1803">
        <v>506086</v>
      </c>
      <c r="F58" s="1777"/>
      <c r="G58" s="1804"/>
    </row>
    <row r="59" spans="1:9" hidden="1">
      <c r="A59" s="1792" t="s">
        <v>1289</v>
      </c>
      <c r="B59" s="1793"/>
      <c r="C59" s="1794">
        <v>41761.129999999997</v>
      </c>
      <c r="D59" s="1795">
        <v>219193</v>
      </c>
      <c r="E59" s="1796">
        <v>209348</v>
      </c>
      <c r="F59" s="95"/>
      <c r="G59" s="1794">
        <v>31916.13</v>
      </c>
      <c r="H59">
        <v>6</v>
      </c>
      <c r="I59" t="s">
        <v>1358</v>
      </c>
    </row>
    <row r="60" spans="1:9" hidden="1">
      <c r="A60" s="1792" t="s">
        <v>3239</v>
      </c>
      <c r="B60" s="1793"/>
      <c r="C60" s="1797"/>
      <c r="D60" s="1795">
        <v>126000</v>
      </c>
      <c r="E60" s="1796">
        <v>97274</v>
      </c>
      <c r="F60" s="112">
        <v>28726</v>
      </c>
      <c r="G60" s="1797"/>
      <c r="H60">
        <v>17</v>
      </c>
      <c r="I60" t="s">
        <v>1120</v>
      </c>
    </row>
    <row r="61" spans="1:9" hidden="1">
      <c r="A61" s="1786" t="s">
        <v>2521</v>
      </c>
      <c r="B61" s="1793"/>
      <c r="C61" s="1797"/>
      <c r="D61" s="1795">
        <v>91533</v>
      </c>
      <c r="E61" s="1796">
        <v>91533</v>
      </c>
      <c r="F61" s="95"/>
      <c r="G61" s="1797"/>
    </row>
    <row r="62" spans="1:9" hidden="1">
      <c r="A62" s="1786" t="s">
        <v>3240</v>
      </c>
      <c r="B62" s="1793"/>
      <c r="C62" s="1797"/>
      <c r="D62" s="1795">
        <v>262295</v>
      </c>
      <c r="E62" s="1799"/>
      <c r="F62" s="112">
        <v>262295</v>
      </c>
      <c r="G62" s="1797"/>
      <c r="H62">
        <v>17</v>
      </c>
      <c r="I62" t="s">
        <v>1120</v>
      </c>
    </row>
    <row r="63" spans="1:9" hidden="1">
      <c r="A63" s="1792" t="s">
        <v>1907</v>
      </c>
      <c r="B63" s="1793"/>
      <c r="C63" s="1797"/>
      <c r="D63" s="1795">
        <v>35471</v>
      </c>
      <c r="E63" s="1796">
        <v>35471</v>
      </c>
      <c r="F63" s="95"/>
      <c r="G63" s="1797"/>
    </row>
    <row r="64" spans="1:9" hidden="1">
      <c r="A64" s="1792" t="s">
        <v>1969</v>
      </c>
      <c r="B64" s="1798">
        <v>7002.36</v>
      </c>
      <c r="C64" s="1794">
        <v>49913</v>
      </c>
      <c r="D64" s="1795">
        <v>500678</v>
      </c>
      <c r="E64" s="1796">
        <v>457566</v>
      </c>
      <c r="F64" s="112">
        <v>201.36</v>
      </c>
      <c r="G64" s="1797"/>
      <c r="H64">
        <v>17</v>
      </c>
      <c r="I64" t="s">
        <v>1120</v>
      </c>
    </row>
    <row r="65" spans="1:9" hidden="1">
      <c r="A65" s="1792" t="s">
        <v>2522</v>
      </c>
      <c r="B65" s="1798">
        <v>90000</v>
      </c>
      <c r="C65" s="1797"/>
      <c r="D65" s="1795">
        <v>422188</v>
      </c>
      <c r="E65" s="1796">
        <v>527056</v>
      </c>
      <c r="F65" s="95"/>
      <c r="G65" s="1794">
        <v>14868</v>
      </c>
      <c r="H65">
        <v>6</v>
      </c>
      <c r="I65" t="s">
        <v>1358</v>
      </c>
    </row>
    <row r="66" spans="1:9" hidden="1">
      <c r="A66" s="1792" t="s">
        <v>1909</v>
      </c>
      <c r="B66" s="1793"/>
      <c r="C66" s="1794">
        <v>25158</v>
      </c>
      <c r="D66" s="1795">
        <v>25158</v>
      </c>
      <c r="E66" s="1799"/>
      <c r="F66" s="95"/>
      <c r="G66" s="1797"/>
    </row>
    <row r="67" spans="1:9" hidden="1">
      <c r="A67" s="1792" t="s">
        <v>3241</v>
      </c>
      <c r="B67" s="1793"/>
      <c r="C67" s="1797"/>
      <c r="D67" s="1795">
        <v>595098</v>
      </c>
      <c r="E67" s="1796">
        <v>595098</v>
      </c>
      <c r="F67" s="95"/>
      <c r="G67" s="1797"/>
    </row>
    <row r="68" spans="1:9" hidden="1">
      <c r="A68" s="1786" t="s">
        <v>3242</v>
      </c>
      <c r="B68" s="1793"/>
      <c r="C68" s="1797"/>
      <c r="D68" s="1795">
        <v>36599</v>
      </c>
      <c r="E68" s="1796">
        <v>36599</v>
      </c>
      <c r="F68" s="95"/>
      <c r="G68" s="1797"/>
    </row>
    <row r="69" spans="1:9" hidden="1">
      <c r="A69" s="1786" t="s">
        <v>2230</v>
      </c>
      <c r="B69" s="1793"/>
      <c r="C69" s="1794">
        <v>30648.36</v>
      </c>
      <c r="D69" s="1795">
        <v>35801</v>
      </c>
      <c r="E69" s="1796">
        <v>5152.6400000000003</v>
      </c>
      <c r="F69" s="95"/>
      <c r="G69" s="1797"/>
    </row>
    <row r="70" spans="1:9" hidden="1">
      <c r="A70" s="1792" t="s">
        <v>3243</v>
      </c>
      <c r="B70" s="1793"/>
      <c r="C70" s="1797"/>
      <c r="D70" s="1795">
        <v>659620</v>
      </c>
      <c r="E70" s="1796">
        <v>659620</v>
      </c>
      <c r="F70" s="95"/>
      <c r="G70" s="1797"/>
    </row>
    <row r="71" spans="1:9" hidden="1">
      <c r="A71" s="1792" t="s">
        <v>3244</v>
      </c>
      <c r="B71" s="1793"/>
      <c r="C71" s="1797"/>
      <c r="D71" s="1795">
        <v>38940</v>
      </c>
      <c r="E71" s="1799"/>
      <c r="F71" s="112">
        <v>38940</v>
      </c>
      <c r="G71" s="1797"/>
      <c r="H71">
        <v>17</v>
      </c>
      <c r="I71" t="s">
        <v>1120</v>
      </c>
    </row>
    <row r="72" spans="1:9" hidden="1">
      <c r="A72" s="1792" t="s">
        <v>2524</v>
      </c>
      <c r="B72" s="1793"/>
      <c r="C72" s="1797"/>
      <c r="D72" s="1795">
        <v>17700</v>
      </c>
      <c r="E72" s="1796">
        <v>17700</v>
      </c>
      <c r="F72" s="95"/>
      <c r="G72" s="1797"/>
    </row>
    <row r="73" spans="1:9" hidden="1">
      <c r="A73" s="1792" t="s">
        <v>3245</v>
      </c>
      <c r="B73" s="1793"/>
      <c r="C73" s="1797"/>
      <c r="D73" s="1795">
        <v>174640</v>
      </c>
      <c r="E73" s="1796">
        <v>174640</v>
      </c>
      <c r="F73" s="95"/>
      <c r="G73" s="1797"/>
    </row>
    <row r="74" spans="1:9" hidden="1">
      <c r="A74" s="1792" t="s">
        <v>3246</v>
      </c>
      <c r="B74" s="1793"/>
      <c r="C74" s="1797"/>
      <c r="D74" s="1795">
        <v>41152</v>
      </c>
      <c r="E74" s="1796">
        <v>41152</v>
      </c>
      <c r="F74" s="95"/>
      <c r="G74" s="1797"/>
    </row>
    <row r="75" spans="1:9" hidden="1">
      <c r="A75" s="1786" t="s">
        <v>2527</v>
      </c>
      <c r="B75" s="1793"/>
      <c r="C75" s="1794">
        <v>212730</v>
      </c>
      <c r="D75" s="1795">
        <v>212730</v>
      </c>
      <c r="E75" s="1799"/>
      <c r="F75" s="95"/>
      <c r="G75" s="1797"/>
    </row>
    <row r="76" spans="1:9" hidden="1">
      <c r="A76" s="1792" t="s">
        <v>2667</v>
      </c>
      <c r="B76" s="1793"/>
      <c r="C76" s="1794">
        <v>11813</v>
      </c>
      <c r="D76" s="1795">
        <v>20945.099999999999</v>
      </c>
      <c r="E76" s="1796">
        <v>9132.1</v>
      </c>
      <c r="F76" s="95"/>
      <c r="G76" s="1797"/>
    </row>
    <row r="77" spans="1:9" hidden="1">
      <c r="A77" s="1792" t="s">
        <v>2233</v>
      </c>
      <c r="B77" s="1793"/>
      <c r="C77" s="1797"/>
      <c r="D77" s="1795">
        <v>21319</v>
      </c>
      <c r="E77" s="1796">
        <v>21319</v>
      </c>
      <c r="F77" s="95"/>
      <c r="G77" s="1797"/>
    </row>
    <row r="78" spans="1:9" hidden="1">
      <c r="A78" s="1792" t="s">
        <v>3247</v>
      </c>
      <c r="B78" s="1793"/>
      <c r="C78" s="1797"/>
      <c r="D78" s="1795">
        <v>56345</v>
      </c>
      <c r="E78" s="1799"/>
      <c r="F78" s="112">
        <v>56345</v>
      </c>
      <c r="G78" s="1797"/>
      <c r="H78">
        <v>17</v>
      </c>
      <c r="I78" t="s">
        <v>1120</v>
      </c>
    </row>
    <row r="79" spans="1:9" hidden="1">
      <c r="A79" s="1792" t="s">
        <v>2528</v>
      </c>
      <c r="B79" s="1793"/>
      <c r="C79" s="1794">
        <v>1192946</v>
      </c>
      <c r="D79" s="1795">
        <v>7293010</v>
      </c>
      <c r="E79" s="1796">
        <v>6296659</v>
      </c>
      <c r="F79" s="95"/>
      <c r="G79" s="1794">
        <v>196595</v>
      </c>
      <c r="H79">
        <v>6</v>
      </c>
      <c r="I79" t="s">
        <v>1358</v>
      </c>
    </row>
    <row r="80" spans="1:9" hidden="1">
      <c r="A80" s="1792" t="s">
        <v>1390</v>
      </c>
      <c r="B80" s="1793"/>
      <c r="C80" s="1794">
        <v>98158.28</v>
      </c>
      <c r="D80" s="1795">
        <v>1787913</v>
      </c>
      <c r="E80" s="1796">
        <v>1693780</v>
      </c>
      <c r="F80" s="95"/>
      <c r="G80" s="1794">
        <v>4025.28</v>
      </c>
      <c r="H80">
        <v>6</v>
      </c>
      <c r="I80" t="s">
        <v>1358</v>
      </c>
    </row>
    <row r="81" spans="1:9" hidden="1">
      <c r="A81" s="1792" t="s">
        <v>1391</v>
      </c>
      <c r="B81" s="1793"/>
      <c r="C81" s="1794">
        <v>143655</v>
      </c>
      <c r="D81" s="1795">
        <v>222410</v>
      </c>
      <c r="E81" s="1796">
        <v>78755</v>
      </c>
      <c r="F81" s="95"/>
      <c r="G81" s="1797"/>
    </row>
    <row r="82" spans="1:9" hidden="1">
      <c r="A82" s="1792" t="s">
        <v>1788</v>
      </c>
      <c r="B82" s="1798">
        <v>37250</v>
      </c>
      <c r="C82" s="1797"/>
      <c r="D82" s="1805"/>
      <c r="E82" s="1796">
        <v>37250</v>
      </c>
      <c r="F82" s="95"/>
      <c r="G82" s="1797"/>
    </row>
    <row r="83" spans="1:9" hidden="1">
      <c r="A83" s="1792" t="s">
        <v>1912</v>
      </c>
      <c r="B83" s="1793"/>
      <c r="C83" s="1794">
        <v>10480</v>
      </c>
      <c r="D83" s="1795">
        <v>147470</v>
      </c>
      <c r="E83" s="1796">
        <v>136990</v>
      </c>
      <c r="F83" s="95"/>
      <c r="G83" s="1797"/>
    </row>
    <row r="84" spans="1:9" hidden="1">
      <c r="A84" s="1792" t="s">
        <v>3248</v>
      </c>
      <c r="B84" s="1793"/>
      <c r="C84" s="1797"/>
      <c r="D84" s="1795">
        <v>150000</v>
      </c>
      <c r="E84" s="1799"/>
      <c r="F84" s="112">
        <v>150000</v>
      </c>
      <c r="G84" s="1797"/>
      <c r="H84">
        <v>17</v>
      </c>
      <c r="I84" t="s">
        <v>1120</v>
      </c>
    </row>
    <row r="85" spans="1:9" hidden="1">
      <c r="A85" s="1801" t="s">
        <v>3249</v>
      </c>
      <c r="B85" s="1793"/>
      <c r="C85" s="1797"/>
      <c r="D85" s="1795">
        <v>1104857</v>
      </c>
      <c r="E85" s="1796">
        <v>1104857</v>
      </c>
      <c r="F85" s="95"/>
      <c r="G85" s="1797"/>
    </row>
    <row r="86" spans="1:9" hidden="1">
      <c r="A86" s="1786" t="s">
        <v>1678</v>
      </c>
      <c r="B86" s="1793"/>
      <c r="C86" s="1797"/>
      <c r="D86" s="1795">
        <v>516164</v>
      </c>
      <c r="E86" s="1796">
        <v>516164</v>
      </c>
      <c r="F86" s="95"/>
      <c r="G86" s="1797"/>
    </row>
    <row r="87" spans="1:9" hidden="1">
      <c r="A87" s="1786" t="s">
        <v>3250</v>
      </c>
      <c r="B87" s="1793"/>
      <c r="C87" s="1797"/>
      <c r="D87" s="1795">
        <v>75430</v>
      </c>
      <c r="E87" s="1796">
        <v>75430</v>
      </c>
      <c r="F87" s="95"/>
      <c r="G87" s="1797"/>
    </row>
    <row r="88" spans="1:9" hidden="1">
      <c r="A88" s="1792" t="s">
        <v>1913</v>
      </c>
      <c r="B88" s="1793"/>
      <c r="C88" s="1797"/>
      <c r="D88" s="1795">
        <v>74200</v>
      </c>
      <c r="E88" s="1796">
        <v>74200</v>
      </c>
      <c r="F88" s="95"/>
      <c r="G88" s="1797"/>
    </row>
    <row r="89" spans="1:9" hidden="1">
      <c r="A89" s="1792" t="s">
        <v>1790</v>
      </c>
      <c r="B89" s="1793"/>
      <c r="C89" s="1794">
        <v>197850</v>
      </c>
      <c r="D89" s="1795">
        <v>197850</v>
      </c>
      <c r="E89" s="1799"/>
      <c r="F89" s="95"/>
      <c r="G89" s="1797"/>
    </row>
    <row r="90" spans="1:9" hidden="1">
      <c r="A90" s="1792" t="s">
        <v>2529</v>
      </c>
      <c r="B90" s="1793"/>
      <c r="C90" s="1797"/>
      <c r="D90" s="1795">
        <v>80189</v>
      </c>
      <c r="E90" s="1796">
        <v>39562</v>
      </c>
      <c r="F90" s="112">
        <v>40627</v>
      </c>
      <c r="G90" s="1797"/>
      <c r="H90">
        <v>17</v>
      </c>
      <c r="I90" t="s">
        <v>1120</v>
      </c>
    </row>
    <row r="91" spans="1:9" hidden="1">
      <c r="A91" s="1792" t="s">
        <v>1792</v>
      </c>
      <c r="B91" s="1793"/>
      <c r="C91" s="1797"/>
      <c r="D91" s="1795">
        <v>549620</v>
      </c>
      <c r="E91" s="1796">
        <v>549620</v>
      </c>
      <c r="F91" s="95"/>
      <c r="G91" s="1797"/>
    </row>
    <row r="92" spans="1:9" hidden="1">
      <c r="A92" s="1792" t="s">
        <v>3251</v>
      </c>
      <c r="B92" s="1793"/>
      <c r="C92" s="1797"/>
      <c r="D92" s="1795">
        <v>39143</v>
      </c>
      <c r="E92" s="1796">
        <v>39143</v>
      </c>
      <c r="F92" s="95"/>
      <c r="G92" s="1797"/>
    </row>
    <row r="93" spans="1:9" hidden="1">
      <c r="A93" s="1786" t="s">
        <v>579</v>
      </c>
      <c r="B93" s="1793"/>
      <c r="C93" s="1794">
        <v>55906.559999999998</v>
      </c>
      <c r="D93" s="1795">
        <v>279617</v>
      </c>
      <c r="E93" s="1796">
        <v>305901</v>
      </c>
      <c r="F93" s="95"/>
      <c r="G93" s="1794">
        <v>82190.559999999998</v>
      </c>
      <c r="H93">
        <v>6</v>
      </c>
      <c r="I93" t="s">
        <v>1358</v>
      </c>
    </row>
    <row r="94" spans="1:9" hidden="1">
      <c r="A94" s="1792" t="s">
        <v>3252</v>
      </c>
      <c r="B94" s="1793"/>
      <c r="C94" s="1797"/>
      <c r="D94" s="1795">
        <v>1589849</v>
      </c>
      <c r="E94" s="1796">
        <v>1589849</v>
      </c>
      <c r="F94" s="95"/>
      <c r="G94" s="1797"/>
    </row>
    <row r="95" spans="1:9" hidden="1">
      <c r="A95" s="1792" t="s">
        <v>1793</v>
      </c>
      <c r="B95" s="1793"/>
      <c r="C95" s="1794">
        <v>56788</v>
      </c>
      <c r="D95" s="1795">
        <v>56788</v>
      </c>
      <c r="E95" s="1799"/>
      <c r="F95" s="95"/>
      <c r="G95" s="1797"/>
    </row>
    <row r="96" spans="1:9" hidden="1">
      <c r="A96" s="1792" t="s">
        <v>581</v>
      </c>
      <c r="B96" s="1793"/>
      <c r="C96" s="1797"/>
      <c r="D96" s="1795">
        <v>364297</v>
      </c>
      <c r="E96" s="1796">
        <v>364297</v>
      </c>
      <c r="F96" s="95"/>
      <c r="G96" s="1797"/>
    </row>
    <row r="97" spans="1:9" hidden="1">
      <c r="A97" s="1792" t="s">
        <v>3253</v>
      </c>
      <c r="B97" s="1793"/>
      <c r="C97" s="1797"/>
      <c r="D97" s="1795">
        <v>45316</v>
      </c>
      <c r="E97" s="1796">
        <v>72735</v>
      </c>
      <c r="F97" s="95"/>
      <c r="G97" s="1794">
        <v>27419</v>
      </c>
      <c r="H97">
        <v>6</v>
      </c>
      <c r="I97" t="s">
        <v>1358</v>
      </c>
    </row>
    <row r="98" spans="1:9" hidden="1">
      <c r="A98" s="1792" t="s">
        <v>3254</v>
      </c>
      <c r="B98" s="1793"/>
      <c r="C98" s="1797"/>
      <c r="D98" s="1795">
        <v>47495</v>
      </c>
      <c r="E98" s="1796">
        <v>47495</v>
      </c>
      <c r="F98" s="95"/>
      <c r="G98" s="1797"/>
    </row>
    <row r="99" spans="1:9" hidden="1">
      <c r="A99" s="1786" t="s">
        <v>2530</v>
      </c>
      <c r="B99" s="1798">
        <v>448195</v>
      </c>
      <c r="C99" s="1797"/>
      <c r="D99" s="1805"/>
      <c r="E99" s="1796">
        <v>448195</v>
      </c>
      <c r="F99" s="95"/>
      <c r="G99" s="1797"/>
    </row>
    <row r="100" spans="1:9" hidden="1">
      <c r="A100" s="1786" t="s">
        <v>2531</v>
      </c>
      <c r="B100" s="1793"/>
      <c r="C100" s="1794">
        <v>550</v>
      </c>
      <c r="D100" s="1795">
        <v>550</v>
      </c>
      <c r="E100" s="1799"/>
      <c r="F100" s="95"/>
      <c r="G100" s="1797"/>
    </row>
    <row r="101" spans="1:9" hidden="1">
      <c r="A101" s="1792" t="s">
        <v>3255</v>
      </c>
      <c r="B101" s="1793"/>
      <c r="C101" s="1797"/>
      <c r="D101" s="1795">
        <v>80610</v>
      </c>
      <c r="E101" s="1796">
        <v>80610</v>
      </c>
      <c r="F101" s="95"/>
      <c r="G101" s="1797"/>
    </row>
    <row r="102" spans="1:9" hidden="1">
      <c r="A102" s="1786" t="s">
        <v>259</v>
      </c>
      <c r="B102" s="1793"/>
      <c r="C102" s="1794">
        <v>437475.78</v>
      </c>
      <c r="D102" s="1795">
        <v>1490667</v>
      </c>
      <c r="E102" s="1796">
        <v>2060635</v>
      </c>
      <c r="F102" s="95"/>
      <c r="G102" s="1794">
        <v>1007443.78</v>
      </c>
      <c r="H102">
        <v>6</v>
      </c>
      <c r="I102" t="s">
        <v>1358</v>
      </c>
    </row>
    <row r="103" spans="1:9" hidden="1">
      <c r="A103" s="1792" t="s">
        <v>1919</v>
      </c>
      <c r="B103" s="1793"/>
      <c r="C103" s="1797"/>
      <c r="D103" s="1795">
        <v>16875</v>
      </c>
      <c r="E103" s="1796">
        <v>16875</v>
      </c>
      <c r="F103" s="95"/>
      <c r="G103" s="1797"/>
    </row>
    <row r="104" spans="1:9" hidden="1">
      <c r="A104" s="1792" t="s">
        <v>2533</v>
      </c>
      <c r="B104" s="1793"/>
      <c r="C104" s="1794">
        <v>21712</v>
      </c>
      <c r="D104" s="1795">
        <v>10856</v>
      </c>
      <c r="E104" s="1799"/>
      <c r="F104" s="95"/>
      <c r="G104" s="1794">
        <v>10856</v>
      </c>
      <c r="H104">
        <v>6</v>
      </c>
      <c r="I104" t="s">
        <v>1358</v>
      </c>
    </row>
    <row r="105" spans="1:9" hidden="1">
      <c r="A105" s="1792" t="s">
        <v>257</v>
      </c>
      <c r="B105" s="1793"/>
      <c r="C105" s="1794">
        <v>515715.78</v>
      </c>
      <c r="D105" s="1795">
        <v>872135</v>
      </c>
      <c r="E105" s="1796">
        <v>517476</v>
      </c>
      <c r="F105" s="95"/>
      <c r="G105" s="1794">
        <v>161056.78</v>
      </c>
      <c r="H105">
        <v>6</v>
      </c>
      <c r="I105" t="s">
        <v>1358</v>
      </c>
    </row>
    <row r="106" spans="1:9" hidden="1">
      <c r="A106" s="1792" t="s">
        <v>3256</v>
      </c>
      <c r="B106" s="1793"/>
      <c r="C106" s="1797"/>
      <c r="D106" s="1795">
        <v>452271</v>
      </c>
      <c r="E106" s="1796">
        <v>501348</v>
      </c>
      <c r="F106" s="95"/>
      <c r="G106" s="1794">
        <v>49077</v>
      </c>
      <c r="H106">
        <v>6</v>
      </c>
      <c r="I106" t="s">
        <v>1358</v>
      </c>
    </row>
    <row r="107" spans="1:9" hidden="1">
      <c r="A107" s="1786" t="s">
        <v>3257</v>
      </c>
      <c r="B107" s="1793"/>
      <c r="C107" s="1797"/>
      <c r="D107" s="1795">
        <v>71744</v>
      </c>
      <c r="E107" s="1796">
        <v>101893</v>
      </c>
      <c r="F107" s="95"/>
      <c r="G107" s="1794">
        <v>30149</v>
      </c>
      <c r="H107">
        <v>6</v>
      </c>
      <c r="I107" t="s">
        <v>1358</v>
      </c>
    </row>
    <row r="108" spans="1:9" hidden="1">
      <c r="A108" s="1792" t="s">
        <v>2535</v>
      </c>
      <c r="B108" s="1793"/>
      <c r="C108" s="1797"/>
      <c r="D108" s="1795">
        <v>56510</v>
      </c>
      <c r="E108" s="1796">
        <v>56510</v>
      </c>
      <c r="F108" s="95"/>
      <c r="G108" s="1797"/>
    </row>
    <row r="109" spans="1:9" hidden="1">
      <c r="A109" s="1786" t="s">
        <v>3258</v>
      </c>
      <c r="B109" s="1793"/>
      <c r="C109" s="1797"/>
      <c r="D109" s="1795">
        <v>10148</v>
      </c>
      <c r="E109" s="1796">
        <v>10148</v>
      </c>
      <c r="F109" s="95"/>
      <c r="G109" s="1797"/>
    </row>
    <row r="110" spans="1:9" hidden="1">
      <c r="A110" s="1792" t="s">
        <v>3259</v>
      </c>
      <c r="B110" s="1793"/>
      <c r="C110" s="1797"/>
      <c r="D110" s="1795">
        <v>148580</v>
      </c>
      <c r="E110" s="1796">
        <v>148580</v>
      </c>
      <c r="F110" s="95"/>
      <c r="G110" s="1797"/>
    </row>
    <row r="111" spans="1:9" hidden="1">
      <c r="A111" s="1786" t="s">
        <v>1923</v>
      </c>
      <c r="B111" s="1793"/>
      <c r="C111" s="1797"/>
      <c r="D111" s="1795">
        <v>55000</v>
      </c>
      <c r="E111" s="1796">
        <v>55000</v>
      </c>
      <c r="F111" s="95"/>
      <c r="G111" s="1797"/>
    </row>
    <row r="112" spans="1:9" hidden="1">
      <c r="A112" s="1792" t="s">
        <v>3260</v>
      </c>
      <c r="B112" s="1793"/>
      <c r="C112" s="1797"/>
      <c r="D112" s="1795">
        <v>4373999</v>
      </c>
      <c r="E112" s="1796">
        <v>4373999</v>
      </c>
      <c r="F112" s="95"/>
      <c r="G112" s="1797"/>
    </row>
    <row r="113" spans="1:9" hidden="1">
      <c r="A113" s="1792" t="s">
        <v>2536</v>
      </c>
      <c r="B113" s="1798">
        <v>58354</v>
      </c>
      <c r="C113" s="1797"/>
      <c r="D113" s="1805"/>
      <c r="E113" s="1796">
        <v>58354</v>
      </c>
      <c r="F113" s="95"/>
      <c r="G113" s="1797"/>
    </row>
    <row r="114" spans="1:9" hidden="1">
      <c r="A114" s="1786" t="s">
        <v>2242</v>
      </c>
      <c r="B114" s="1793"/>
      <c r="C114" s="1797"/>
      <c r="D114" s="1795">
        <v>95000</v>
      </c>
      <c r="E114" s="1796">
        <v>95000</v>
      </c>
      <c r="F114" s="95"/>
      <c r="G114" s="1797"/>
    </row>
    <row r="115" spans="1:9" hidden="1">
      <c r="A115" s="1786" t="s">
        <v>3261</v>
      </c>
      <c r="B115" s="1793"/>
      <c r="C115" s="1797"/>
      <c r="D115" s="1795">
        <v>39967</v>
      </c>
      <c r="E115" s="1796">
        <v>39967</v>
      </c>
      <c r="F115" s="95"/>
      <c r="G115" s="1797"/>
    </row>
    <row r="116" spans="1:9" hidden="1">
      <c r="A116" s="1792" t="s">
        <v>3262</v>
      </c>
      <c r="B116" s="1793"/>
      <c r="C116" s="1797"/>
      <c r="D116" s="1795">
        <v>114000</v>
      </c>
      <c r="E116" s="1796">
        <v>114000</v>
      </c>
      <c r="F116" s="95"/>
      <c r="G116" s="1797"/>
    </row>
    <row r="117" spans="1:9" hidden="1">
      <c r="A117" s="1792" t="s">
        <v>1925</v>
      </c>
      <c r="B117" s="1793"/>
      <c r="C117" s="1797"/>
      <c r="D117" s="1795">
        <v>9440</v>
      </c>
      <c r="E117" s="1796">
        <v>9440</v>
      </c>
      <c r="F117" s="95"/>
      <c r="G117" s="1797"/>
    </row>
    <row r="118" spans="1:9" hidden="1">
      <c r="A118" s="1792" t="s">
        <v>2243</v>
      </c>
      <c r="B118" s="1793"/>
      <c r="C118" s="1797"/>
      <c r="D118" s="1795">
        <v>924557</v>
      </c>
      <c r="E118" s="1796">
        <v>924557</v>
      </c>
      <c r="F118" s="95"/>
      <c r="G118" s="1797"/>
    </row>
    <row r="119" spans="1:9" hidden="1">
      <c r="A119" s="1786" t="s">
        <v>3263</v>
      </c>
      <c r="B119" s="1793"/>
      <c r="C119" s="1797"/>
      <c r="D119" s="1795">
        <v>96090</v>
      </c>
      <c r="E119" s="1796">
        <v>153179.03</v>
      </c>
      <c r="F119" s="95"/>
      <c r="G119" s="1794">
        <v>57089.03</v>
      </c>
      <c r="H119">
        <v>6</v>
      </c>
      <c r="I119" t="s">
        <v>1358</v>
      </c>
    </row>
    <row r="120" spans="1:9" hidden="1">
      <c r="A120" s="1792" t="s">
        <v>3264</v>
      </c>
      <c r="B120" s="1793"/>
      <c r="C120" s="1797"/>
      <c r="D120" s="1795">
        <v>371737</v>
      </c>
      <c r="E120" s="1796">
        <v>384417</v>
      </c>
      <c r="F120" s="95"/>
      <c r="G120" s="1794">
        <v>12680</v>
      </c>
      <c r="H120">
        <v>6</v>
      </c>
      <c r="I120" t="s">
        <v>1358</v>
      </c>
    </row>
    <row r="121" spans="1:9" hidden="1">
      <c r="A121" s="1792" t="s">
        <v>2539</v>
      </c>
      <c r="B121" s="1793"/>
      <c r="C121" s="1794">
        <v>41790</v>
      </c>
      <c r="D121" s="1795">
        <v>41790</v>
      </c>
      <c r="E121" s="1799"/>
      <c r="F121" s="95"/>
      <c r="G121" s="1797"/>
    </row>
    <row r="122" spans="1:9" hidden="1">
      <c r="A122" s="1792" t="s">
        <v>1927</v>
      </c>
      <c r="B122" s="1793"/>
      <c r="C122" s="1797"/>
      <c r="D122" s="1795">
        <v>11210</v>
      </c>
      <c r="E122" s="1796">
        <v>11210</v>
      </c>
      <c r="F122" s="95"/>
      <c r="G122" s="1797"/>
    </row>
    <row r="123" spans="1:9" hidden="1">
      <c r="A123" s="1792" t="s">
        <v>3265</v>
      </c>
      <c r="B123" s="1793"/>
      <c r="C123" s="1797"/>
      <c r="D123" s="1795">
        <v>78875</v>
      </c>
      <c r="E123" s="1796">
        <v>78875</v>
      </c>
      <c r="F123" s="95"/>
      <c r="G123" s="1797"/>
    </row>
    <row r="124" spans="1:9" hidden="1">
      <c r="A124" s="1792" t="s">
        <v>3266</v>
      </c>
      <c r="B124" s="1793"/>
      <c r="C124" s="1797"/>
      <c r="D124" s="1795">
        <v>19257</v>
      </c>
      <c r="E124" s="1796">
        <v>19257</v>
      </c>
      <c r="F124" s="95"/>
      <c r="G124" s="1797"/>
    </row>
    <row r="125" spans="1:9" hidden="1">
      <c r="A125" s="1792" t="s">
        <v>3267</v>
      </c>
      <c r="B125" s="1793"/>
      <c r="C125" s="1797"/>
      <c r="D125" s="1795">
        <v>427721</v>
      </c>
      <c r="E125" s="1796">
        <v>427721</v>
      </c>
      <c r="F125" s="95"/>
      <c r="G125" s="1797"/>
    </row>
    <row r="126" spans="1:9" hidden="1">
      <c r="A126" s="1786" t="s">
        <v>2542</v>
      </c>
      <c r="B126" s="1793"/>
      <c r="C126" s="1797"/>
      <c r="D126" s="1795">
        <v>1039367</v>
      </c>
      <c r="E126" s="1796">
        <v>1039367</v>
      </c>
      <c r="F126" s="95"/>
      <c r="G126" s="1797"/>
    </row>
    <row r="127" spans="1:9" hidden="1">
      <c r="A127" s="1786" t="s">
        <v>586</v>
      </c>
      <c r="B127" s="1793"/>
      <c r="C127" s="1794">
        <v>11398</v>
      </c>
      <c r="D127" s="1795">
        <v>16742</v>
      </c>
      <c r="E127" s="1796">
        <v>5344</v>
      </c>
      <c r="F127" s="95"/>
      <c r="G127" s="1797"/>
    </row>
    <row r="128" spans="1:9" hidden="1">
      <c r="A128" s="1786" t="s">
        <v>2543</v>
      </c>
      <c r="B128" s="1793"/>
      <c r="C128" s="1797"/>
      <c r="D128" s="1795">
        <v>2038</v>
      </c>
      <c r="E128" s="1796">
        <v>2038</v>
      </c>
      <c r="F128" s="95"/>
      <c r="G128" s="1797"/>
    </row>
    <row r="129" spans="1:9" hidden="1">
      <c r="A129" s="1792" t="s">
        <v>3268</v>
      </c>
      <c r="B129" s="1793"/>
      <c r="C129" s="1797"/>
      <c r="D129" s="1795">
        <v>100100</v>
      </c>
      <c r="E129" s="1796">
        <v>100100</v>
      </c>
      <c r="F129" s="95"/>
      <c r="G129" s="1797"/>
    </row>
    <row r="130" spans="1:9" hidden="1">
      <c r="A130" s="1792" t="s">
        <v>3269</v>
      </c>
      <c r="B130" s="1793"/>
      <c r="C130" s="1797"/>
      <c r="D130" s="1795">
        <v>257948</v>
      </c>
      <c r="E130" s="1796">
        <v>257948</v>
      </c>
      <c r="F130" s="95"/>
      <c r="G130" s="1797"/>
    </row>
    <row r="131" spans="1:9" hidden="1">
      <c r="A131" s="1786" t="s">
        <v>1686</v>
      </c>
      <c r="B131" s="1793"/>
      <c r="C131" s="1797"/>
      <c r="D131" s="1795">
        <v>1092927</v>
      </c>
      <c r="E131" s="1796">
        <v>1092927</v>
      </c>
      <c r="F131" s="95"/>
      <c r="G131" s="1797"/>
    </row>
    <row r="132" spans="1:9" hidden="1">
      <c r="A132" s="1792" t="s">
        <v>1931</v>
      </c>
      <c r="B132" s="1793"/>
      <c r="C132" s="1797"/>
      <c r="D132" s="1795">
        <v>75000</v>
      </c>
      <c r="E132" s="1799"/>
      <c r="F132" s="112">
        <v>75000</v>
      </c>
      <c r="G132" s="1797"/>
      <c r="H132">
        <v>17</v>
      </c>
      <c r="I132" t="s">
        <v>1120</v>
      </c>
    </row>
    <row r="133" spans="1:9" hidden="1">
      <c r="A133" s="1786" t="s">
        <v>2668</v>
      </c>
      <c r="B133" s="1793"/>
      <c r="C133" s="1794">
        <v>93036</v>
      </c>
      <c r="D133" s="1795">
        <v>95609</v>
      </c>
      <c r="E133" s="1796">
        <v>2573</v>
      </c>
      <c r="F133" s="95"/>
      <c r="G133" s="1797"/>
    </row>
    <row r="134" spans="1:9" hidden="1">
      <c r="A134" s="1772" t="s">
        <v>587</v>
      </c>
      <c r="B134" s="1793"/>
      <c r="C134" s="1794">
        <v>39750.53</v>
      </c>
      <c r="D134" s="1795">
        <v>39750.53</v>
      </c>
      <c r="E134" s="1799"/>
      <c r="F134" s="95"/>
      <c r="G134" s="1797"/>
    </row>
    <row r="135" spans="1:9" hidden="1">
      <c r="A135" s="1792" t="s">
        <v>3270</v>
      </c>
      <c r="B135" s="1793"/>
      <c r="C135" s="1797"/>
      <c r="D135" s="1795">
        <v>248345</v>
      </c>
      <c r="E135" s="1796">
        <v>255921</v>
      </c>
      <c r="F135" s="95"/>
      <c r="G135" s="1794">
        <v>7576</v>
      </c>
      <c r="H135">
        <v>6</v>
      </c>
      <c r="I135" t="s">
        <v>1358</v>
      </c>
    </row>
    <row r="136" spans="1:9" hidden="1">
      <c r="A136" s="1792" t="s">
        <v>3271</v>
      </c>
      <c r="B136" s="1793"/>
      <c r="C136" s="1797"/>
      <c r="D136" s="1795">
        <v>45550</v>
      </c>
      <c r="E136" s="1796">
        <v>45550</v>
      </c>
      <c r="F136" s="95"/>
      <c r="G136" s="1797"/>
    </row>
    <row r="137" spans="1:9" hidden="1">
      <c r="A137" s="1792" t="s">
        <v>3272</v>
      </c>
      <c r="B137" s="1793"/>
      <c r="C137" s="1797"/>
      <c r="D137" s="1795">
        <v>997855</v>
      </c>
      <c r="E137" s="1796">
        <v>997855</v>
      </c>
      <c r="F137" s="95"/>
      <c r="G137" s="1797"/>
    </row>
    <row r="138" spans="1:9" hidden="1">
      <c r="A138" s="1801" t="s">
        <v>1402</v>
      </c>
      <c r="B138" s="1798">
        <v>2974</v>
      </c>
      <c r="C138" s="1797"/>
      <c r="D138" s="1795">
        <v>1131511</v>
      </c>
      <c r="E138" s="1796">
        <v>1134485</v>
      </c>
      <c r="F138" s="95"/>
      <c r="G138" s="1797"/>
    </row>
    <row r="139" spans="1:9" hidden="1">
      <c r="A139" s="1786" t="s">
        <v>985</v>
      </c>
      <c r="B139" s="1793"/>
      <c r="C139" s="1797"/>
      <c r="D139" s="1795">
        <v>29600</v>
      </c>
      <c r="E139" s="1796">
        <v>29600</v>
      </c>
      <c r="F139" s="95"/>
      <c r="G139" s="1797"/>
    </row>
    <row r="140" spans="1:9" hidden="1">
      <c r="A140" s="1786" t="s">
        <v>1795</v>
      </c>
      <c r="B140" s="1793"/>
      <c r="C140" s="1794">
        <v>65160</v>
      </c>
      <c r="D140" s="1795">
        <v>358703</v>
      </c>
      <c r="E140" s="1796">
        <v>311463</v>
      </c>
      <c r="F140" s="95"/>
      <c r="G140" s="1794">
        <v>17920</v>
      </c>
      <c r="H140">
        <v>6</v>
      </c>
      <c r="I140" t="s">
        <v>1358</v>
      </c>
    </row>
    <row r="141" spans="1:9" hidden="1">
      <c r="A141" s="1786" t="s">
        <v>589</v>
      </c>
      <c r="B141" s="1793"/>
      <c r="C141" s="1797"/>
      <c r="D141" s="1795">
        <v>4142</v>
      </c>
      <c r="E141" s="1799"/>
      <c r="F141" s="112">
        <v>4142</v>
      </c>
      <c r="G141" s="1797"/>
      <c r="H141">
        <v>17</v>
      </c>
      <c r="I141" t="s">
        <v>1120</v>
      </c>
    </row>
    <row r="142" spans="1:9" hidden="1">
      <c r="A142" s="1792" t="s">
        <v>3273</v>
      </c>
      <c r="B142" s="1793"/>
      <c r="C142" s="1797"/>
      <c r="D142" s="1795">
        <v>13924</v>
      </c>
      <c r="E142" s="1796">
        <v>13924</v>
      </c>
      <c r="F142" s="95"/>
      <c r="G142" s="1797"/>
    </row>
    <row r="143" spans="1:9" hidden="1">
      <c r="A143" s="1792" t="s">
        <v>3274</v>
      </c>
      <c r="B143" s="1793"/>
      <c r="C143" s="1797"/>
      <c r="D143" s="1795">
        <v>5010</v>
      </c>
      <c r="E143" s="1796">
        <v>5010</v>
      </c>
      <c r="F143" s="95"/>
      <c r="G143" s="1797"/>
    </row>
    <row r="144" spans="1:9" hidden="1">
      <c r="A144" s="1792" t="s">
        <v>2252</v>
      </c>
      <c r="B144" s="1798">
        <v>10000</v>
      </c>
      <c r="C144" s="1797"/>
      <c r="D144" s="1805"/>
      <c r="E144" s="1796">
        <v>10000</v>
      </c>
      <c r="F144" s="95"/>
      <c r="G144" s="1797"/>
    </row>
    <row r="145" spans="1:9" hidden="1">
      <c r="A145" s="1792" t="s">
        <v>3275</v>
      </c>
      <c r="B145" s="1793"/>
      <c r="C145" s="1797"/>
      <c r="D145" s="1795">
        <v>550000</v>
      </c>
      <c r="E145" s="1796">
        <v>560882</v>
      </c>
      <c r="F145" s="95"/>
      <c r="G145" s="1794">
        <v>10882</v>
      </c>
      <c r="H145">
        <v>6</v>
      </c>
      <c r="I145" t="s">
        <v>1358</v>
      </c>
    </row>
    <row r="146" spans="1:9" hidden="1">
      <c r="A146" s="1786" t="s">
        <v>2253</v>
      </c>
      <c r="B146" s="1793"/>
      <c r="C146" s="1797"/>
      <c r="D146" s="1795">
        <v>381848</v>
      </c>
      <c r="E146" s="1796">
        <v>381848</v>
      </c>
      <c r="F146" s="95"/>
      <c r="G146" s="1797"/>
    </row>
    <row r="147" spans="1:9" hidden="1">
      <c r="A147" s="1792" t="s">
        <v>3276</v>
      </c>
      <c r="B147" s="1793"/>
      <c r="C147" s="1797"/>
      <c r="D147" s="1795">
        <v>1214437</v>
      </c>
      <c r="E147" s="1796">
        <v>1072976</v>
      </c>
      <c r="F147" s="112">
        <v>141461</v>
      </c>
      <c r="G147" s="1797"/>
      <c r="H147">
        <v>17</v>
      </c>
      <c r="I147" t="s">
        <v>1120</v>
      </c>
    </row>
    <row r="148" spans="1:9" hidden="1">
      <c r="A148" s="1786" t="s">
        <v>3277</v>
      </c>
      <c r="B148" s="1793"/>
      <c r="C148" s="1797"/>
      <c r="D148" s="1795">
        <v>159300</v>
      </c>
      <c r="E148" s="1796">
        <v>159300</v>
      </c>
      <c r="F148" s="95"/>
      <c r="G148" s="1797"/>
    </row>
    <row r="149" spans="1:9" hidden="1">
      <c r="A149" s="1792" t="s">
        <v>258</v>
      </c>
      <c r="B149" s="1793"/>
      <c r="C149" s="1797"/>
      <c r="D149" s="1795">
        <v>142930</v>
      </c>
      <c r="E149" s="1796">
        <v>142930</v>
      </c>
      <c r="F149" s="95"/>
      <c r="G149" s="1797"/>
    </row>
    <row r="150" spans="1:9" hidden="1">
      <c r="A150" s="1792" t="s">
        <v>3278</v>
      </c>
      <c r="B150" s="1793"/>
      <c r="C150" s="1797"/>
      <c r="D150" s="1795">
        <v>63425</v>
      </c>
      <c r="E150" s="1796">
        <v>75213</v>
      </c>
      <c r="F150" s="95"/>
      <c r="G150" s="1794">
        <v>11788</v>
      </c>
      <c r="H150">
        <v>6</v>
      </c>
      <c r="I150" t="s">
        <v>1358</v>
      </c>
    </row>
    <row r="151" spans="1:9" hidden="1">
      <c r="A151" s="1786" t="s">
        <v>1936</v>
      </c>
      <c r="B151" s="1793"/>
      <c r="C151" s="1797"/>
      <c r="D151" s="1795">
        <v>25370</v>
      </c>
      <c r="E151" s="1799"/>
      <c r="F151" s="112">
        <v>25370</v>
      </c>
      <c r="G151" s="1797"/>
      <c r="H151">
        <v>17</v>
      </c>
      <c r="I151" t="s">
        <v>1120</v>
      </c>
    </row>
    <row r="152" spans="1:9" hidden="1">
      <c r="A152" s="1792" t="s">
        <v>3279</v>
      </c>
      <c r="B152" s="1793"/>
      <c r="C152" s="1797"/>
      <c r="D152" s="1795">
        <v>378931</v>
      </c>
      <c r="E152" s="1796">
        <v>443784</v>
      </c>
      <c r="F152" s="95"/>
      <c r="G152" s="1794">
        <v>64853</v>
      </c>
      <c r="H152">
        <v>6</v>
      </c>
      <c r="I152" t="s">
        <v>1358</v>
      </c>
    </row>
    <row r="153" spans="1:9" hidden="1">
      <c r="A153" s="1792" t="s">
        <v>2546</v>
      </c>
      <c r="B153" s="1798">
        <v>22351</v>
      </c>
      <c r="C153" s="1797"/>
      <c r="D153" s="1795">
        <v>1709512</v>
      </c>
      <c r="E153" s="1796">
        <v>1676341</v>
      </c>
      <c r="F153" s="112">
        <v>55522</v>
      </c>
      <c r="G153" s="1797"/>
      <c r="H153">
        <v>17</v>
      </c>
      <c r="I153" t="s">
        <v>1120</v>
      </c>
    </row>
    <row r="154" spans="1:9" hidden="1">
      <c r="A154" s="1792" t="s">
        <v>3280</v>
      </c>
      <c r="B154" s="1793"/>
      <c r="C154" s="1797"/>
      <c r="D154" s="1795">
        <v>1118593</v>
      </c>
      <c r="E154" s="1796">
        <v>1118593</v>
      </c>
      <c r="F154" s="95"/>
      <c r="G154" s="1797"/>
    </row>
    <row r="155" spans="1:9" hidden="1">
      <c r="A155" s="1792" t="s">
        <v>3281</v>
      </c>
      <c r="B155" s="1793"/>
      <c r="C155" s="1797"/>
      <c r="D155" s="1795">
        <v>121988</v>
      </c>
      <c r="E155" s="1796">
        <v>121988</v>
      </c>
      <c r="F155" s="95"/>
      <c r="G155" s="1797"/>
    </row>
    <row r="156" spans="1:9" hidden="1">
      <c r="A156" s="1792" t="s">
        <v>1285</v>
      </c>
      <c r="B156" s="1793"/>
      <c r="C156" s="1797"/>
      <c r="D156" s="1795">
        <v>811779</v>
      </c>
      <c r="E156" s="1796">
        <v>811779</v>
      </c>
      <c r="F156" s="95"/>
      <c r="G156" s="1797"/>
    </row>
    <row r="157" spans="1:9" hidden="1">
      <c r="A157" s="1792" t="s">
        <v>2548</v>
      </c>
      <c r="B157" s="1793"/>
      <c r="C157" s="1794">
        <v>44418</v>
      </c>
      <c r="D157" s="1795">
        <v>44418</v>
      </c>
      <c r="E157" s="1799"/>
      <c r="F157" s="95"/>
      <c r="G157" s="1797"/>
    </row>
    <row r="158" spans="1:9" hidden="1">
      <c r="A158" s="1792" t="s">
        <v>3282</v>
      </c>
      <c r="B158" s="1793"/>
      <c r="C158" s="1797"/>
      <c r="D158" s="1795">
        <v>34500</v>
      </c>
      <c r="E158" s="1796">
        <v>69611</v>
      </c>
      <c r="F158" s="95"/>
      <c r="G158" s="1794">
        <v>35111</v>
      </c>
      <c r="H158">
        <v>6</v>
      </c>
      <c r="I158" t="s">
        <v>1358</v>
      </c>
    </row>
    <row r="159" spans="1:9" hidden="1">
      <c r="A159" s="1786" t="s">
        <v>3283</v>
      </c>
      <c r="B159" s="1793"/>
      <c r="C159" s="1797"/>
      <c r="D159" s="1795">
        <v>188800</v>
      </c>
      <c r="E159" s="1796">
        <v>188800</v>
      </c>
      <c r="F159" s="95"/>
      <c r="G159" s="1797"/>
    </row>
    <row r="160" spans="1:9" hidden="1">
      <c r="A160" s="1792" t="s">
        <v>3284</v>
      </c>
      <c r="B160" s="1793"/>
      <c r="C160" s="1797"/>
      <c r="D160" s="1795">
        <v>365570</v>
      </c>
      <c r="E160" s="1796">
        <v>366278</v>
      </c>
      <c r="F160" s="95"/>
      <c r="G160" s="1794">
        <v>708</v>
      </c>
      <c r="H160">
        <v>6</v>
      </c>
      <c r="I160" t="s">
        <v>1358</v>
      </c>
    </row>
    <row r="161" spans="1:9" hidden="1">
      <c r="A161" s="1792" t="s">
        <v>3285</v>
      </c>
      <c r="B161" s="1793"/>
      <c r="C161" s="1797"/>
      <c r="D161" s="1805"/>
      <c r="E161" s="1796">
        <v>82600</v>
      </c>
      <c r="F161" s="95"/>
      <c r="G161" s="1794">
        <v>82600</v>
      </c>
      <c r="H161">
        <v>6</v>
      </c>
      <c r="I161" t="s">
        <v>1358</v>
      </c>
    </row>
    <row r="162" spans="1:9" hidden="1">
      <c r="A162" s="1792" t="s">
        <v>3286</v>
      </c>
      <c r="B162" s="1793"/>
      <c r="C162" s="1797"/>
      <c r="D162" s="1795">
        <v>324382</v>
      </c>
      <c r="E162" s="1796">
        <v>324382</v>
      </c>
      <c r="F162" s="95"/>
      <c r="G162" s="1797"/>
    </row>
    <row r="163" spans="1:9" hidden="1">
      <c r="A163" s="1792" t="s">
        <v>1691</v>
      </c>
      <c r="B163" s="1793"/>
      <c r="C163" s="1794">
        <v>58399</v>
      </c>
      <c r="D163" s="1795">
        <v>58399</v>
      </c>
      <c r="E163" s="1799"/>
      <c r="F163" s="95"/>
      <c r="G163" s="1797"/>
    </row>
    <row r="164" spans="1:9" hidden="1">
      <c r="A164" s="1786" t="s">
        <v>1940</v>
      </c>
      <c r="B164" s="1793"/>
      <c r="C164" s="1794">
        <v>5350</v>
      </c>
      <c r="D164" s="1795">
        <v>314650</v>
      </c>
      <c r="E164" s="1796">
        <v>309300</v>
      </c>
      <c r="F164" s="95"/>
      <c r="G164" s="1797"/>
    </row>
    <row r="165" spans="1:9" hidden="1">
      <c r="A165" s="1786" t="s">
        <v>1942</v>
      </c>
      <c r="B165" s="1793"/>
      <c r="C165" s="1794">
        <v>591324</v>
      </c>
      <c r="D165" s="1795">
        <v>2290831</v>
      </c>
      <c r="E165" s="1796">
        <v>994859</v>
      </c>
      <c r="F165" s="112">
        <v>704648</v>
      </c>
      <c r="G165" s="1797"/>
      <c r="H165">
        <v>17</v>
      </c>
      <c r="I165" t="s">
        <v>1120</v>
      </c>
    </row>
    <row r="166" spans="1:9" hidden="1">
      <c r="A166" s="1792" t="s">
        <v>2551</v>
      </c>
      <c r="B166" s="1793"/>
      <c r="C166" s="1794">
        <v>15870</v>
      </c>
      <c r="D166" s="1795">
        <v>306981</v>
      </c>
      <c r="E166" s="1796">
        <v>291111</v>
      </c>
      <c r="F166" s="95"/>
      <c r="G166" s="1797"/>
    </row>
    <row r="167" spans="1:9" hidden="1">
      <c r="A167" s="1786" t="s">
        <v>2669</v>
      </c>
      <c r="B167" s="1798">
        <v>1700</v>
      </c>
      <c r="C167" s="1797"/>
      <c r="D167" s="1805"/>
      <c r="E167" s="1796">
        <v>1700</v>
      </c>
      <c r="F167" s="95"/>
      <c r="G167" s="1797"/>
    </row>
    <row r="168" spans="1:9" hidden="1">
      <c r="A168" s="1792" t="s">
        <v>1943</v>
      </c>
      <c r="B168" s="1793"/>
      <c r="C168" s="1797"/>
      <c r="D168" s="1795">
        <v>120856</v>
      </c>
      <c r="E168" s="1796">
        <v>120856</v>
      </c>
      <c r="F168" s="95"/>
      <c r="G168" s="1797"/>
    </row>
    <row r="169" spans="1:9" hidden="1">
      <c r="A169" s="1792" t="s">
        <v>3287</v>
      </c>
      <c r="B169" s="1793"/>
      <c r="C169" s="1797"/>
      <c r="D169" s="1795">
        <v>1100020</v>
      </c>
      <c r="E169" s="1796">
        <v>1100020</v>
      </c>
      <c r="F169" s="95"/>
      <c r="G169" s="1797"/>
    </row>
    <row r="170" spans="1:9" hidden="1">
      <c r="A170" s="1792" t="s">
        <v>2552</v>
      </c>
      <c r="B170" s="1793"/>
      <c r="C170" s="1794">
        <v>9820</v>
      </c>
      <c r="D170" s="1795">
        <v>9820</v>
      </c>
      <c r="E170" s="1799"/>
      <c r="F170" s="95"/>
      <c r="G170" s="1797"/>
    </row>
    <row r="171" spans="1:9" hidden="1">
      <c r="A171" s="1786" t="s">
        <v>3288</v>
      </c>
      <c r="B171" s="1793"/>
      <c r="C171" s="1797"/>
      <c r="D171" s="1795">
        <v>142072</v>
      </c>
      <c r="E171" s="1796">
        <v>142072</v>
      </c>
      <c r="F171" s="95"/>
      <c r="G171" s="1797"/>
    </row>
    <row r="172" spans="1:9" hidden="1">
      <c r="A172" s="1792" t="s">
        <v>1944</v>
      </c>
      <c r="B172" s="1798">
        <v>172876</v>
      </c>
      <c r="C172" s="1797"/>
      <c r="D172" s="1795">
        <v>213741</v>
      </c>
      <c r="E172" s="1796">
        <v>386617</v>
      </c>
      <c r="F172" s="95"/>
      <c r="G172" s="1797"/>
    </row>
    <row r="173" spans="1:9" hidden="1">
      <c r="A173" s="1792" t="s">
        <v>3289</v>
      </c>
      <c r="B173" s="1793"/>
      <c r="C173" s="1797"/>
      <c r="D173" s="1795">
        <v>207000</v>
      </c>
      <c r="E173" s="1796">
        <v>207000</v>
      </c>
      <c r="F173" s="95"/>
      <c r="G173" s="1797"/>
    </row>
    <row r="174" spans="1:9" hidden="1">
      <c r="A174" s="1792" t="s">
        <v>3290</v>
      </c>
      <c r="B174" s="1793"/>
      <c r="C174" s="1797"/>
      <c r="D174" s="1795">
        <v>52150</v>
      </c>
      <c r="E174" s="1796">
        <v>52150</v>
      </c>
      <c r="F174" s="95"/>
      <c r="G174" s="1797"/>
    </row>
    <row r="175" spans="1:9" hidden="1">
      <c r="A175" s="1792" t="s">
        <v>1692</v>
      </c>
      <c r="B175" s="1793"/>
      <c r="C175" s="1794">
        <v>69404</v>
      </c>
      <c r="D175" s="1795">
        <v>252826</v>
      </c>
      <c r="E175" s="1796">
        <v>183422</v>
      </c>
      <c r="F175" s="95"/>
      <c r="G175" s="1797"/>
    </row>
    <row r="176" spans="1:9" hidden="1">
      <c r="A176" s="1792" t="s">
        <v>2554</v>
      </c>
      <c r="B176" s="1793"/>
      <c r="C176" s="1794">
        <v>14050</v>
      </c>
      <c r="D176" s="1795">
        <v>14050</v>
      </c>
      <c r="E176" s="1799"/>
      <c r="F176" s="95"/>
      <c r="G176" s="1797"/>
    </row>
    <row r="177" spans="1:9" hidden="1">
      <c r="A177" s="1792" t="s">
        <v>2555</v>
      </c>
      <c r="B177" s="1798">
        <v>25000</v>
      </c>
      <c r="C177" s="1797"/>
      <c r="D177" s="1795">
        <v>48750</v>
      </c>
      <c r="E177" s="1796">
        <v>73750</v>
      </c>
      <c r="F177" s="95"/>
      <c r="G177" s="1797"/>
    </row>
    <row r="178" spans="1:9" hidden="1">
      <c r="A178" s="1792" t="s">
        <v>3291</v>
      </c>
      <c r="B178" s="1793"/>
      <c r="C178" s="1797"/>
      <c r="D178" s="1795">
        <v>24120</v>
      </c>
      <c r="E178" s="1796">
        <v>24120</v>
      </c>
      <c r="F178" s="95"/>
      <c r="G178" s="1797"/>
    </row>
    <row r="179" spans="1:9" hidden="1">
      <c r="A179" s="1792" t="s">
        <v>1693</v>
      </c>
      <c r="B179" s="1793"/>
      <c r="C179" s="1794">
        <v>4584.38</v>
      </c>
      <c r="D179" s="1795">
        <v>177737</v>
      </c>
      <c r="E179" s="1796">
        <v>81479</v>
      </c>
      <c r="F179" s="112">
        <v>91673.62</v>
      </c>
      <c r="G179" s="1797"/>
      <c r="H179">
        <v>17</v>
      </c>
      <c r="I179" t="s">
        <v>1120</v>
      </c>
    </row>
    <row r="180" spans="1:9" hidden="1">
      <c r="A180" s="1792" t="s">
        <v>3292</v>
      </c>
      <c r="B180" s="1793"/>
      <c r="C180" s="1797"/>
      <c r="D180" s="1795">
        <v>97704</v>
      </c>
      <c r="E180" s="1796">
        <v>97704</v>
      </c>
      <c r="F180" s="95"/>
      <c r="G180" s="1797"/>
    </row>
    <row r="181" spans="1:9" hidden="1">
      <c r="A181" s="1792" t="s">
        <v>3293</v>
      </c>
      <c r="B181" s="1793"/>
      <c r="C181" s="1797"/>
      <c r="D181" s="1795">
        <v>11000</v>
      </c>
      <c r="E181" s="1796">
        <v>11000</v>
      </c>
      <c r="F181" s="95"/>
      <c r="G181" s="1797"/>
    </row>
    <row r="182" spans="1:9" hidden="1">
      <c r="A182" s="1792" t="s">
        <v>596</v>
      </c>
      <c r="B182" s="1793"/>
      <c r="C182" s="1794">
        <v>21022.28</v>
      </c>
      <c r="D182" s="1795">
        <v>50559</v>
      </c>
      <c r="E182" s="1796">
        <v>29536.720000000001</v>
      </c>
      <c r="F182" s="95"/>
      <c r="G182" s="1797"/>
    </row>
    <row r="183" spans="1:9" hidden="1">
      <c r="A183" s="1792" t="s">
        <v>1947</v>
      </c>
      <c r="B183" s="1793"/>
      <c r="C183" s="1797"/>
      <c r="D183" s="1795">
        <v>275017</v>
      </c>
      <c r="E183" s="1796">
        <v>290758</v>
      </c>
      <c r="F183" s="95"/>
      <c r="G183" s="1794">
        <v>15741</v>
      </c>
      <c r="H183">
        <v>6</v>
      </c>
      <c r="I183" t="s">
        <v>1358</v>
      </c>
    </row>
    <row r="184" spans="1:9" hidden="1">
      <c r="A184" s="1792" t="s">
        <v>2670</v>
      </c>
      <c r="B184" s="1793"/>
      <c r="C184" s="1794">
        <v>74000</v>
      </c>
      <c r="D184" s="1795">
        <v>74000</v>
      </c>
      <c r="E184" s="1799"/>
      <c r="F184" s="95"/>
      <c r="G184" s="1797"/>
    </row>
    <row r="185" spans="1:9" hidden="1">
      <c r="A185" s="1792" t="s">
        <v>1950</v>
      </c>
      <c r="B185" s="1793"/>
      <c r="C185" s="1797"/>
      <c r="D185" s="1795">
        <v>11800</v>
      </c>
      <c r="E185" s="1796">
        <v>11800</v>
      </c>
      <c r="F185" s="95"/>
      <c r="G185" s="1797"/>
    </row>
    <row r="186" spans="1:9" hidden="1">
      <c r="A186" s="1792" t="s">
        <v>600</v>
      </c>
      <c r="B186" s="1798">
        <v>57817</v>
      </c>
      <c r="C186" s="1797"/>
      <c r="D186" s="1795">
        <v>37500</v>
      </c>
      <c r="E186" s="1796">
        <v>95317</v>
      </c>
      <c r="F186" s="95"/>
      <c r="G186" s="1797"/>
    </row>
    <row r="187" spans="1:9" hidden="1">
      <c r="A187" s="1786" t="s">
        <v>2262</v>
      </c>
      <c r="B187" s="1798">
        <v>150000</v>
      </c>
      <c r="C187" s="1797"/>
      <c r="D187" s="1795">
        <v>188896</v>
      </c>
      <c r="E187" s="1796">
        <v>338896</v>
      </c>
      <c r="F187" s="95"/>
      <c r="G187" s="1797"/>
    </row>
    <row r="188" spans="1:9" hidden="1">
      <c r="A188" s="1792" t="s">
        <v>3294</v>
      </c>
      <c r="B188" s="1793"/>
      <c r="C188" s="1797"/>
      <c r="D188" s="1795">
        <v>1416</v>
      </c>
      <c r="E188" s="1796">
        <v>1416</v>
      </c>
      <c r="F188" s="95"/>
      <c r="G188" s="1797"/>
    </row>
    <row r="189" spans="1:9" hidden="1">
      <c r="A189" s="1792" t="s">
        <v>2557</v>
      </c>
      <c r="B189" s="1793"/>
      <c r="C189" s="1797"/>
      <c r="D189" s="1795">
        <v>67729</v>
      </c>
      <c r="E189" s="1796">
        <v>67729</v>
      </c>
      <c r="F189" s="95"/>
      <c r="G189" s="1797"/>
    </row>
    <row r="190" spans="1:9" hidden="1">
      <c r="A190" s="1801" t="s">
        <v>3295</v>
      </c>
      <c r="B190" s="1793"/>
      <c r="C190" s="1797"/>
      <c r="D190" s="1795">
        <v>99240</v>
      </c>
      <c r="E190" s="1796">
        <v>99240</v>
      </c>
      <c r="F190" s="95"/>
      <c r="G190" s="1797"/>
    </row>
    <row r="191" spans="1:9" hidden="1">
      <c r="A191" s="1792" t="s">
        <v>3296</v>
      </c>
      <c r="B191" s="1793"/>
      <c r="C191" s="1797"/>
      <c r="D191" s="1795">
        <v>9165945</v>
      </c>
      <c r="E191" s="1796">
        <v>10666368</v>
      </c>
      <c r="F191" s="95"/>
      <c r="G191" s="1794">
        <v>1500423</v>
      </c>
      <c r="H191">
        <v>6</v>
      </c>
      <c r="I191" t="s">
        <v>1358</v>
      </c>
    </row>
    <row r="192" spans="1:9" hidden="1">
      <c r="A192" s="1792" t="s">
        <v>3297</v>
      </c>
      <c r="B192" s="1793"/>
      <c r="C192" s="1797"/>
      <c r="D192" s="1795">
        <v>288274</v>
      </c>
      <c r="E192" s="1796">
        <v>312158</v>
      </c>
      <c r="F192" s="95"/>
      <c r="G192" s="1794">
        <v>23884</v>
      </c>
      <c r="H192">
        <v>6</v>
      </c>
      <c r="I192" t="s">
        <v>1358</v>
      </c>
    </row>
    <row r="193" spans="1:9" hidden="1">
      <c r="A193" s="1786" t="s">
        <v>3298</v>
      </c>
      <c r="B193" s="1793"/>
      <c r="C193" s="1797"/>
      <c r="D193" s="1795">
        <v>108498</v>
      </c>
      <c r="E193" s="1796">
        <v>108498</v>
      </c>
      <c r="F193" s="95"/>
      <c r="G193" s="1797"/>
    </row>
    <row r="194" spans="1:9" hidden="1">
      <c r="A194" s="1786" t="s">
        <v>3299</v>
      </c>
      <c r="B194" s="1793"/>
      <c r="C194" s="1797"/>
      <c r="D194" s="1795">
        <v>607575</v>
      </c>
      <c r="E194" s="1796">
        <v>607575</v>
      </c>
      <c r="F194" s="95"/>
      <c r="G194" s="1797"/>
    </row>
    <row r="195" spans="1:9" hidden="1">
      <c r="A195" s="1792" t="s">
        <v>3300</v>
      </c>
      <c r="B195" s="1793"/>
      <c r="C195" s="1797"/>
      <c r="D195" s="1795">
        <v>100463</v>
      </c>
      <c r="E195" s="1796">
        <v>100463</v>
      </c>
      <c r="F195" s="95"/>
      <c r="G195" s="1797"/>
    </row>
    <row r="196" spans="1:9" hidden="1">
      <c r="A196" s="1786" t="s">
        <v>1953</v>
      </c>
      <c r="B196" s="1793"/>
      <c r="C196" s="1794">
        <v>8437</v>
      </c>
      <c r="D196" s="1795">
        <v>8437</v>
      </c>
      <c r="E196" s="1799"/>
      <c r="F196" s="95"/>
      <c r="G196" s="1797"/>
    </row>
    <row r="197" spans="1:9" hidden="1">
      <c r="A197" s="1792" t="s">
        <v>3301</v>
      </c>
      <c r="B197" s="1793"/>
      <c r="C197" s="1797"/>
      <c r="D197" s="1795">
        <v>217902</v>
      </c>
      <c r="E197" s="1796">
        <v>217902</v>
      </c>
      <c r="F197" s="95"/>
      <c r="G197" s="1797"/>
    </row>
    <row r="198" spans="1:9" hidden="1">
      <c r="A198" s="1792" t="s">
        <v>3302</v>
      </c>
      <c r="B198" s="1793"/>
      <c r="C198" s="1797"/>
      <c r="D198" s="1795">
        <v>6800</v>
      </c>
      <c r="E198" s="1796">
        <v>18800</v>
      </c>
      <c r="F198" s="95"/>
      <c r="G198" s="1794">
        <v>12000</v>
      </c>
      <c r="H198">
        <v>6</v>
      </c>
      <c r="I198" t="s">
        <v>1358</v>
      </c>
    </row>
    <row r="199" spans="1:9" hidden="1">
      <c r="A199" s="1792" t="s">
        <v>3303</v>
      </c>
      <c r="B199" s="1793"/>
      <c r="C199" s="1797"/>
      <c r="D199" s="1795">
        <v>39070</v>
      </c>
      <c r="E199" s="1796">
        <v>39070</v>
      </c>
      <c r="F199" s="95"/>
      <c r="G199" s="1797"/>
    </row>
    <row r="200" spans="1:9" hidden="1">
      <c r="A200" s="1792" t="s">
        <v>3304</v>
      </c>
      <c r="B200" s="1793"/>
      <c r="C200" s="1797"/>
      <c r="D200" s="1795">
        <v>50000</v>
      </c>
      <c r="E200" s="1796">
        <v>50000</v>
      </c>
      <c r="F200" s="95"/>
      <c r="G200" s="1797"/>
    </row>
    <row r="201" spans="1:9" hidden="1">
      <c r="A201" s="1792" t="s">
        <v>2671</v>
      </c>
      <c r="B201" s="1793"/>
      <c r="C201" s="1794">
        <v>12350</v>
      </c>
      <c r="D201" s="1795">
        <v>12350</v>
      </c>
      <c r="E201" s="1799"/>
      <c r="F201" s="95"/>
      <c r="G201" s="1797"/>
    </row>
    <row r="202" spans="1:9" hidden="1">
      <c r="A202" s="1792" t="s">
        <v>1954</v>
      </c>
      <c r="B202" s="1793"/>
      <c r="C202" s="1797"/>
      <c r="D202" s="1795">
        <v>11300</v>
      </c>
      <c r="E202" s="1796">
        <v>11300</v>
      </c>
      <c r="F202" s="95"/>
      <c r="G202" s="1797"/>
    </row>
    <row r="203" spans="1:9" hidden="1">
      <c r="A203" s="1792" t="s">
        <v>2559</v>
      </c>
      <c r="B203" s="1793"/>
      <c r="C203" s="1797"/>
      <c r="D203" s="1795">
        <v>25960</v>
      </c>
      <c r="E203" s="1796">
        <v>25960</v>
      </c>
      <c r="F203" s="95"/>
      <c r="G203" s="1797"/>
    </row>
    <row r="204" spans="1:9" hidden="1">
      <c r="A204" s="1792" t="s">
        <v>603</v>
      </c>
      <c r="B204" s="1793"/>
      <c r="C204" s="1794">
        <v>1958</v>
      </c>
      <c r="D204" s="1795">
        <v>1958</v>
      </c>
      <c r="E204" s="1799"/>
      <c r="F204" s="95"/>
      <c r="G204" s="1797"/>
    </row>
    <row r="205" spans="1:9" hidden="1">
      <c r="A205" s="1792" t="s">
        <v>2560</v>
      </c>
      <c r="B205" s="1793"/>
      <c r="C205" s="1797"/>
      <c r="D205" s="1795">
        <v>326279</v>
      </c>
      <c r="E205" s="1796">
        <v>326279</v>
      </c>
      <c r="F205" s="95"/>
      <c r="G205" s="1797"/>
    </row>
    <row r="206" spans="1:9" hidden="1">
      <c r="A206" s="1792" t="s">
        <v>2561</v>
      </c>
      <c r="B206" s="1793"/>
      <c r="C206" s="1797"/>
      <c r="D206" s="1795">
        <v>67860</v>
      </c>
      <c r="E206" s="1796">
        <v>67860</v>
      </c>
      <c r="F206" s="95"/>
      <c r="G206" s="1797"/>
    </row>
    <row r="207" spans="1:9" hidden="1">
      <c r="A207" s="1792" t="s">
        <v>3305</v>
      </c>
      <c r="B207" s="1793"/>
      <c r="C207" s="1797"/>
      <c r="D207" s="1795">
        <v>59385</v>
      </c>
      <c r="E207" s="1796">
        <v>59385</v>
      </c>
      <c r="F207" s="95"/>
      <c r="G207" s="1797"/>
    </row>
    <row r="208" spans="1:9" hidden="1">
      <c r="A208" s="1792" t="s">
        <v>2562</v>
      </c>
      <c r="B208" s="1793"/>
      <c r="C208" s="1794">
        <v>13593</v>
      </c>
      <c r="D208" s="1795">
        <v>13593</v>
      </c>
      <c r="E208" s="1799"/>
      <c r="F208" s="95"/>
      <c r="G208" s="1797"/>
    </row>
    <row r="209" spans="1:7" hidden="1">
      <c r="A209" s="1792" t="s">
        <v>3306</v>
      </c>
      <c r="B209" s="1793"/>
      <c r="C209" s="1797"/>
      <c r="D209" s="1795">
        <v>755694</v>
      </c>
      <c r="E209" s="1796">
        <v>755694</v>
      </c>
      <c r="F209" s="95"/>
      <c r="G209" s="1797"/>
    </row>
    <row r="210" spans="1:7" hidden="1">
      <c r="A210" s="1792" t="s">
        <v>3307</v>
      </c>
      <c r="B210" s="1793"/>
      <c r="C210" s="1797"/>
      <c r="D210" s="1795">
        <v>26000</v>
      </c>
      <c r="E210" s="1796">
        <v>26000</v>
      </c>
      <c r="F210" s="95"/>
      <c r="G210" s="1797"/>
    </row>
    <row r="211" spans="1:7" hidden="1">
      <c r="A211" s="1792" t="s">
        <v>2563</v>
      </c>
      <c r="B211" s="1793"/>
      <c r="C211" s="1797"/>
      <c r="D211" s="1795">
        <v>105327</v>
      </c>
      <c r="E211" s="1796">
        <v>105327</v>
      </c>
      <c r="F211" s="95"/>
      <c r="G211" s="1797"/>
    </row>
    <row r="212" spans="1:7" hidden="1">
      <c r="A212" s="1792" t="s">
        <v>604</v>
      </c>
      <c r="B212" s="1793"/>
      <c r="C212" s="1794">
        <v>20820</v>
      </c>
      <c r="D212" s="1795">
        <v>72917</v>
      </c>
      <c r="E212" s="1796">
        <v>52097</v>
      </c>
      <c r="F212" s="95"/>
      <c r="G212" s="1797"/>
    </row>
    <row r="213" spans="1:7" hidden="1">
      <c r="A213" s="1792" t="s">
        <v>2564</v>
      </c>
      <c r="B213" s="1793"/>
      <c r="C213" s="1797"/>
      <c r="D213" s="1795">
        <v>27280</v>
      </c>
      <c r="E213" s="1796">
        <v>27280</v>
      </c>
      <c r="F213" s="95"/>
      <c r="G213" s="1797"/>
    </row>
    <row r="214" spans="1:7" hidden="1">
      <c r="A214" s="1792" t="s">
        <v>1955</v>
      </c>
      <c r="B214" s="1793"/>
      <c r="C214" s="1797"/>
      <c r="D214" s="1795">
        <v>876979</v>
      </c>
      <c r="E214" s="1796">
        <v>876979</v>
      </c>
      <c r="F214" s="95"/>
      <c r="G214" s="1797"/>
    </row>
    <row r="215" spans="1:7" hidden="1">
      <c r="A215" s="1786" t="s">
        <v>3308</v>
      </c>
      <c r="B215" s="1793"/>
      <c r="C215" s="1797"/>
      <c r="D215" s="1795">
        <v>92836</v>
      </c>
      <c r="E215" s="1796">
        <v>92836</v>
      </c>
      <c r="F215" s="95"/>
      <c r="G215" s="1797"/>
    </row>
    <row r="216" spans="1:7" hidden="1">
      <c r="A216" s="1792" t="s">
        <v>3309</v>
      </c>
      <c r="B216" s="1793"/>
      <c r="C216" s="1797"/>
      <c r="D216" s="1795">
        <v>88882</v>
      </c>
      <c r="E216" s="1796">
        <v>88882</v>
      </c>
      <c r="F216" s="95"/>
      <c r="G216" s="1797"/>
    </row>
    <row r="217" spans="1:7" hidden="1">
      <c r="A217" s="1786" t="s">
        <v>2566</v>
      </c>
      <c r="B217" s="1793"/>
      <c r="C217" s="1797"/>
      <c r="D217" s="1795">
        <v>1903626</v>
      </c>
      <c r="E217" s="1796">
        <v>1903626</v>
      </c>
      <c r="F217" s="95"/>
      <c r="G217" s="1797"/>
    </row>
    <row r="218" spans="1:7" hidden="1">
      <c r="A218" s="1786" t="s">
        <v>2567</v>
      </c>
      <c r="B218" s="1793"/>
      <c r="C218" s="1797"/>
      <c r="D218" s="1795">
        <v>92040</v>
      </c>
      <c r="E218" s="1796">
        <v>92040</v>
      </c>
      <c r="F218" s="95"/>
      <c r="G218" s="1797"/>
    </row>
    <row r="219" spans="1:7" hidden="1">
      <c r="A219" s="1792" t="s">
        <v>1957</v>
      </c>
      <c r="B219" s="1793"/>
      <c r="C219" s="1797"/>
      <c r="D219" s="1795">
        <v>6775000</v>
      </c>
      <c r="E219" s="1796">
        <v>6775000</v>
      </c>
      <c r="F219" s="95"/>
      <c r="G219" s="1797"/>
    </row>
    <row r="220" spans="1:7" hidden="1">
      <c r="A220" s="1792" t="s">
        <v>3310</v>
      </c>
      <c r="B220" s="1793"/>
      <c r="C220" s="1797"/>
      <c r="D220" s="1795">
        <v>36275</v>
      </c>
      <c r="E220" s="1796">
        <v>36275</v>
      </c>
      <c r="F220" s="95"/>
      <c r="G220" s="1797"/>
    </row>
    <row r="221" spans="1:7" hidden="1">
      <c r="A221" s="1792" t="s">
        <v>605</v>
      </c>
      <c r="B221" s="1793"/>
      <c r="C221" s="1794">
        <v>566851</v>
      </c>
      <c r="D221" s="1795">
        <v>566851</v>
      </c>
      <c r="E221" s="1799"/>
      <c r="F221" s="95"/>
      <c r="G221" s="1797"/>
    </row>
    <row r="222" spans="1:7" hidden="1">
      <c r="A222" s="1792" t="s">
        <v>1959</v>
      </c>
      <c r="B222" s="1793"/>
      <c r="C222" s="1794">
        <v>1</v>
      </c>
      <c r="D222" s="1795">
        <v>1</v>
      </c>
      <c r="E222" s="1799"/>
      <c r="F222" s="95"/>
      <c r="G222" s="1797"/>
    </row>
    <row r="223" spans="1:7" hidden="1">
      <c r="A223" s="1792" t="s">
        <v>2568</v>
      </c>
      <c r="B223" s="1793"/>
      <c r="C223" s="1797"/>
      <c r="D223" s="1795">
        <v>54988</v>
      </c>
      <c r="E223" s="1796">
        <v>54988</v>
      </c>
      <c r="F223" s="95"/>
      <c r="G223" s="1797"/>
    </row>
    <row r="224" spans="1:7" hidden="1">
      <c r="A224" s="1786" t="s">
        <v>3311</v>
      </c>
      <c r="B224" s="1793"/>
      <c r="C224" s="1797"/>
      <c r="D224" s="1795">
        <v>353512</v>
      </c>
      <c r="E224" s="1796">
        <v>353512</v>
      </c>
      <c r="F224" s="95"/>
      <c r="G224" s="1797"/>
    </row>
    <row r="225" spans="1:9" hidden="1">
      <c r="A225" s="1801" t="s">
        <v>606</v>
      </c>
      <c r="B225" s="1793"/>
      <c r="C225" s="1794">
        <v>334969.28000000003</v>
      </c>
      <c r="D225" s="1795">
        <v>814631</v>
      </c>
      <c r="E225" s="1796">
        <v>686937</v>
      </c>
      <c r="F225" s="95"/>
      <c r="G225" s="1794">
        <v>207275.28</v>
      </c>
      <c r="H225">
        <v>6</v>
      </c>
      <c r="I225" t="s">
        <v>1358</v>
      </c>
    </row>
    <row r="226" spans="1:9" hidden="1">
      <c r="A226" s="1786" t="s">
        <v>1962</v>
      </c>
      <c r="B226" s="1793"/>
      <c r="C226" s="1797"/>
      <c r="D226" s="1795">
        <v>177740</v>
      </c>
      <c r="E226" s="1796">
        <v>177740</v>
      </c>
      <c r="F226" s="95"/>
      <c r="G226" s="1797"/>
    </row>
    <row r="227" spans="1:9" hidden="1">
      <c r="A227" s="1786" t="s">
        <v>2269</v>
      </c>
      <c r="B227" s="1793"/>
      <c r="C227" s="1797"/>
      <c r="D227" s="1795">
        <v>70800</v>
      </c>
      <c r="E227" s="1796">
        <v>70800</v>
      </c>
      <c r="F227" s="95"/>
      <c r="G227" s="1797"/>
    </row>
    <row r="228" spans="1:9" hidden="1">
      <c r="A228" s="1792" t="s">
        <v>2270</v>
      </c>
      <c r="B228" s="1793"/>
      <c r="C228" s="1797"/>
      <c r="D228" s="1795">
        <v>1350253</v>
      </c>
      <c r="E228" s="1796">
        <v>1350253</v>
      </c>
      <c r="F228" s="95"/>
      <c r="G228" s="1797"/>
    </row>
    <row r="229" spans="1:9" hidden="1">
      <c r="A229" s="1786" t="s">
        <v>1804</v>
      </c>
      <c r="B229" s="1793"/>
      <c r="C229" s="1794">
        <v>41210</v>
      </c>
      <c r="D229" s="1795">
        <v>41210</v>
      </c>
      <c r="E229" s="1799"/>
      <c r="F229" s="95"/>
      <c r="G229" s="1797"/>
    </row>
    <row r="230" spans="1:9" hidden="1">
      <c r="A230" s="1792" t="s">
        <v>3312</v>
      </c>
      <c r="B230" s="1793"/>
      <c r="C230" s="1797"/>
      <c r="D230" s="1795">
        <v>111869</v>
      </c>
      <c r="E230" s="1796">
        <v>111869</v>
      </c>
      <c r="F230" s="95"/>
      <c r="G230" s="1797"/>
    </row>
    <row r="231" spans="1:9" hidden="1">
      <c r="A231" s="1792" t="s">
        <v>3313</v>
      </c>
      <c r="B231" s="1793"/>
      <c r="C231" s="1797"/>
      <c r="D231" s="1795">
        <v>40780</v>
      </c>
      <c r="E231" s="1796">
        <v>40780</v>
      </c>
      <c r="F231" s="95"/>
      <c r="G231" s="1797"/>
    </row>
    <row r="232" spans="1:9" hidden="1">
      <c r="A232" s="1786" t="s">
        <v>1966</v>
      </c>
      <c r="B232" s="1793"/>
      <c r="C232" s="1794">
        <v>19558</v>
      </c>
      <c r="D232" s="1795">
        <v>241561</v>
      </c>
      <c r="E232" s="1796">
        <v>222003</v>
      </c>
      <c r="F232" s="95"/>
      <c r="G232" s="1797"/>
    </row>
    <row r="233" spans="1:9" hidden="1">
      <c r="A233" s="1792" t="s">
        <v>1967</v>
      </c>
      <c r="B233" s="1793"/>
      <c r="C233" s="1797"/>
      <c r="D233" s="1795">
        <v>16000</v>
      </c>
      <c r="E233" s="1796">
        <v>16000</v>
      </c>
      <c r="F233" s="95"/>
      <c r="G233" s="1797"/>
    </row>
    <row r="234" spans="1:9" hidden="1">
      <c r="A234" s="1786" t="s">
        <v>1968</v>
      </c>
      <c r="B234" s="1793"/>
      <c r="C234" s="1797"/>
      <c r="D234" s="1795">
        <v>57997</v>
      </c>
      <c r="E234" s="1796">
        <v>57997</v>
      </c>
      <c r="F234" s="95"/>
      <c r="G234" s="1797"/>
    </row>
    <row r="235" spans="1:9" hidden="1">
      <c r="A235" s="1792" t="s">
        <v>3314</v>
      </c>
      <c r="B235" s="1793"/>
      <c r="C235" s="1797"/>
      <c r="D235" s="1795">
        <v>1258395</v>
      </c>
      <c r="E235" s="1796">
        <v>1437576</v>
      </c>
      <c r="F235" s="95"/>
      <c r="G235" s="1794">
        <v>179181</v>
      </c>
      <c r="H235">
        <v>6</v>
      </c>
      <c r="I235" t="s">
        <v>1358</v>
      </c>
    </row>
    <row r="236" spans="1:9" hidden="1">
      <c r="A236" s="1792" t="s">
        <v>3315</v>
      </c>
      <c r="B236" s="1793"/>
      <c r="C236" s="1797"/>
      <c r="D236" s="1795">
        <v>473690</v>
      </c>
      <c r="E236" s="1796">
        <v>656665</v>
      </c>
      <c r="F236" s="95"/>
      <c r="G236" s="1794">
        <v>182975</v>
      </c>
      <c r="H236">
        <v>6</v>
      </c>
      <c r="I236" t="s">
        <v>1358</v>
      </c>
    </row>
    <row r="237" spans="1:9" hidden="1">
      <c r="A237" s="1786" t="s">
        <v>3316</v>
      </c>
      <c r="B237" s="1793"/>
      <c r="C237" s="1797"/>
      <c r="D237" s="1795">
        <v>40000</v>
      </c>
      <c r="E237" s="1796">
        <v>40000</v>
      </c>
      <c r="F237" s="95"/>
      <c r="G237" s="1797"/>
    </row>
    <row r="238" spans="1:9" hidden="1">
      <c r="A238" s="1792" t="s">
        <v>608</v>
      </c>
      <c r="B238" s="1793"/>
      <c r="C238" s="1797"/>
      <c r="D238" s="1795">
        <v>46846</v>
      </c>
      <c r="E238" s="1796">
        <v>46846</v>
      </c>
      <c r="F238" s="95"/>
      <c r="G238" s="1797"/>
    </row>
    <row r="239" spans="1:9" hidden="1">
      <c r="A239" s="1792" t="s">
        <v>2572</v>
      </c>
      <c r="B239" s="1793"/>
      <c r="C239" s="1797"/>
      <c r="D239" s="1795">
        <v>757880</v>
      </c>
      <c r="E239" s="1796">
        <v>757880</v>
      </c>
      <c r="F239" s="95"/>
      <c r="G239" s="1797"/>
    </row>
    <row r="240" spans="1:9" hidden="1">
      <c r="A240" s="1792" t="s">
        <v>2273</v>
      </c>
      <c r="B240" s="1793"/>
      <c r="C240" s="1797"/>
      <c r="D240" s="1795">
        <v>546762</v>
      </c>
      <c r="E240" s="1796">
        <v>546762</v>
      </c>
      <c r="F240" s="95"/>
      <c r="G240" s="1797"/>
    </row>
    <row r="241" spans="1:9" hidden="1">
      <c r="A241" s="1789" t="s">
        <v>1284</v>
      </c>
      <c r="B241" s="1780">
        <v>2914138.82</v>
      </c>
      <c r="C241" s="1781">
        <v>1478478.99</v>
      </c>
      <c r="D241" s="1780">
        <v>51941090.609999999</v>
      </c>
      <c r="E241" s="1781">
        <v>52469883.619999997</v>
      </c>
      <c r="F241" s="106">
        <v>2000285.82</v>
      </c>
      <c r="G241" s="1781">
        <v>1093419</v>
      </c>
    </row>
    <row r="242" spans="1:9" hidden="1">
      <c r="A242" s="1792" t="s">
        <v>3317</v>
      </c>
      <c r="B242" s="1773"/>
      <c r="C242" s="1804"/>
      <c r="D242" s="1802">
        <v>61500</v>
      </c>
      <c r="E242" s="1803">
        <v>71724</v>
      </c>
      <c r="F242" s="1777"/>
      <c r="G242" s="1774">
        <v>10224</v>
      </c>
      <c r="H242">
        <v>6</v>
      </c>
      <c r="I242" t="s">
        <v>1358</v>
      </c>
    </row>
    <row r="243" spans="1:9" hidden="1">
      <c r="A243" s="1786" t="s">
        <v>1420</v>
      </c>
      <c r="B243" s="1793"/>
      <c r="C243" s="1797"/>
      <c r="D243" s="1795">
        <v>103650</v>
      </c>
      <c r="E243" s="1799"/>
      <c r="F243" s="112">
        <v>103650</v>
      </c>
      <c r="G243" s="1797"/>
      <c r="H243">
        <v>17</v>
      </c>
      <c r="I243" t="s">
        <v>1120</v>
      </c>
    </row>
    <row r="244" spans="1:9" hidden="1">
      <c r="A244" s="1786" t="s">
        <v>1421</v>
      </c>
      <c r="B244" s="1798">
        <v>61187</v>
      </c>
      <c r="C244" s="1797"/>
      <c r="D244" s="1795">
        <v>591692</v>
      </c>
      <c r="E244" s="1796">
        <v>662577</v>
      </c>
      <c r="F244" s="95"/>
      <c r="G244" s="1794">
        <v>9698</v>
      </c>
      <c r="H244">
        <v>6</v>
      </c>
      <c r="I244" t="s">
        <v>1358</v>
      </c>
    </row>
    <row r="245" spans="1:9" hidden="1">
      <c r="A245" s="1792" t="s">
        <v>2575</v>
      </c>
      <c r="B245" s="1793"/>
      <c r="C245" s="1794">
        <v>8137</v>
      </c>
      <c r="D245" s="1795">
        <v>8137</v>
      </c>
      <c r="E245" s="1799"/>
      <c r="F245" s="95"/>
      <c r="G245" s="1797"/>
    </row>
    <row r="246" spans="1:9" hidden="1">
      <c r="A246" s="1792" t="s">
        <v>1805</v>
      </c>
      <c r="B246" s="1793"/>
      <c r="C246" s="1794">
        <v>26927</v>
      </c>
      <c r="D246" s="1795">
        <v>26927</v>
      </c>
      <c r="E246" s="1799"/>
      <c r="F246" s="95"/>
      <c r="G246" s="1797"/>
    </row>
    <row r="247" spans="1:9" hidden="1">
      <c r="A247" s="1792" t="s">
        <v>3318</v>
      </c>
      <c r="B247" s="1793"/>
      <c r="C247" s="1797"/>
      <c r="D247" s="1795">
        <v>1668</v>
      </c>
      <c r="E247" s="1796">
        <v>1668</v>
      </c>
      <c r="F247" s="95"/>
      <c r="G247" s="1797"/>
    </row>
    <row r="248" spans="1:9" hidden="1">
      <c r="A248" s="1792" t="s">
        <v>1700</v>
      </c>
      <c r="B248" s="1798">
        <v>267557</v>
      </c>
      <c r="C248" s="1797"/>
      <c r="D248" s="1795">
        <v>1872536</v>
      </c>
      <c r="E248" s="1796">
        <v>2045412</v>
      </c>
      <c r="F248" s="112">
        <v>94681</v>
      </c>
      <c r="G248" s="1797"/>
      <c r="H248">
        <v>17</v>
      </c>
      <c r="I248" t="s">
        <v>1120</v>
      </c>
    </row>
    <row r="249" spans="1:9" hidden="1">
      <c r="A249" s="1786" t="s">
        <v>2672</v>
      </c>
      <c r="B249" s="1798">
        <v>10789</v>
      </c>
      <c r="C249" s="1797"/>
      <c r="D249" s="1795">
        <v>201158</v>
      </c>
      <c r="E249" s="1796">
        <v>211947</v>
      </c>
      <c r="F249" s="95"/>
      <c r="G249" s="1797"/>
    </row>
    <row r="250" spans="1:9" hidden="1">
      <c r="A250" s="1792" t="s">
        <v>617</v>
      </c>
      <c r="B250" s="1798">
        <v>252828</v>
      </c>
      <c r="C250" s="1797"/>
      <c r="D250" s="1805"/>
      <c r="E250" s="1799"/>
      <c r="F250" s="112">
        <v>252828</v>
      </c>
      <c r="G250" s="1797"/>
      <c r="H250">
        <v>17</v>
      </c>
      <c r="I250" t="s">
        <v>1120</v>
      </c>
    </row>
    <row r="251" spans="1:9" hidden="1">
      <c r="A251" s="1786" t="s">
        <v>2282</v>
      </c>
      <c r="B251" s="1793"/>
      <c r="C251" s="1794">
        <v>1946</v>
      </c>
      <c r="D251" s="1795">
        <v>1946</v>
      </c>
      <c r="E251" s="1799"/>
      <c r="F251" s="95"/>
      <c r="G251" s="1797"/>
    </row>
    <row r="252" spans="1:9" hidden="1">
      <c r="A252" s="1786" t="s">
        <v>3319</v>
      </c>
      <c r="B252" s="1793"/>
      <c r="C252" s="1797"/>
      <c r="D252" s="1795">
        <v>1223997</v>
      </c>
      <c r="E252" s="1796">
        <v>1561590</v>
      </c>
      <c r="F252" s="95"/>
      <c r="G252" s="1794">
        <v>337593</v>
      </c>
      <c r="H252">
        <v>6</v>
      </c>
      <c r="I252" t="s">
        <v>1358</v>
      </c>
    </row>
    <row r="253" spans="1:9" hidden="1">
      <c r="A253" s="1786" t="s">
        <v>618</v>
      </c>
      <c r="B253" s="1798">
        <v>80942</v>
      </c>
      <c r="C253" s="1797"/>
      <c r="D253" s="1795">
        <v>46131</v>
      </c>
      <c r="E253" s="1796">
        <v>127073</v>
      </c>
      <c r="F253" s="95"/>
      <c r="G253" s="1797"/>
    </row>
    <row r="254" spans="1:9" hidden="1">
      <c r="A254" s="1786" t="s">
        <v>1428</v>
      </c>
      <c r="B254" s="1793"/>
      <c r="C254" s="1797"/>
      <c r="D254" s="1795">
        <v>80500</v>
      </c>
      <c r="E254" s="1796">
        <v>87900</v>
      </c>
      <c r="F254" s="95"/>
      <c r="G254" s="1794">
        <v>7400</v>
      </c>
      <c r="H254">
        <v>6</v>
      </c>
      <c r="I254" t="s">
        <v>1358</v>
      </c>
    </row>
    <row r="255" spans="1:9" hidden="1">
      <c r="A255" s="1786" t="s">
        <v>3320</v>
      </c>
      <c r="B255" s="1793"/>
      <c r="C255" s="1797"/>
      <c r="D255" s="1795">
        <v>6500</v>
      </c>
      <c r="E255" s="1796">
        <v>7935</v>
      </c>
      <c r="F255" s="95"/>
      <c r="G255" s="1794">
        <v>1435</v>
      </c>
      <c r="H255">
        <v>6</v>
      </c>
      <c r="I255" t="s">
        <v>1358</v>
      </c>
    </row>
    <row r="256" spans="1:9" hidden="1">
      <c r="A256" s="1786" t="s">
        <v>621</v>
      </c>
      <c r="B256" s="1793"/>
      <c r="C256" s="1794">
        <v>33170</v>
      </c>
      <c r="D256" s="1795">
        <v>92554</v>
      </c>
      <c r="E256" s="1796">
        <v>59384</v>
      </c>
      <c r="F256" s="95"/>
      <c r="G256" s="1797"/>
    </row>
    <row r="257" spans="1:9" hidden="1">
      <c r="A257" s="1792" t="s">
        <v>3321</v>
      </c>
      <c r="B257" s="1793"/>
      <c r="C257" s="1797"/>
      <c r="D257" s="1795">
        <v>91112</v>
      </c>
      <c r="E257" s="1796">
        <v>91112</v>
      </c>
      <c r="F257" s="95"/>
      <c r="G257" s="1797"/>
    </row>
    <row r="258" spans="1:9" hidden="1">
      <c r="A258" s="1792" t="s">
        <v>2284</v>
      </c>
      <c r="B258" s="1793"/>
      <c r="C258" s="1794">
        <v>1366</v>
      </c>
      <c r="D258" s="1795">
        <v>1366</v>
      </c>
      <c r="E258" s="1799"/>
      <c r="F258" s="95"/>
      <c r="G258" s="1797"/>
    </row>
    <row r="259" spans="1:9" hidden="1">
      <c r="A259" s="1792" t="s">
        <v>3322</v>
      </c>
      <c r="B259" s="1793"/>
      <c r="C259" s="1797"/>
      <c r="D259" s="1795">
        <v>17032</v>
      </c>
      <c r="E259" s="1796">
        <v>17032</v>
      </c>
      <c r="F259" s="95"/>
      <c r="G259" s="1797"/>
    </row>
    <row r="260" spans="1:9" hidden="1">
      <c r="A260" s="1786" t="s">
        <v>2673</v>
      </c>
      <c r="B260" s="1798">
        <v>165350</v>
      </c>
      <c r="C260" s="1797"/>
      <c r="D260" s="1795">
        <v>328123</v>
      </c>
      <c r="E260" s="1796">
        <v>493473</v>
      </c>
      <c r="F260" s="95"/>
      <c r="G260" s="1797"/>
    </row>
    <row r="261" spans="1:9" hidden="1">
      <c r="A261" s="1786" t="s">
        <v>1281</v>
      </c>
      <c r="B261" s="1793"/>
      <c r="C261" s="1794">
        <v>5785</v>
      </c>
      <c r="D261" s="1795">
        <v>5785</v>
      </c>
      <c r="E261" s="1799"/>
      <c r="F261" s="95"/>
      <c r="G261" s="1797"/>
    </row>
    <row r="262" spans="1:9" hidden="1">
      <c r="A262" s="1801" t="s">
        <v>2288</v>
      </c>
      <c r="B262" s="1798">
        <v>45998</v>
      </c>
      <c r="C262" s="1797"/>
      <c r="D262" s="1805"/>
      <c r="E262" s="1796">
        <v>45998</v>
      </c>
      <c r="F262" s="95"/>
      <c r="G262" s="1797"/>
    </row>
    <row r="263" spans="1:9" hidden="1">
      <c r="A263" s="1792" t="s">
        <v>632</v>
      </c>
      <c r="B263" s="1798">
        <v>23456</v>
      </c>
      <c r="C263" s="1797"/>
      <c r="D263" s="1795">
        <v>762780</v>
      </c>
      <c r="E263" s="1796">
        <v>786236</v>
      </c>
      <c r="F263" s="95"/>
      <c r="G263" s="1797"/>
    </row>
    <row r="264" spans="1:9" hidden="1">
      <c r="A264" s="1792" t="s">
        <v>2674</v>
      </c>
      <c r="B264" s="1793"/>
      <c r="C264" s="1794">
        <v>7496</v>
      </c>
      <c r="D264" s="1795">
        <v>7496</v>
      </c>
      <c r="E264" s="1799"/>
      <c r="F264" s="95"/>
      <c r="G264" s="1797"/>
    </row>
    <row r="265" spans="1:9" hidden="1">
      <c r="A265" s="1786" t="s">
        <v>2578</v>
      </c>
      <c r="B265" s="1793"/>
      <c r="C265" s="1794">
        <v>141067</v>
      </c>
      <c r="D265" s="1795">
        <v>4613956</v>
      </c>
      <c r="E265" s="1796">
        <v>4475586</v>
      </c>
      <c r="F265" s="95"/>
      <c r="G265" s="1794">
        <v>2697</v>
      </c>
      <c r="H265">
        <v>6</v>
      </c>
      <c r="I265" t="s">
        <v>1358</v>
      </c>
    </row>
    <row r="266" spans="1:9" hidden="1">
      <c r="A266" s="1792" t="s">
        <v>3323</v>
      </c>
      <c r="B266" s="1793"/>
      <c r="C266" s="1797"/>
      <c r="D266" s="1795">
        <v>1700750</v>
      </c>
      <c r="E266" s="1796">
        <v>1495000</v>
      </c>
      <c r="F266" s="112">
        <v>205750</v>
      </c>
      <c r="G266" s="1797"/>
      <c r="H266">
        <v>17</v>
      </c>
      <c r="I266" t="s">
        <v>1120</v>
      </c>
    </row>
    <row r="267" spans="1:9" hidden="1">
      <c r="A267" s="1786" t="s">
        <v>1011</v>
      </c>
      <c r="B267" s="1793"/>
      <c r="C267" s="1794">
        <v>56199</v>
      </c>
      <c r="D267" s="1795">
        <v>56199</v>
      </c>
      <c r="E267" s="1799"/>
      <c r="F267" s="95"/>
      <c r="G267" s="1797"/>
    </row>
    <row r="268" spans="1:9" hidden="1">
      <c r="A268" s="1801" t="s">
        <v>3324</v>
      </c>
      <c r="B268" s="1793"/>
      <c r="C268" s="1797"/>
      <c r="D268" s="1795">
        <v>1128643</v>
      </c>
      <c r="E268" s="1796">
        <v>1068643</v>
      </c>
      <c r="F268" s="112">
        <v>60000</v>
      </c>
      <c r="G268" s="1797"/>
      <c r="H268">
        <v>17</v>
      </c>
      <c r="I268" t="s">
        <v>1120</v>
      </c>
    </row>
    <row r="269" spans="1:9" hidden="1">
      <c r="A269" s="1786" t="s">
        <v>2291</v>
      </c>
      <c r="B269" s="1798">
        <v>8050</v>
      </c>
      <c r="C269" s="1797"/>
      <c r="D269" s="1805"/>
      <c r="E269" s="1796">
        <v>8050</v>
      </c>
      <c r="F269" s="95"/>
      <c r="G269" s="1797"/>
    </row>
    <row r="270" spans="1:9" hidden="1">
      <c r="A270" s="1792" t="s">
        <v>3325</v>
      </c>
      <c r="B270" s="1793"/>
      <c r="C270" s="1797"/>
      <c r="D270" s="1795">
        <v>70000</v>
      </c>
      <c r="E270" s="1796">
        <v>82600</v>
      </c>
      <c r="F270" s="95"/>
      <c r="G270" s="1794">
        <v>12600</v>
      </c>
      <c r="H270">
        <v>6</v>
      </c>
      <c r="I270" t="s">
        <v>1358</v>
      </c>
    </row>
    <row r="271" spans="1:9" hidden="1">
      <c r="A271" s="1792" t="s">
        <v>2292</v>
      </c>
      <c r="B271" s="1793"/>
      <c r="C271" s="1794">
        <v>9757</v>
      </c>
      <c r="D271" s="1795">
        <v>223377</v>
      </c>
      <c r="E271" s="1796">
        <v>233120</v>
      </c>
      <c r="F271" s="95"/>
      <c r="G271" s="1794">
        <v>19500</v>
      </c>
      <c r="H271">
        <v>6</v>
      </c>
      <c r="I271" t="s">
        <v>1358</v>
      </c>
    </row>
    <row r="272" spans="1:9" hidden="1">
      <c r="A272" s="1792" t="s">
        <v>2293</v>
      </c>
      <c r="B272" s="1793"/>
      <c r="C272" s="1794">
        <v>17535</v>
      </c>
      <c r="D272" s="1795">
        <v>18885</v>
      </c>
      <c r="E272" s="1796">
        <v>1350</v>
      </c>
      <c r="F272" s="95"/>
      <c r="G272" s="1797"/>
    </row>
    <row r="273" spans="1:9" hidden="1">
      <c r="A273" s="1786" t="s">
        <v>635</v>
      </c>
      <c r="B273" s="1793"/>
      <c r="C273" s="1794">
        <v>11684</v>
      </c>
      <c r="D273" s="1795">
        <v>11684</v>
      </c>
      <c r="E273" s="1799"/>
      <c r="F273" s="95"/>
      <c r="G273" s="1797"/>
    </row>
    <row r="274" spans="1:9" hidden="1">
      <c r="A274" s="1792" t="s">
        <v>637</v>
      </c>
      <c r="B274" s="1793"/>
      <c r="C274" s="1797"/>
      <c r="D274" s="1795">
        <v>428698</v>
      </c>
      <c r="E274" s="1796">
        <v>400724</v>
      </c>
      <c r="F274" s="112">
        <v>27974</v>
      </c>
      <c r="G274" s="1797"/>
      <c r="H274">
        <v>17</v>
      </c>
      <c r="I274" t="s">
        <v>1120</v>
      </c>
    </row>
    <row r="275" spans="1:9" hidden="1">
      <c r="A275" s="1792" t="s">
        <v>1440</v>
      </c>
      <c r="B275" s="1798">
        <v>16590</v>
      </c>
      <c r="C275" s="1797"/>
      <c r="D275" s="1805"/>
      <c r="E275" s="1796">
        <v>16590</v>
      </c>
      <c r="F275" s="95"/>
      <c r="G275" s="1797"/>
    </row>
    <row r="276" spans="1:9" hidden="1">
      <c r="A276" s="1786" t="s">
        <v>1976</v>
      </c>
      <c r="B276" s="1798">
        <v>14430</v>
      </c>
      <c r="C276" s="1797"/>
      <c r="D276" s="1795">
        <v>86437</v>
      </c>
      <c r="E276" s="1796">
        <v>100867</v>
      </c>
      <c r="F276" s="95"/>
      <c r="G276" s="1797"/>
    </row>
    <row r="277" spans="1:9" hidden="1">
      <c r="A277" s="1792" t="s">
        <v>3326</v>
      </c>
      <c r="B277" s="1793"/>
      <c r="C277" s="1797"/>
      <c r="D277" s="1795">
        <v>40450</v>
      </c>
      <c r="E277" s="1796">
        <v>40450</v>
      </c>
      <c r="F277" s="95"/>
      <c r="G277" s="1797"/>
    </row>
    <row r="278" spans="1:9" hidden="1">
      <c r="A278" s="1792" t="s">
        <v>3327</v>
      </c>
      <c r="B278" s="1793"/>
      <c r="C278" s="1797"/>
      <c r="D278" s="1795">
        <v>90750</v>
      </c>
      <c r="E278" s="1796">
        <v>90750</v>
      </c>
      <c r="F278" s="95"/>
      <c r="G278" s="1797"/>
    </row>
    <row r="279" spans="1:9" hidden="1">
      <c r="A279" s="1792" t="s">
        <v>3328</v>
      </c>
      <c r="B279" s="1793"/>
      <c r="C279" s="1797"/>
      <c r="D279" s="1805"/>
      <c r="E279" s="1796">
        <v>57000</v>
      </c>
      <c r="F279" s="95"/>
      <c r="G279" s="1794">
        <v>57000</v>
      </c>
      <c r="H279">
        <v>6</v>
      </c>
      <c r="I279" t="s">
        <v>1358</v>
      </c>
    </row>
    <row r="280" spans="1:9" hidden="1">
      <c r="A280" s="1792" t="s">
        <v>645</v>
      </c>
      <c r="B280" s="1793"/>
      <c r="C280" s="1794">
        <v>66526</v>
      </c>
      <c r="D280" s="1795">
        <v>1200351</v>
      </c>
      <c r="E280" s="1796">
        <v>1147394</v>
      </c>
      <c r="F280" s="95"/>
      <c r="G280" s="1794">
        <v>13569</v>
      </c>
      <c r="H280">
        <v>6</v>
      </c>
      <c r="I280" t="s">
        <v>1358</v>
      </c>
    </row>
    <row r="281" spans="1:9" hidden="1">
      <c r="A281" s="1792" t="s">
        <v>3329</v>
      </c>
      <c r="B281" s="1793"/>
      <c r="C281" s="1797"/>
      <c r="D281" s="1795">
        <v>103500</v>
      </c>
      <c r="E281" s="1796">
        <v>103500</v>
      </c>
      <c r="F281" s="95"/>
      <c r="G281" s="1797"/>
    </row>
    <row r="282" spans="1:9" hidden="1">
      <c r="A282" s="1792" t="s">
        <v>649</v>
      </c>
      <c r="B282" s="1793"/>
      <c r="C282" s="1794">
        <v>140823</v>
      </c>
      <c r="D282" s="1795">
        <v>188869</v>
      </c>
      <c r="E282" s="1796">
        <v>48046</v>
      </c>
      <c r="F282" s="95"/>
      <c r="G282" s="1797"/>
    </row>
    <row r="283" spans="1:9" hidden="1">
      <c r="A283" s="1792" t="s">
        <v>2579</v>
      </c>
      <c r="B283" s="1793"/>
      <c r="C283" s="1794">
        <v>115621</v>
      </c>
      <c r="D283" s="1795">
        <v>201201</v>
      </c>
      <c r="E283" s="1796">
        <v>85580</v>
      </c>
      <c r="F283" s="95"/>
      <c r="G283" s="1797"/>
    </row>
    <row r="284" spans="1:9" hidden="1">
      <c r="A284" s="1786" t="s">
        <v>650</v>
      </c>
      <c r="B284" s="1793"/>
      <c r="C284" s="1794">
        <v>146710</v>
      </c>
      <c r="D284" s="1795">
        <v>146710</v>
      </c>
      <c r="E284" s="1799"/>
      <c r="F284" s="95"/>
      <c r="G284" s="1797"/>
    </row>
    <row r="285" spans="1:9" hidden="1">
      <c r="A285" s="1792" t="s">
        <v>2580</v>
      </c>
      <c r="B285" s="1798">
        <v>10000</v>
      </c>
      <c r="C285" s="1797"/>
      <c r="D285" s="1795">
        <v>40200</v>
      </c>
      <c r="E285" s="1796">
        <v>50200</v>
      </c>
      <c r="F285" s="95"/>
      <c r="G285" s="1797"/>
    </row>
    <row r="286" spans="1:9" hidden="1">
      <c r="A286" s="1792" t="s">
        <v>2012</v>
      </c>
      <c r="B286" s="1793"/>
      <c r="C286" s="1797"/>
      <c r="D286" s="1795">
        <v>150000</v>
      </c>
      <c r="E286" s="1796">
        <v>150000</v>
      </c>
      <c r="F286" s="95"/>
      <c r="G286" s="1797"/>
    </row>
    <row r="287" spans="1:9" hidden="1">
      <c r="A287" s="1786" t="s">
        <v>2581</v>
      </c>
      <c r="B287" s="1793"/>
      <c r="C287" s="1794">
        <v>33132</v>
      </c>
      <c r="D287" s="1795">
        <v>1905600</v>
      </c>
      <c r="E287" s="1796">
        <v>1998857</v>
      </c>
      <c r="F287" s="95"/>
      <c r="G287" s="1794">
        <v>126389</v>
      </c>
      <c r="H287">
        <v>6</v>
      </c>
      <c r="I287" t="s">
        <v>1358</v>
      </c>
    </row>
    <row r="288" spans="1:9" hidden="1">
      <c r="A288" s="1792" t="s">
        <v>3330</v>
      </c>
      <c r="B288" s="1793"/>
      <c r="C288" s="1797"/>
      <c r="D288" s="1795">
        <v>3667153</v>
      </c>
      <c r="E288" s="1796">
        <v>3667153</v>
      </c>
      <c r="F288" s="95"/>
      <c r="G288" s="1797"/>
    </row>
    <row r="289" spans="1:9" hidden="1">
      <c r="A289" s="1792" t="s">
        <v>3331</v>
      </c>
      <c r="B289" s="1793"/>
      <c r="C289" s="1797"/>
      <c r="D289" s="1795">
        <v>505228</v>
      </c>
      <c r="E289" s="1796">
        <v>529113</v>
      </c>
      <c r="F289" s="95"/>
      <c r="G289" s="1794">
        <v>23885</v>
      </c>
      <c r="H289">
        <v>6</v>
      </c>
      <c r="I289" t="s">
        <v>1358</v>
      </c>
    </row>
    <row r="290" spans="1:9" hidden="1">
      <c r="A290" s="1792" t="s">
        <v>1442</v>
      </c>
      <c r="B290" s="1798">
        <v>2420</v>
      </c>
      <c r="C290" s="1797"/>
      <c r="D290" s="1805"/>
      <c r="E290" s="1796">
        <v>2420</v>
      </c>
      <c r="F290" s="95"/>
      <c r="G290" s="1797"/>
    </row>
    <row r="291" spans="1:9" hidden="1">
      <c r="A291" s="1792" t="s">
        <v>2582</v>
      </c>
      <c r="B291" s="1793"/>
      <c r="C291" s="1794">
        <v>345</v>
      </c>
      <c r="D291" s="1795">
        <v>345</v>
      </c>
      <c r="E291" s="1799"/>
      <c r="F291" s="95"/>
      <c r="G291" s="1797"/>
    </row>
    <row r="292" spans="1:9" hidden="1">
      <c r="A292" s="1792" t="s">
        <v>1017</v>
      </c>
      <c r="B292" s="1793"/>
      <c r="C292" s="1794">
        <v>55169</v>
      </c>
      <c r="D292" s="1795">
        <v>55169</v>
      </c>
      <c r="E292" s="1799"/>
      <c r="F292" s="95"/>
      <c r="G292" s="1797"/>
    </row>
    <row r="293" spans="1:9" hidden="1">
      <c r="A293" s="1792" t="s">
        <v>1703</v>
      </c>
      <c r="B293" s="1798">
        <v>66842</v>
      </c>
      <c r="C293" s="1797"/>
      <c r="D293" s="1795">
        <v>2061313</v>
      </c>
      <c r="E293" s="1796">
        <v>2173313</v>
      </c>
      <c r="F293" s="95"/>
      <c r="G293" s="1794">
        <v>45158</v>
      </c>
      <c r="H293">
        <v>6</v>
      </c>
      <c r="I293" t="s">
        <v>1358</v>
      </c>
    </row>
    <row r="294" spans="1:9" hidden="1">
      <c r="A294" s="1792" t="s">
        <v>2296</v>
      </c>
      <c r="B294" s="1793"/>
      <c r="C294" s="1794">
        <v>600</v>
      </c>
      <c r="D294" s="1795">
        <v>190363</v>
      </c>
      <c r="E294" s="1796">
        <v>189763</v>
      </c>
      <c r="F294" s="95"/>
      <c r="G294" s="1797"/>
    </row>
    <row r="295" spans="1:9" hidden="1">
      <c r="A295" s="1786" t="s">
        <v>2297</v>
      </c>
      <c r="B295" s="1798">
        <v>6000</v>
      </c>
      <c r="C295" s="1797"/>
      <c r="D295" s="1805"/>
      <c r="E295" s="1796">
        <v>6000</v>
      </c>
      <c r="F295" s="95"/>
      <c r="G295" s="1797"/>
    </row>
    <row r="296" spans="1:9" hidden="1">
      <c r="A296" s="1786" t="s">
        <v>656</v>
      </c>
      <c r="B296" s="1798">
        <v>12679</v>
      </c>
      <c r="C296" s="1797"/>
      <c r="D296" s="1805"/>
      <c r="E296" s="1796">
        <v>12679</v>
      </c>
      <c r="F296" s="95"/>
      <c r="G296" s="1797"/>
    </row>
    <row r="297" spans="1:9" hidden="1">
      <c r="A297" s="1792" t="s">
        <v>3332</v>
      </c>
      <c r="B297" s="1793"/>
      <c r="C297" s="1797"/>
      <c r="D297" s="1795">
        <v>30000</v>
      </c>
      <c r="E297" s="1796">
        <v>30000</v>
      </c>
      <c r="F297" s="95"/>
      <c r="G297" s="1797"/>
    </row>
    <row r="298" spans="1:9" hidden="1">
      <c r="A298" s="1792" t="s">
        <v>3333</v>
      </c>
      <c r="B298" s="1793"/>
      <c r="C298" s="1797"/>
      <c r="D298" s="1795">
        <v>514199</v>
      </c>
      <c r="E298" s="1796">
        <v>249836</v>
      </c>
      <c r="F298" s="112">
        <v>264363</v>
      </c>
      <c r="G298" s="1797"/>
      <c r="H298">
        <v>17</v>
      </c>
      <c r="I298" t="s">
        <v>1120</v>
      </c>
    </row>
    <row r="299" spans="1:9" hidden="1">
      <c r="A299" s="1792" t="s">
        <v>3334</v>
      </c>
      <c r="B299" s="1793"/>
      <c r="C299" s="1797"/>
      <c r="D299" s="1795">
        <v>7984372</v>
      </c>
      <c r="E299" s="1796">
        <v>7984372</v>
      </c>
      <c r="F299" s="95"/>
      <c r="G299" s="1797"/>
    </row>
    <row r="300" spans="1:9" hidden="1">
      <c r="A300" s="1792" t="s">
        <v>3335</v>
      </c>
      <c r="B300" s="1793"/>
      <c r="C300" s="1797"/>
      <c r="D300" s="1795">
        <v>1378650</v>
      </c>
      <c r="E300" s="1796">
        <v>1004983</v>
      </c>
      <c r="F300" s="112">
        <v>373667</v>
      </c>
      <c r="G300" s="1797"/>
      <c r="H300">
        <v>17</v>
      </c>
      <c r="I300" t="s">
        <v>1120</v>
      </c>
    </row>
    <row r="301" spans="1:9" hidden="1">
      <c r="A301" s="1792" t="s">
        <v>2298</v>
      </c>
      <c r="B301" s="1798">
        <v>464652</v>
      </c>
      <c r="C301" s="1797"/>
      <c r="D301" s="1795">
        <v>42792</v>
      </c>
      <c r="E301" s="1796">
        <v>507444</v>
      </c>
      <c r="F301" s="95"/>
      <c r="G301" s="1797"/>
    </row>
    <row r="302" spans="1:9" hidden="1">
      <c r="A302" s="1792" t="s">
        <v>1980</v>
      </c>
      <c r="B302" s="1798">
        <v>31249</v>
      </c>
      <c r="C302" s="1797"/>
      <c r="D302" s="1805"/>
      <c r="E302" s="1796">
        <v>31249</v>
      </c>
      <c r="F302" s="95"/>
      <c r="G302" s="1797"/>
    </row>
    <row r="303" spans="1:9" hidden="1">
      <c r="A303" s="1792" t="s">
        <v>3336</v>
      </c>
      <c r="B303" s="1793"/>
      <c r="C303" s="1797"/>
      <c r="D303" s="1795">
        <v>112000</v>
      </c>
      <c r="E303" s="1796">
        <v>112000</v>
      </c>
      <c r="F303" s="95"/>
      <c r="G303" s="1797"/>
    </row>
    <row r="304" spans="1:9" hidden="1">
      <c r="A304" s="1786" t="s">
        <v>1176</v>
      </c>
      <c r="B304" s="1793"/>
      <c r="C304" s="1794">
        <v>11194</v>
      </c>
      <c r="D304" s="1795">
        <v>11194</v>
      </c>
      <c r="E304" s="1799"/>
      <c r="F304" s="95"/>
      <c r="G304" s="1797"/>
    </row>
    <row r="305" spans="1:9" hidden="1">
      <c r="A305" s="1792" t="s">
        <v>3337</v>
      </c>
      <c r="B305" s="1793"/>
      <c r="C305" s="1797"/>
      <c r="D305" s="1795">
        <v>22500</v>
      </c>
      <c r="E305" s="1796">
        <v>22500</v>
      </c>
      <c r="F305" s="95"/>
      <c r="G305" s="1797"/>
    </row>
    <row r="306" spans="1:9" hidden="1">
      <c r="A306" s="1786" t="s">
        <v>2675</v>
      </c>
      <c r="B306" s="1798">
        <v>56450</v>
      </c>
      <c r="C306" s="1797"/>
      <c r="D306" s="1795">
        <v>1951</v>
      </c>
      <c r="E306" s="1796">
        <v>58401</v>
      </c>
      <c r="F306" s="95"/>
      <c r="G306" s="1797"/>
    </row>
    <row r="307" spans="1:9" hidden="1">
      <c r="A307" s="1792" t="s">
        <v>665</v>
      </c>
      <c r="B307" s="1793"/>
      <c r="C307" s="1794">
        <v>14739</v>
      </c>
      <c r="D307" s="1795">
        <v>14739</v>
      </c>
      <c r="E307" s="1799"/>
      <c r="F307" s="95"/>
      <c r="G307" s="1797"/>
    </row>
    <row r="308" spans="1:9" hidden="1">
      <c r="A308" s="1792" t="s">
        <v>1706</v>
      </c>
      <c r="B308" s="1798">
        <v>165847.82</v>
      </c>
      <c r="C308" s="1797"/>
      <c r="D308" s="1795">
        <v>5734890.7199999997</v>
      </c>
      <c r="E308" s="1796">
        <v>5866604.7199999997</v>
      </c>
      <c r="F308" s="112">
        <v>34133.82</v>
      </c>
      <c r="G308" s="1797"/>
      <c r="H308">
        <v>17</v>
      </c>
      <c r="I308" t="s">
        <v>1120</v>
      </c>
    </row>
    <row r="309" spans="1:9" hidden="1">
      <c r="A309" s="1792" t="s">
        <v>3338</v>
      </c>
      <c r="B309" s="1793"/>
      <c r="C309" s="1797"/>
      <c r="D309" s="1795">
        <v>28475</v>
      </c>
      <c r="E309" s="1796">
        <v>28475</v>
      </c>
      <c r="F309" s="95"/>
      <c r="G309" s="1797"/>
    </row>
    <row r="310" spans="1:9" hidden="1">
      <c r="A310" s="1792" t="s">
        <v>2586</v>
      </c>
      <c r="B310" s="1793"/>
      <c r="C310" s="1794">
        <v>330</v>
      </c>
      <c r="D310" s="1795">
        <v>330</v>
      </c>
      <c r="E310" s="1799"/>
      <c r="F310" s="95"/>
      <c r="G310" s="1797"/>
    </row>
    <row r="311" spans="1:9" hidden="1">
      <c r="A311" s="1792" t="s">
        <v>667</v>
      </c>
      <c r="B311" s="1793"/>
      <c r="C311" s="1794">
        <v>9859</v>
      </c>
      <c r="D311" s="1795">
        <v>9859</v>
      </c>
      <c r="E311" s="1799"/>
      <c r="F311" s="95"/>
      <c r="G311" s="1797"/>
    </row>
    <row r="312" spans="1:9" hidden="1">
      <c r="A312" s="1801" t="s">
        <v>3339</v>
      </c>
      <c r="B312" s="1793"/>
      <c r="C312" s="1797"/>
      <c r="D312" s="1795">
        <v>29606</v>
      </c>
      <c r="E312" s="1796">
        <v>29606</v>
      </c>
      <c r="F312" s="95"/>
      <c r="G312" s="1797"/>
    </row>
    <row r="313" spans="1:9" hidden="1">
      <c r="A313" s="1792" t="s">
        <v>2587</v>
      </c>
      <c r="B313" s="1793"/>
      <c r="C313" s="1794">
        <v>77049</v>
      </c>
      <c r="D313" s="1795">
        <v>493295</v>
      </c>
      <c r="E313" s="1796">
        <v>449412</v>
      </c>
      <c r="F313" s="95"/>
      <c r="G313" s="1794">
        <v>33166</v>
      </c>
      <c r="H313">
        <v>6</v>
      </c>
      <c r="I313" t="s">
        <v>1358</v>
      </c>
    </row>
    <row r="314" spans="1:9" hidden="1">
      <c r="A314" s="1801" t="s">
        <v>3340</v>
      </c>
      <c r="B314" s="1793"/>
      <c r="C314" s="1797"/>
      <c r="D314" s="1795">
        <v>12606</v>
      </c>
      <c r="E314" s="1796">
        <v>12606</v>
      </c>
      <c r="F314" s="95"/>
      <c r="G314" s="1797"/>
    </row>
    <row r="315" spans="1:9" hidden="1">
      <c r="A315" s="1792" t="s">
        <v>2588</v>
      </c>
      <c r="B315" s="1798">
        <v>13695</v>
      </c>
      <c r="C315" s="1797"/>
      <c r="D315" s="1805"/>
      <c r="E315" s="1796">
        <v>13695</v>
      </c>
      <c r="F315" s="95"/>
      <c r="G315" s="1797"/>
    </row>
    <row r="316" spans="1:9" hidden="1">
      <c r="A316" s="1786" t="s">
        <v>1449</v>
      </c>
      <c r="B316" s="1793"/>
      <c r="C316" s="1794">
        <v>10434</v>
      </c>
      <c r="D316" s="1795">
        <v>31296</v>
      </c>
      <c r="E316" s="1796">
        <v>20862</v>
      </c>
      <c r="F316" s="95"/>
      <c r="G316" s="1797"/>
    </row>
    <row r="317" spans="1:9" hidden="1">
      <c r="A317" s="1792" t="s">
        <v>668</v>
      </c>
      <c r="B317" s="1793"/>
      <c r="C317" s="1794">
        <v>8386</v>
      </c>
      <c r="D317" s="1795">
        <v>8386</v>
      </c>
      <c r="E317" s="1799"/>
      <c r="F317" s="95"/>
      <c r="G317" s="1797"/>
    </row>
    <row r="318" spans="1:9" hidden="1">
      <c r="A318" s="1792" t="s">
        <v>669</v>
      </c>
      <c r="B318" s="1793"/>
      <c r="C318" s="1794">
        <v>28487</v>
      </c>
      <c r="D318" s="1795">
        <v>153325</v>
      </c>
      <c r="E318" s="1796">
        <v>124838</v>
      </c>
      <c r="F318" s="95"/>
      <c r="G318" s="1797"/>
    </row>
    <row r="319" spans="1:9" hidden="1">
      <c r="A319" s="1792" t="s">
        <v>1450</v>
      </c>
      <c r="B319" s="1798">
        <v>101387</v>
      </c>
      <c r="C319" s="1797"/>
      <c r="D319" s="1805"/>
      <c r="E319" s="1796">
        <v>101387</v>
      </c>
      <c r="F319" s="95"/>
      <c r="G319" s="1797"/>
    </row>
    <row r="320" spans="1:9" hidden="1">
      <c r="A320" s="1786" t="s">
        <v>670</v>
      </c>
      <c r="B320" s="1793"/>
      <c r="C320" s="1794">
        <v>37958.89</v>
      </c>
      <c r="D320" s="1795">
        <v>65208.89</v>
      </c>
      <c r="E320" s="1796">
        <v>27250</v>
      </c>
      <c r="F320" s="95"/>
      <c r="G320" s="1797"/>
    </row>
    <row r="321" spans="1:9" hidden="1">
      <c r="A321" s="1792" t="s">
        <v>2302</v>
      </c>
      <c r="B321" s="1798">
        <v>13</v>
      </c>
      <c r="C321" s="1797"/>
      <c r="D321" s="1805"/>
      <c r="E321" s="1796">
        <v>13</v>
      </c>
      <c r="F321" s="95"/>
      <c r="G321" s="1797"/>
    </row>
    <row r="322" spans="1:9" hidden="1">
      <c r="A322" s="1792" t="s">
        <v>2303</v>
      </c>
      <c r="B322" s="1793"/>
      <c r="C322" s="1794">
        <v>26803</v>
      </c>
      <c r="D322" s="1795">
        <v>101803</v>
      </c>
      <c r="E322" s="1796">
        <v>75000</v>
      </c>
      <c r="F322" s="95"/>
      <c r="G322" s="1797"/>
    </row>
    <row r="323" spans="1:9" hidden="1">
      <c r="A323" s="1786" t="s">
        <v>1814</v>
      </c>
      <c r="B323" s="1798">
        <v>14830</v>
      </c>
      <c r="C323" s="1797"/>
      <c r="D323" s="1795">
        <v>4070</v>
      </c>
      <c r="E323" s="1796">
        <v>18900</v>
      </c>
      <c r="F323" s="95"/>
      <c r="G323" s="1797"/>
    </row>
    <row r="324" spans="1:9" hidden="1">
      <c r="A324" s="1786" t="s">
        <v>2304</v>
      </c>
      <c r="B324" s="1793"/>
      <c r="C324" s="1794">
        <v>327</v>
      </c>
      <c r="D324" s="1795">
        <v>327</v>
      </c>
      <c r="E324" s="1799"/>
      <c r="F324" s="95"/>
      <c r="G324" s="1797"/>
    </row>
    <row r="325" spans="1:9" hidden="1">
      <c r="A325" s="1792" t="s">
        <v>3341</v>
      </c>
      <c r="B325" s="1793"/>
      <c r="C325" s="1797"/>
      <c r="D325" s="1795">
        <v>200000</v>
      </c>
      <c r="E325" s="1799"/>
      <c r="F325" s="112">
        <v>200000</v>
      </c>
      <c r="G325" s="1797"/>
      <c r="H325">
        <v>17</v>
      </c>
      <c r="I325" t="s">
        <v>1120</v>
      </c>
    </row>
    <row r="326" spans="1:9" hidden="1">
      <c r="A326" s="1792" t="s">
        <v>3342</v>
      </c>
      <c r="B326" s="1793"/>
      <c r="C326" s="1797"/>
      <c r="D326" s="1795">
        <v>126000</v>
      </c>
      <c r="E326" s="1796">
        <v>150275</v>
      </c>
      <c r="F326" s="95"/>
      <c r="G326" s="1794">
        <v>24275</v>
      </c>
      <c r="H326">
        <v>6</v>
      </c>
      <c r="I326" t="s">
        <v>1358</v>
      </c>
    </row>
    <row r="327" spans="1:9" hidden="1">
      <c r="A327" s="1786" t="s">
        <v>673</v>
      </c>
      <c r="B327" s="1798">
        <v>500</v>
      </c>
      <c r="C327" s="1797"/>
      <c r="D327" s="1805"/>
      <c r="E327" s="1796">
        <v>500</v>
      </c>
      <c r="F327" s="95"/>
      <c r="G327" s="1797"/>
    </row>
    <row r="328" spans="1:9" hidden="1">
      <c r="A328" s="1792" t="s">
        <v>1025</v>
      </c>
      <c r="B328" s="1798">
        <v>65161</v>
      </c>
      <c r="C328" s="1797"/>
      <c r="D328" s="1795">
        <v>2507578</v>
      </c>
      <c r="E328" s="1796">
        <v>2812335</v>
      </c>
      <c r="F328" s="95"/>
      <c r="G328" s="1794">
        <v>239596</v>
      </c>
      <c r="H328">
        <v>6</v>
      </c>
      <c r="I328" t="s">
        <v>1358</v>
      </c>
    </row>
    <row r="329" spans="1:9" hidden="1">
      <c r="A329" s="1792" t="s">
        <v>3343</v>
      </c>
      <c r="B329" s="1793"/>
      <c r="C329" s="1797"/>
      <c r="D329" s="1795">
        <v>493800</v>
      </c>
      <c r="E329" s="1796">
        <v>498486</v>
      </c>
      <c r="F329" s="95"/>
      <c r="G329" s="1794">
        <v>4686</v>
      </c>
      <c r="H329">
        <v>6</v>
      </c>
      <c r="I329" t="s">
        <v>1358</v>
      </c>
    </row>
    <row r="330" spans="1:9" hidden="1">
      <c r="A330" s="1792" t="s">
        <v>1455</v>
      </c>
      <c r="B330" s="1798">
        <v>142092</v>
      </c>
      <c r="C330" s="1797"/>
      <c r="D330" s="1795">
        <v>49465</v>
      </c>
      <c r="E330" s="1796">
        <v>191557</v>
      </c>
      <c r="F330" s="95"/>
      <c r="G330" s="1797"/>
    </row>
    <row r="331" spans="1:9" hidden="1">
      <c r="A331" s="1786" t="s">
        <v>1815</v>
      </c>
      <c r="B331" s="1793"/>
      <c r="C331" s="1794">
        <v>1200</v>
      </c>
      <c r="D331" s="1795">
        <v>1200</v>
      </c>
      <c r="E331" s="1799"/>
      <c r="F331" s="95"/>
      <c r="G331" s="1797"/>
    </row>
    <row r="332" spans="1:9" hidden="1">
      <c r="A332" s="1786" t="s">
        <v>677</v>
      </c>
      <c r="B332" s="1798">
        <v>65087</v>
      </c>
      <c r="C332" s="1797"/>
      <c r="D332" s="1805"/>
      <c r="E332" s="1796">
        <v>65087</v>
      </c>
      <c r="F332" s="95"/>
      <c r="G332" s="1797"/>
    </row>
    <row r="333" spans="1:9" hidden="1">
      <c r="A333" s="1786" t="s">
        <v>2306</v>
      </c>
      <c r="B333" s="1793"/>
      <c r="C333" s="1794">
        <v>3150</v>
      </c>
      <c r="D333" s="1795">
        <v>3150</v>
      </c>
      <c r="E333" s="1799"/>
      <c r="F333" s="95"/>
      <c r="G333" s="1797"/>
    </row>
    <row r="334" spans="1:9" hidden="1">
      <c r="A334" s="1792" t="s">
        <v>1816</v>
      </c>
      <c r="B334" s="1798">
        <v>22180</v>
      </c>
      <c r="C334" s="1797"/>
      <c r="D334" s="1805"/>
      <c r="E334" s="1796">
        <v>22180</v>
      </c>
      <c r="F334" s="95"/>
      <c r="G334" s="1797"/>
    </row>
    <row r="335" spans="1:9" hidden="1">
      <c r="A335" s="1792" t="s">
        <v>2307</v>
      </c>
      <c r="B335" s="1793"/>
      <c r="C335" s="1794">
        <v>49415</v>
      </c>
      <c r="D335" s="1795">
        <v>49415</v>
      </c>
      <c r="E335" s="1799"/>
      <c r="F335" s="95"/>
      <c r="G335" s="1797"/>
    </row>
    <row r="336" spans="1:9" hidden="1">
      <c r="A336" s="1792" t="s">
        <v>1817</v>
      </c>
      <c r="B336" s="1798">
        <v>146287</v>
      </c>
      <c r="C336" s="1797"/>
      <c r="D336" s="1795">
        <v>261350</v>
      </c>
      <c r="E336" s="1796">
        <v>431537</v>
      </c>
      <c r="F336" s="95"/>
      <c r="G336" s="1794">
        <v>23900</v>
      </c>
      <c r="H336">
        <v>6</v>
      </c>
      <c r="I336" t="s">
        <v>1358</v>
      </c>
    </row>
    <row r="337" spans="1:9" hidden="1">
      <c r="A337" s="1792" t="s">
        <v>1027</v>
      </c>
      <c r="B337" s="1793"/>
      <c r="C337" s="1794">
        <v>9225</v>
      </c>
      <c r="D337" s="1795">
        <v>9225</v>
      </c>
      <c r="E337" s="1799"/>
      <c r="F337" s="95"/>
      <c r="G337" s="1797"/>
    </row>
    <row r="338" spans="1:9" hidden="1">
      <c r="A338" s="1792" t="s">
        <v>1712</v>
      </c>
      <c r="B338" s="1793"/>
      <c r="C338" s="1794">
        <v>99751.1</v>
      </c>
      <c r="D338" s="1795">
        <v>900657</v>
      </c>
      <c r="E338" s="1796">
        <v>800905.9</v>
      </c>
      <c r="F338" s="95"/>
      <c r="G338" s="1797"/>
    </row>
    <row r="339" spans="1:9" hidden="1">
      <c r="A339" s="1792" t="s">
        <v>3344</v>
      </c>
      <c r="B339" s="1793"/>
      <c r="C339" s="1797"/>
      <c r="D339" s="1795">
        <v>100000</v>
      </c>
      <c r="E339" s="1796">
        <v>100000</v>
      </c>
      <c r="F339" s="95"/>
      <c r="G339" s="1797"/>
    </row>
    <row r="340" spans="1:9" hidden="1">
      <c r="A340" s="1792" t="s">
        <v>3345</v>
      </c>
      <c r="B340" s="1793"/>
      <c r="C340" s="1797"/>
      <c r="D340" s="1795">
        <v>449046</v>
      </c>
      <c r="E340" s="1796">
        <v>479825</v>
      </c>
      <c r="F340" s="95"/>
      <c r="G340" s="1794">
        <v>30779</v>
      </c>
      <c r="H340">
        <v>6</v>
      </c>
      <c r="I340" t="s">
        <v>1358</v>
      </c>
    </row>
    <row r="341" spans="1:9" hidden="1">
      <c r="A341" s="1786" t="s">
        <v>685</v>
      </c>
      <c r="B341" s="1798">
        <v>290000</v>
      </c>
      <c r="C341" s="1797"/>
      <c r="D341" s="1795">
        <v>476000</v>
      </c>
      <c r="E341" s="1796">
        <v>475000</v>
      </c>
      <c r="F341" s="112">
        <v>291000</v>
      </c>
      <c r="G341" s="1797"/>
      <c r="H341">
        <v>17</v>
      </c>
      <c r="I341" t="s">
        <v>1120</v>
      </c>
    </row>
    <row r="342" spans="1:9" hidden="1">
      <c r="A342" s="1786" t="s">
        <v>1819</v>
      </c>
      <c r="B342" s="1793"/>
      <c r="C342" s="1794">
        <v>6465</v>
      </c>
      <c r="D342" s="1795">
        <v>6465</v>
      </c>
      <c r="E342" s="1799"/>
      <c r="F342" s="95"/>
      <c r="G342" s="1797"/>
    </row>
    <row r="343" spans="1:9" hidden="1">
      <c r="A343" s="1792" t="s">
        <v>2311</v>
      </c>
      <c r="B343" s="1793"/>
      <c r="C343" s="1794">
        <v>9260</v>
      </c>
      <c r="D343" s="1795">
        <v>461302</v>
      </c>
      <c r="E343" s="1796">
        <v>452042</v>
      </c>
      <c r="F343" s="95"/>
      <c r="G343" s="1797"/>
    </row>
    <row r="344" spans="1:9" hidden="1">
      <c r="A344" s="1801" t="s">
        <v>3346</v>
      </c>
      <c r="B344" s="1793"/>
      <c r="C344" s="1797"/>
      <c r="D344" s="1795">
        <v>300000</v>
      </c>
      <c r="E344" s="1796">
        <v>340000</v>
      </c>
      <c r="F344" s="95"/>
      <c r="G344" s="1794">
        <v>40000</v>
      </c>
      <c r="H344">
        <v>6</v>
      </c>
      <c r="I344" t="s">
        <v>1358</v>
      </c>
    </row>
    <row r="345" spans="1:9" hidden="1">
      <c r="A345" s="1792" t="s">
        <v>2590</v>
      </c>
      <c r="B345" s="1793"/>
      <c r="C345" s="1794">
        <v>39320</v>
      </c>
      <c r="D345" s="1795">
        <v>39320</v>
      </c>
      <c r="E345" s="1799"/>
      <c r="F345" s="95"/>
      <c r="G345" s="1797"/>
    </row>
    <row r="346" spans="1:9" hidden="1">
      <c r="A346" s="1792" t="s">
        <v>3347</v>
      </c>
      <c r="B346" s="1793"/>
      <c r="C346" s="1797"/>
      <c r="D346" s="1795">
        <v>457240</v>
      </c>
      <c r="E346" s="1796">
        <v>457240</v>
      </c>
      <c r="F346" s="95"/>
      <c r="G346" s="1797"/>
    </row>
    <row r="347" spans="1:9" hidden="1">
      <c r="A347" s="1792" t="s">
        <v>1277</v>
      </c>
      <c r="B347" s="1793"/>
      <c r="C347" s="1794">
        <v>4775</v>
      </c>
      <c r="D347" s="1795">
        <v>4775</v>
      </c>
      <c r="E347" s="1799"/>
      <c r="F347" s="95"/>
      <c r="G347" s="1797"/>
    </row>
    <row r="348" spans="1:9" hidden="1">
      <c r="A348" s="1792" t="s">
        <v>3348</v>
      </c>
      <c r="B348" s="1793"/>
      <c r="C348" s="1797"/>
      <c r="D348" s="1795">
        <v>526000</v>
      </c>
      <c r="E348" s="1796">
        <v>555869</v>
      </c>
      <c r="F348" s="95"/>
      <c r="G348" s="1794">
        <v>29869</v>
      </c>
      <c r="H348">
        <v>6</v>
      </c>
      <c r="I348" t="s">
        <v>1358</v>
      </c>
    </row>
    <row r="349" spans="1:9" hidden="1">
      <c r="A349" s="1786" t="s">
        <v>1029</v>
      </c>
      <c r="B349" s="1798">
        <v>88265</v>
      </c>
      <c r="C349" s="1797"/>
      <c r="D349" s="1795">
        <v>1355</v>
      </c>
      <c r="E349" s="1796">
        <v>89620</v>
      </c>
      <c r="F349" s="95"/>
      <c r="G349" s="1797"/>
    </row>
    <row r="350" spans="1:9" hidden="1">
      <c r="A350" s="1792" t="s">
        <v>3349</v>
      </c>
      <c r="B350" s="1793"/>
      <c r="C350" s="1797"/>
      <c r="D350" s="1795">
        <v>80198</v>
      </c>
      <c r="E350" s="1796">
        <v>80198</v>
      </c>
      <c r="F350" s="95"/>
      <c r="G350" s="1797"/>
    </row>
    <row r="351" spans="1:9" hidden="1">
      <c r="A351" s="1792" t="s">
        <v>2312</v>
      </c>
      <c r="B351" s="1798">
        <v>28292</v>
      </c>
      <c r="C351" s="1797"/>
      <c r="D351" s="1805"/>
      <c r="E351" s="1796">
        <v>28292</v>
      </c>
      <c r="F351" s="95"/>
      <c r="G351" s="1797"/>
    </row>
    <row r="352" spans="1:9" hidden="1">
      <c r="A352" s="1792" t="s">
        <v>2313</v>
      </c>
      <c r="B352" s="1793"/>
      <c r="C352" s="1794">
        <v>12340</v>
      </c>
      <c r="D352" s="1795">
        <v>12340</v>
      </c>
      <c r="E352" s="1799"/>
      <c r="F352" s="95"/>
      <c r="G352" s="1797"/>
    </row>
    <row r="353" spans="1:9" hidden="1">
      <c r="A353" s="1792" t="s">
        <v>2676</v>
      </c>
      <c r="B353" s="1793"/>
      <c r="C353" s="1794">
        <v>24429</v>
      </c>
      <c r="D353" s="1795">
        <v>24429</v>
      </c>
      <c r="E353" s="1799"/>
      <c r="F353" s="95"/>
      <c r="G353" s="1797"/>
    </row>
    <row r="354" spans="1:9" hidden="1">
      <c r="A354" s="1792" t="s">
        <v>1031</v>
      </c>
      <c r="B354" s="1798">
        <v>63253</v>
      </c>
      <c r="C354" s="1797"/>
      <c r="D354" s="1795">
        <v>1506985</v>
      </c>
      <c r="E354" s="1796">
        <v>1507650</v>
      </c>
      <c r="F354" s="112">
        <v>62588</v>
      </c>
      <c r="G354" s="1797"/>
      <c r="H354">
        <v>17</v>
      </c>
      <c r="I354" t="s">
        <v>1120</v>
      </c>
    </row>
    <row r="355" spans="1:9" hidden="1">
      <c r="A355" s="1792" t="s">
        <v>2592</v>
      </c>
      <c r="B355" s="1793"/>
      <c r="C355" s="1794">
        <v>29202</v>
      </c>
      <c r="D355" s="1795">
        <v>49510</v>
      </c>
      <c r="E355" s="1796">
        <v>20308</v>
      </c>
      <c r="F355" s="95"/>
      <c r="G355" s="1797"/>
    </row>
    <row r="356" spans="1:9" hidden="1">
      <c r="A356" s="1792" t="s">
        <v>695</v>
      </c>
      <c r="B356" s="1793"/>
      <c r="C356" s="1794">
        <v>2450</v>
      </c>
      <c r="D356" s="1795">
        <v>2450</v>
      </c>
      <c r="E356" s="1799"/>
      <c r="F356" s="95"/>
      <c r="G356" s="1797"/>
    </row>
    <row r="357" spans="1:9" hidden="1">
      <c r="A357" s="1792" t="s">
        <v>3350</v>
      </c>
      <c r="B357" s="1793"/>
      <c r="C357" s="1797"/>
      <c r="D357" s="1795">
        <v>12000</v>
      </c>
      <c r="E357" s="1796">
        <v>12000</v>
      </c>
      <c r="F357" s="95"/>
      <c r="G357" s="1797"/>
    </row>
    <row r="358" spans="1:9" hidden="1">
      <c r="A358" s="1792" t="s">
        <v>2314</v>
      </c>
      <c r="B358" s="1793"/>
      <c r="C358" s="1794">
        <v>20227</v>
      </c>
      <c r="D358" s="1795">
        <v>20227</v>
      </c>
      <c r="E358" s="1799"/>
      <c r="F358" s="95"/>
      <c r="G358" s="1797"/>
    </row>
    <row r="359" spans="1:9" hidden="1">
      <c r="A359" s="1792" t="s">
        <v>696</v>
      </c>
      <c r="B359" s="1793"/>
      <c r="C359" s="1794">
        <v>11035</v>
      </c>
      <c r="D359" s="1795">
        <v>11035</v>
      </c>
      <c r="E359" s="1799"/>
      <c r="F359" s="95"/>
      <c r="G359" s="1797"/>
    </row>
    <row r="360" spans="1:9" hidden="1">
      <c r="A360" s="1792" t="s">
        <v>1822</v>
      </c>
      <c r="B360" s="1798">
        <v>5050</v>
      </c>
      <c r="C360" s="1797"/>
      <c r="D360" s="1795">
        <v>1450</v>
      </c>
      <c r="E360" s="1796">
        <v>6500</v>
      </c>
      <c r="F360" s="95"/>
      <c r="G360" s="1797"/>
    </row>
    <row r="361" spans="1:9" hidden="1">
      <c r="A361" s="1792" t="s">
        <v>1467</v>
      </c>
      <c r="B361" s="1793"/>
      <c r="C361" s="1794">
        <v>2090</v>
      </c>
      <c r="D361" s="1795">
        <v>2090</v>
      </c>
      <c r="E361" s="1799"/>
      <c r="F361" s="95"/>
      <c r="G361" s="1797"/>
    </row>
    <row r="362" spans="1:9" hidden="1">
      <c r="A362" s="1792" t="s">
        <v>1992</v>
      </c>
      <c r="B362" s="1793"/>
      <c r="C362" s="1794">
        <v>1600</v>
      </c>
      <c r="D362" s="1795">
        <v>1600</v>
      </c>
      <c r="E362" s="1799"/>
      <c r="F362" s="95"/>
      <c r="G362" s="1797"/>
    </row>
    <row r="363" spans="1:9" hidden="1">
      <c r="A363" s="1792" t="s">
        <v>697</v>
      </c>
      <c r="B363" s="1798">
        <v>29730</v>
      </c>
      <c r="C363" s="1797"/>
      <c r="D363" s="1805"/>
      <c r="E363" s="1796">
        <v>29730</v>
      </c>
      <c r="F363" s="95"/>
      <c r="G363" s="1797"/>
    </row>
    <row r="364" spans="1:9" hidden="1">
      <c r="A364" s="1792" t="s">
        <v>2593</v>
      </c>
      <c r="B364" s="1798">
        <v>75000</v>
      </c>
      <c r="C364" s="1797"/>
      <c r="D364" s="1805"/>
      <c r="E364" s="1796">
        <v>75000</v>
      </c>
      <c r="F364" s="95"/>
      <c r="G364" s="1797"/>
    </row>
    <row r="365" spans="1:9" hidden="1">
      <c r="A365" s="1786" t="s">
        <v>700</v>
      </c>
      <c r="B365" s="1793"/>
      <c r="C365" s="1794">
        <v>42983</v>
      </c>
      <c r="D365" s="1795">
        <v>42983</v>
      </c>
      <c r="E365" s="1799"/>
      <c r="F365" s="95"/>
      <c r="G365" s="1797"/>
    </row>
    <row r="366" spans="1:9" hidden="1">
      <c r="A366" s="1792" t="s">
        <v>1993</v>
      </c>
      <c r="B366" s="1793"/>
      <c r="C366" s="1794">
        <v>3800</v>
      </c>
      <c r="D366" s="1795">
        <v>3800</v>
      </c>
      <c r="E366" s="1799"/>
      <c r="F366" s="95"/>
      <c r="G366" s="1797"/>
    </row>
    <row r="367" spans="1:9" hidden="1">
      <c r="A367" s="1792" t="s">
        <v>2677</v>
      </c>
      <c r="B367" s="1793"/>
      <c r="C367" s="1794">
        <v>200</v>
      </c>
      <c r="D367" s="1795">
        <v>200</v>
      </c>
      <c r="E367" s="1799"/>
      <c r="F367" s="95"/>
      <c r="G367" s="1797"/>
    </row>
    <row r="368" spans="1:9" hidden="1">
      <c r="A368" s="1786" t="s">
        <v>3351</v>
      </c>
      <c r="B368" s="1793"/>
      <c r="C368" s="1797"/>
      <c r="D368" s="1795">
        <v>1542155</v>
      </c>
      <c r="E368" s="1796">
        <v>1512504</v>
      </c>
      <c r="F368" s="112">
        <v>29651</v>
      </c>
      <c r="G368" s="1797"/>
      <c r="H368">
        <v>17</v>
      </c>
      <c r="I368" t="s">
        <v>1120</v>
      </c>
    </row>
    <row r="369" spans="1:9" hidden="1">
      <c r="A369" s="1789" t="s">
        <v>1274</v>
      </c>
      <c r="B369" s="1780">
        <v>400401</v>
      </c>
      <c r="C369" s="1781">
        <v>6767046.2400000002</v>
      </c>
      <c r="D369" s="1780">
        <v>39896176</v>
      </c>
      <c r="E369" s="1781">
        <v>33920027.759999998</v>
      </c>
      <c r="F369" s="106">
        <v>587204</v>
      </c>
      <c r="G369" s="1781">
        <v>977701</v>
      </c>
    </row>
    <row r="370" spans="1:9" hidden="1">
      <c r="A370" s="1792" t="s">
        <v>3352</v>
      </c>
      <c r="B370" s="1773"/>
      <c r="C370" s="1804"/>
      <c r="D370" s="1775"/>
      <c r="E370" s="1803">
        <v>87500</v>
      </c>
      <c r="F370" s="1777"/>
      <c r="G370" s="1774">
        <v>87500</v>
      </c>
      <c r="H370">
        <v>6</v>
      </c>
      <c r="I370" t="s">
        <v>1358</v>
      </c>
    </row>
    <row r="371" spans="1:9" hidden="1">
      <c r="A371" s="1792" t="s">
        <v>3353</v>
      </c>
      <c r="B371" s="1793"/>
      <c r="C371" s="1797"/>
      <c r="D371" s="1795">
        <v>121050</v>
      </c>
      <c r="E371" s="1796">
        <v>121050</v>
      </c>
      <c r="F371" s="95"/>
      <c r="G371" s="1797"/>
    </row>
    <row r="372" spans="1:9" hidden="1">
      <c r="A372" s="1792" t="s">
        <v>1482</v>
      </c>
      <c r="B372" s="1793"/>
      <c r="C372" s="1794">
        <v>47700</v>
      </c>
      <c r="D372" s="1795">
        <v>47700</v>
      </c>
      <c r="E372" s="1799"/>
      <c r="F372" s="95"/>
      <c r="G372" s="1797"/>
    </row>
    <row r="373" spans="1:9" hidden="1">
      <c r="A373" s="1801" t="s">
        <v>2594</v>
      </c>
      <c r="B373" s="1798">
        <v>8100</v>
      </c>
      <c r="C373" s="1797"/>
      <c r="D373" s="1795">
        <v>1267920</v>
      </c>
      <c r="E373" s="1796">
        <v>1276020</v>
      </c>
      <c r="F373" s="95"/>
      <c r="G373" s="1797"/>
    </row>
    <row r="374" spans="1:9" hidden="1">
      <c r="A374" s="1792" t="s">
        <v>2595</v>
      </c>
      <c r="B374" s="1793"/>
      <c r="C374" s="1794">
        <v>118914</v>
      </c>
      <c r="D374" s="1795">
        <v>179922</v>
      </c>
      <c r="E374" s="1796">
        <v>61008</v>
      </c>
      <c r="F374" s="95"/>
      <c r="G374" s="1797"/>
    </row>
    <row r="375" spans="1:9" hidden="1">
      <c r="A375" s="1792" t="s">
        <v>1039</v>
      </c>
      <c r="B375" s="1793"/>
      <c r="C375" s="1794">
        <v>174995</v>
      </c>
      <c r="D375" s="1795">
        <v>230435</v>
      </c>
      <c r="E375" s="1796">
        <v>55440</v>
      </c>
      <c r="F375" s="95"/>
      <c r="G375" s="1797"/>
    </row>
    <row r="376" spans="1:9" hidden="1">
      <c r="A376" s="1792" t="s">
        <v>3354</v>
      </c>
      <c r="B376" s="1793"/>
      <c r="C376" s="1797"/>
      <c r="D376" s="1795">
        <v>264000</v>
      </c>
      <c r="E376" s="1796">
        <v>264000</v>
      </c>
      <c r="F376" s="95"/>
      <c r="G376" s="1797"/>
    </row>
    <row r="377" spans="1:9" hidden="1">
      <c r="A377" s="1792" t="s">
        <v>3355</v>
      </c>
      <c r="B377" s="1793"/>
      <c r="C377" s="1797"/>
      <c r="D377" s="1795">
        <v>109000</v>
      </c>
      <c r="E377" s="1796">
        <v>109000</v>
      </c>
      <c r="F377" s="95"/>
      <c r="G377" s="1797"/>
    </row>
    <row r="378" spans="1:9" hidden="1">
      <c r="A378" s="1792" t="s">
        <v>2596</v>
      </c>
      <c r="B378" s="1793"/>
      <c r="C378" s="1797"/>
      <c r="D378" s="1795">
        <v>29500</v>
      </c>
      <c r="E378" s="1796">
        <v>29500</v>
      </c>
      <c r="F378" s="95"/>
      <c r="G378" s="1797"/>
    </row>
    <row r="379" spans="1:9" hidden="1">
      <c r="A379" s="1792" t="s">
        <v>2597</v>
      </c>
      <c r="B379" s="1793"/>
      <c r="C379" s="1794">
        <v>2414769</v>
      </c>
      <c r="D379" s="1795">
        <v>4137315</v>
      </c>
      <c r="E379" s="1796">
        <v>1948746</v>
      </c>
      <c r="F379" s="95"/>
      <c r="G379" s="1794">
        <v>226200</v>
      </c>
      <c r="H379">
        <v>6</v>
      </c>
      <c r="I379" t="s">
        <v>1358</v>
      </c>
    </row>
    <row r="380" spans="1:9" hidden="1">
      <c r="A380" s="1792" t="s">
        <v>2678</v>
      </c>
      <c r="B380" s="1793"/>
      <c r="C380" s="1797"/>
      <c r="D380" s="1795">
        <v>12400</v>
      </c>
      <c r="E380" s="1796">
        <v>12400</v>
      </c>
      <c r="F380" s="95"/>
      <c r="G380" s="1797"/>
    </row>
    <row r="381" spans="1:9" hidden="1">
      <c r="A381" s="1792" t="s">
        <v>3356</v>
      </c>
      <c r="B381" s="1793"/>
      <c r="C381" s="1797"/>
      <c r="D381" s="1795">
        <v>262848</v>
      </c>
      <c r="E381" s="1796">
        <v>262848</v>
      </c>
      <c r="F381" s="95"/>
      <c r="G381" s="1797"/>
    </row>
    <row r="382" spans="1:9" hidden="1">
      <c r="A382" s="1792" t="s">
        <v>3357</v>
      </c>
      <c r="B382" s="1793"/>
      <c r="C382" s="1797"/>
      <c r="D382" s="1795">
        <v>95657</v>
      </c>
      <c r="E382" s="1796">
        <v>95657</v>
      </c>
      <c r="F382" s="95"/>
      <c r="G382" s="1797"/>
    </row>
    <row r="383" spans="1:9" hidden="1">
      <c r="A383" s="1792" t="s">
        <v>3358</v>
      </c>
      <c r="B383" s="1793"/>
      <c r="C383" s="1797"/>
      <c r="D383" s="1795">
        <v>564040</v>
      </c>
      <c r="E383" s="1796">
        <v>564040</v>
      </c>
      <c r="F383" s="95"/>
      <c r="G383" s="1797"/>
    </row>
    <row r="384" spans="1:9" hidden="1">
      <c r="A384" s="1800" t="s">
        <v>1716</v>
      </c>
      <c r="B384" s="1798">
        <v>45012</v>
      </c>
      <c r="C384" s="1797"/>
      <c r="D384" s="1795">
        <v>2270296</v>
      </c>
      <c r="E384" s="1796">
        <v>2300397</v>
      </c>
      <c r="F384" s="112">
        <v>14911</v>
      </c>
      <c r="G384" s="1797"/>
      <c r="H384">
        <v>17</v>
      </c>
      <c r="I384" t="s">
        <v>1120</v>
      </c>
    </row>
    <row r="385" spans="1:9" hidden="1">
      <c r="A385" s="1792" t="s">
        <v>2321</v>
      </c>
      <c r="B385" s="1793"/>
      <c r="C385" s="1797"/>
      <c r="D385" s="1795">
        <v>29000</v>
      </c>
      <c r="E385" s="1796">
        <v>29000</v>
      </c>
      <c r="F385" s="95"/>
      <c r="G385" s="1797"/>
    </row>
    <row r="386" spans="1:9" hidden="1">
      <c r="A386" s="1786" t="s">
        <v>3359</v>
      </c>
      <c r="B386" s="1793"/>
      <c r="C386" s="1797"/>
      <c r="D386" s="1795">
        <v>42900</v>
      </c>
      <c r="E386" s="1796">
        <v>42900</v>
      </c>
      <c r="F386" s="95"/>
      <c r="G386" s="1797"/>
    </row>
    <row r="387" spans="1:9" hidden="1">
      <c r="A387" s="1786" t="s">
        <v>2679</v>
      </c>
      <c r="B387" s="1793"/>
      <c r="C387" s="1794">
        <v>44800</v>
      </c>
      <c r="D387" s="1795">
        <v>109900</v>
      </c>
      <c r="E387" s="1796">
        <v>65100</v>
      </c>
      <c r="F387" s="95"/>
      <c r="G387" s="1797"/>
    </row>
    <row r="388" spans="1:9" hidden="1">
      <c r="A388" s="1792" t="s">
        <v>2598</v>
      </c>
      <c r="B388" s="1798">
        <v>19114</v>
      </c>
      <c r="C388" s="1797"/>
      <c r="D388" s="1805"/>
      <c r="E388" s="1796">
        <v>19114</v>
      </c>
      <c r="F388" s="95"/>
      <c r="G388" s="1797"/>
    </row>
    <row r="389" spans="1:9" hidden="1">
      <c r="A389" s="1792" t="s">
        <v>707</v>
      </c>
      <c r="B389" s="1793"/>
      <c r="C389" s="1794">
        <v>450259.04</v>
      </c>
      <c r="D389" s="1795">
        <v>2081911</v>
      </c>
      <c r="E389" s="1796">
        <v>1631651.96</v>
      </c>
      <c r="F389" s="95"/>
      <c r="G389" s="1797"/>
    </row>
    <row r="390" spans="1:9" hidden="1">
      <c r="A390" s="1792" t="s">
        <v>1717</v>
      </c>
      <c r="B390" s="1793"/>
      <c r="C390" s="1794">
        <v>47851.199999999997</v>
      </c>
      <c r="D390" s="1795">
        <v>4251213</v>
      </c>
      <c r="E390" s="1796">
        <v>4203361.8</v>
      </c>
      <c r="F390" s="95"/>
      <c r="G390" s="1797"/>
    </row>
    <row r="391" spans="1:9" hidden="1">
      <c r="A391" s="1792" t="s">
        <v>3360</v>
      </c>
      <c r="B391" s="1793"/>
      <c r="C391" s="1797"/>
      <c r="D391" s="1795">
        <v>125080</v>
      </c>
      <c r="E391" s="1796">
        <v>125080</v>
      </c>
      <c r="F391" s="95"/>
      <c r="G391" s="1797"/>
    </row>
    <row r="392" spans="1:9" hidden="1">
      <c r="A392" s="1792" t="s">
        <v>3361</v>
      </c>
      <c r="B392" s="1793"/>
      <c r="C392" s="1797"/>
      <c r="D392" s="1795">
        <v>755385</v>
      </c>
      <c r="E392" s="1796">
        <v>555096</v>
      </c>
      <c r="F392" s="112">
        <v>200289</v>
      </c>
      <c r="G392" s="1797"/>
      <c r="H392">
        <v>17</v>
      </c>
      <c r="I392" t="s">
        <v>1120</v>
      </c>
    </row>
    <row r="393" spans="1:9" hidden="1">
      <c r="A393" s="1792" t="s">
        <v>3362</v>
      </c>
      <c r="B393" s="1793"/>
      <c r="C393" s="1797"/>
      <c r="D393" s="1795">
        <v>659620</v>
      </c>
      <c r="E393" s="1796">
        <v>659620</v>
      </c>
      <c r="F393" s="95"/>
      <c r="G393" s="1797"/>
    </row>
    <row r="394" spans="1:9" hidden="1">
      <c r="A394" s="1792" t="s">
        <v>2325</v>
      </c>
      <c r="B394" s="1793"/>
      <c r="C394" s="1794">
        <v>2240732</v>
      </c>
      <c r="D394" s="1795">
        <v>3788419</v>
      </c>
      <c r="E394" s="1796">
        <v>1547687</v>
      </c>
      <c r="F394" s="95"/>
      <c r="G394" s="1797"/>
    </row>
    <row r="395" spans="1:9" hidden="1">
      <c r="A395" s="1792" t="s">
        <v>2680</v>
      </c>
      <c r="B395" s="1793"/>
      <c r="C395" s="1794">
        <v>19250</v>
      </c>
      <c r="D395" s="1795">
        <v>19250</v>
      </c>
      <c r="E395" s="1799"/>
      <c r="F395" s="95"/>
      <c r="G395" s="1797"/>
    </row>
    <row r="396" spans="1:9" hidden="1">
      <c r="A396" s="1786" t="s">
        <v>3363</v>
      </c>
      <c r="B396" s="1793"/>
      <c r="C396" s="1797"/>
      <c r="D396" s="1795">
        <v>39480</v>
      </c>
      <c r="E396" s="1796">
        <v>39480</v>
      </c>
      <c r="F396" s="95"/>
      <c r="G396" s="1797"/>
    </row>
    <row r="397" spans="1:9" hidden="1">
      <c r="A397" s="1792" t="s">
        <v>1977</v>
      </c>
      <c r="B397" s="1793"/>
      <c r="C397" s="1797"/>
      <c r="D397" s="1795">
        <v>209000</v>
      </c>
      <c r="E397" s="1799"/>
      <c r="F397" s="112">
        <v>209000</v>
      </c>
      <c r="G397" s="1797"/>
      <c r="H397">
        <v>17</v>
      </c>
      <c r="I397" t="s">
        <v>1120</v>
      </c>
    </row>
    <row r="398" spans="1:9" hidden="1">
      <c r="A398" s="1792" t="s">
        <v>709</v>
      </c>
      <c r="B398" s="1793"/>
      <c r="C398" s="1794">
        <v>52224</v>
      </c>
      <c r="D398" s="1795">
        <v>52224</v>
      </c>
      <c r="E398" s="1799"/>
      <c r="F398" s="95"/>
      <c r="G398" s="1797"/>
    </row>
    <row r="399" spans="1:9" hidden="1">
      <c r="A399" s="1792" t="s">
        <v>3364</v>
      </c>
      <c r="B399" s="1793"/>
      <c r="C399" s="1797"/>
      <c r="D399" s="1795">
        <v>158359</v>
      </c>
      <c r="E399" s="1796">
        <v>108349</v>
      </c>
      <c r="F399" s="112">
        <v>50010</v>
      </c>
      <c r="G399" s="1797"/>
      <c r="H399">
        <v>17</v>
      </c>
      <c r="I399" t="s">
        <v>1120</v>
      </c>
    </row>
    <row r="400" spans="1:9" hidden="1">
      <c r="A400" s="1801" t="s">
        <v>3365</v>
      </c>
      <c r="B400" s="1793"/>
      <c r="C400" s="1797"/>
      <c r="D400" s="1795">
        <v>6800000</v>
      </c>
      <c r="E400" s="1796">
        <v>6800000</v>
      </c>
      <c r="F400" s="95"/>
      <c r="G400" s="1797"/>
    </row>
    <row r="401" spans="1:9" hidden="1">
      <c r="A401" s="1786" t="s">
        <v>3366</v>
      </c>
      <c r="B401" s="1793"/>
      <c r="C401" s="1794">
        <v>202770</v>
      </c>
      <c r="D401" s="1795">
        <v>240570</v>
      </c>
      <c r="E401" s="1796">
        <v>37800</v>
      </c>
      <c r="F401" s="95"/>
      <c r="G401" s="1797"/>
    </row>
    <row r="402" spans="1:9" hidden="1">
      <c r="A402" s="1792" t="s">
        <v>3367</v>
      </c>
      <c r="B402" s="1793"/>
      <c r="C402" s="1797"/>
      <c r="D402" s="1795">
        <v>165669</v>
      </c>
      <c r="E402" s="1796">
        <v>143423</v>
      </c>
      <c r="F402" s="112">
        <v>22246</v>
      </c>
      <c r="G402" s="1797"/>
      <c r="H402">
        <v>17</v>
      </c>
      <c r="I402" t="s">
        <v>1120</v>
      </c>
    </row>
    <row r="403" spans="1:9" hidden="1">
      <c r="A403" s="1792" t="s">
        <v>2601</v>
      </c>
      <c r="B403" s="1793"/>
      <c r="C403" s="1794">
        <v>341508</v>
      </c>
      <c r="D403" s="1795">
        <v>1225549</v>
      </c>
      <c r="E403" s="1796">
        <v>1333395</v>
      </c>
      <c r="F403" s="95"/>
      <c r="G403" s="1794">
        <v>449354</v>
      </c>
      <c r="H403">
        <v>6</v>
      </c>
      <c r="I403" t="s">
        <v>1358</v>
      </c>
    </row>
    <row r="404" spans="1:9" hidden="1">
      <c r="A404" s="1792" t="s">
        <v>1831</v>
      </c>
      <c r="B404" s="1793"/>
      <c r="C404" s="1794">
        <v>5241</v>
      </c>
      <c r="D404" s="1795">
        <v>5241</v>
      </c>
      <c r="E404" s="1799"/>
      <c r="F404" s="95"/>
      <c r="G404" s="1797"/>
    </row>
    <row r="405" spans="1:9" hidden="1">
      <c r="A405" s="1792" t="s">
        <v>3368</v>
      </c>
      <c r="B405" s="1793"/>
      <c r="C405" s="1797"/>
      <c r="D405" s="1795">
        <v>738491</v>
      </c>
      <c r="E405" s="1796">
        <v>738491</v>
      </c>
      <c r="F405" s="95"/>
      <c r="G405" s="1797"/>
    </row>
    <row r="406" spans="1:9" hidden="1">
      <c r="A406" s="1786" t="s">
        <v>2008</v>
      </c>
      <c r="B406" s="1793"/>
      <c r="C406" s="1794">
        <v>55000</v>
      </c>
      <c r="D406" s="1795">
        <v>55000</v>
      </c>
      <c r="E406" s="1799"/>
      <c r="F406" s="95"/>
      <c r="G406" s="1797"/>
    </row>
    <row r="407" spans="1:9" hidden="1">
      <c r="A407" s="1792" t="s">
        <v>2331</v>
      </c>
      <c r="B407" s="1793"/>
      <c r="C407" s="1794">
        <v>40290</v>
      </c>
      <c r="D407" s="1795">
        <v>44008</v>
      </c>
      <c r="E407" s="1799"/>
      <c r="F407" s="112">
        <v>3718</v>
      </c>
      <c r="G407" s="1797"/>
      <c r="H407">
        <v>17</v>
      </c>
      <c r="I407" t="s">
        <v>1120</v>
      </c>
    </row>
    <row r="408" spans="1:9" hidden="1">
      <c r="A408" s="1792" t="s">
        <v>3369</v>
      </c>
      <c r="B408" s="1793"/>
      <c r="C408" s="1797"/>
      <c r="D408" s="1795">
        <v>49480</v>
      </c>
      <c r="E408" s="1799"/>
      <c r="F408" s="112">
        <v>49480</v>
      </c>
      <c r="G408" s="1797"/>
      <c r="H408">
        <v>17</v>
      </c>
      <c r="I408" t="s">
        <v>1120</v>
      </c>
    </row>
    <row r="409" spans="1:9" hidden="1">
      <c r="A409" s="1786" t="s">
        <v>3370</v>
      </c>
      <c r="B409" s="1793"/>
      <c r="C409" s="1797"/>
      <c r="D409" s="1795">
        <v>1387552</v>
      </c>
      <c r="E409" s="1796">
        <v>1387502</v>
      </c>
      <c r="F409" s="112">
        <v>50</v>
      </c>
      <c r="G409" s="1797"/>
      <c r="H409">
        <v>17</v>
      </c>
      <c r="I409" t="s">
        <v>1120</v>
      </c>
    </row>
    <row r="410" spans="1:9" hidden="1">
      <c r="A410" s="1792" t="s">
        <v>3371</v>
      </c>
      <c r="B410" s="1793"/>
      <c r="C410" s="1797"/>
      <c r="D410" s="1795">
        <v>1800000</v>
      </c>
      <c r="E410" s="1796">
        <v>1910184</v>
      </c>
      <c r="F410" s="95"/>
      <c r="G410" s="1794">
        <v>110184</v>
      </c>
      <c r="H410">
        <v>6</v>
      </c>
      <c r="I410" t="s">
        <v>1358</v>
      </c>
    </row>
    <row r="411" spans="1:9" hidden="1">
      <c r="A411" s="1792" t="s">
        <v>1834</v>
      </c>
      <c r="B411" s="1793"/>
      <c r="C411" s="1794">
        <v>4042</v>
      </c>
      <c r="D411" s="1795">
        <v>4042</v>
      </c>
      <c r="E411" s="1799"/>
      <c r="F411" s="95"/>
      <c r="G411" s="1797"/>
    </row>
    <row r="412" spans="1:9" hidden="1">
      <c r="A412" s="1792" t="s">
        <v>1835</v>
      </c>
      <c r="B412" s="1793"/>
      <c r="C412" s="1794">
        <v>27500</v>
      </c>
      <c r="D412" s="1795">
        <v>27500</v>
      </c>
      <c r="E412" s="1799"/>
      <c r="F412" s="95"/>
      <c r="G412" s="1797"/>
    </row>
    <row r="413" spans="1:9" hidden="1">
      <c r="A413" s="1786" t="s">
        <v>3372</v>
      </c>
      <c r="B413" s="1793"/>
      <c r="C413" s="1797"/>
      <c r="D413" s="1795">
        <v>54000</v>
      </c>
      <c r="E413" s="1796">
        <v>54000</v>
      </c>
      <c r="F413" s="95"/>
      <c r="G413" s="1797"/>
    </row>
    <row r="414" spans="1:9" hidden="1">
      <c r="A414" s="1792" t="s">
        <v>2334</v>
      </c>
      <c r="B414" s="1793"/>
      <c r="C414" s="1794">
        <v>12659</v>
      </c>
      <c r="D414" s="1795">
        <v>12659</v>
      </c>
      <c r="E414" s="1799"/>
      <c r="F414" s="95"/>
      <c r="G414" s="1797"/>
    </row>
    <row r="415" spans="1:9" hidden="1">
      <c r="A415" s="1792" t="s">
        <v>3373</v>
      </c>
      <c r="B415" s="1793"/>
      <c r="C415" s="1797"/>
      <c r="D415" s="1795">
        <v>1361700</v>
      </c>
      <c r="E415" s="1796">
        <v>1361700</v>
      </c>
      <c r="F415" s="95"/>
      <c r="G415" s="1797"/>
    </row>
    <row r="416" spans="1:9" hidden="1">
      <c r="A416" s="1801" t="s">
        <v>3374</v>
      </c>
      <c r="B416" s="1793"/>
      <c r="C416" s="1797"/>
      <c r="D416" s="1795">
        <v>15600</v>
      </c>
      <c r="E416" s="1796">
        <v>15600</v>
      </c>
      <c r="F416" s="95"/>
      <c r="G416" s="1797"/>
    </row>
    <row r="417" spans="1:9" hidden="1">
      <c r="A417" s="1792" t="s">
        <v>3375</v>
      </c>
      <c r="B417" s="1793"/>
      <c r="C417" s="1797"/>
      <c r="D417" s="1795">
        <v>37500</v>
      </c>
      <c r="E417" s="1799"/>
      <c r="F417" s="112">
        <v>37500</v>
      </c>
      <c r="G417" s="1797"/>
      <c r="H417">
        <v>17</v>
      </c>
      <c r="I417" t="s">
        <v>1120</v>
      </c>
    </row>
    <row r="418" spans="1:9">
      <c r="A418" s="1801" t="s">
        <v>3376</v>
      </c>
      <c r="B418" s="1793"/>
      <c r="C418" s="1797"/>
      <c r="D418" s="1795">
        <v>55500</v>
      </c>
      <c r="E418" s="1796">
        <v>76405</v>
      </c>
      <c r="F418" s="95"/>
      <c r="G418" s="1794">
        <v>20905</v>
      </c>
      <c r="H418">
        <v>6</v>
      </c>
      <c r="I418" t="s">
        <v>1358</v>
      </c>
    </row>
    <row r="419" spans="1:9" hidden="1">
      <c r="A419" s="1792" t="s">
        <v>3377</v>
      </c>
      <c r="B419" s="1793"/>
      <c r="C419" s="1797"/>
      <c r="D419" s="1795">
        <v>74358</v>
      </c>
      <c r="E419" s="1796">
        <v>74358</v>
      </c>
      <c r="F419" s="95"/>
      <c r="G419" s="1797"/>
    </row>
    <row r="420" spans="1:9" hidden="1">
      <c r="A420" s="1792" t="s">
        <v>3378</v>
      </c>
      <c r="B420" s="1793"/>
      <c r="C420" s="1797"/>
      <c r="D420" s="1795">
        <v>17000</v>
      </c>
      <c r="E420" s="1796">
        <v>17000</v>
      </c>
      <c r="F420" s="95"/>
      <c r="G420" s="1797"/>
    </row>
    <row r="421" spans="1:9" hidden="1">
      <c r="A421" s="1786" t="s">
        <v>2336</v>
      </c>
      <c r="B421" s="1798">
        <v>1300</v>
      </c>
      <c r="C421" s="1797"/>
      <c r="D421" s="1795">
        <v>2100</v>
      </c>
      <c r="E421" s="1796">
        <v>3400</v>
      </c>
      <c r="F421" s="95"/>
      <c r="G421" s="1797"/>
    </row>
    <row r="422" spans="1:9" hidden="1">
      <c r="A422" s="1792" t="s">
        <v>3379</v>
      </c>
      <c r="B422" s="1793"/>
      <c r="C422" s="1797"/>
      <c r="D422" s="1795">
        <v>499526</v>
      </c>
      <c r="E422" s="1796">
        <v>499526</v>
      </c>
      <c r="F422" s="95"/>
      <c r="G422" s="1797"/>
    </row>
    <row r="423" spans="1:9" hidden="1">
      <c r="A423" s="1792" t="s">
        <v>3380</v>
      </c>
      <c r="B423" s="1793"/>
      <c r="C423" s="1797"/>
      <c r="D423" s="1795">
        <v>19500</v>
      </c>
      <c r="E423" s="1796">
        <v>19500</v>
      </c>
      <c r="F423" s="95"/>
      <c r="G423" s="1797"/>
    </row>
    <row r="424" spans="1:9" hidden="1">
      <c r="A424" s="1801" t="s">
        <v>2604</v>
      </c>
      <c r="B424" s="1793"/>
      <c r="C424" s="1794">
        <v>446542</v>
      </c>
      <c r="D424" s="1795">
        <v>504292</v>
      </c>
      <c r="E424" s="1796">
        <v>57750</v>
      </c>
      <c r="F424" s="95"/>
      <c r="G424" s="1797"/>
    </row>
    <row r="425" spans="1:9" hidden="1">
      <c r="A425" s="1801" t="s">
        <v>3381</v>
      </c>
      <c r="B425" s="1793"/>
      <c r="C425" s="1797"/>
      <c r="D425" s="1795">
        <v>140000</v>
      </c>
      <c r="E425" s="1796">
        <v>194518</v>
      </c>
      <c r="F425" s="95"/>
      <c r="G425" s="1794">
        <v>54518</v>
      </c>
      <c r="H425">
        <v>6</v>
      </c>
      <c r="I425" t="s">
        <v>1358</v>
      </c>
    </row>
    <row r="426" spans="1:9">
      <c r="A426" s="1792" t="s">
        <v>3382</v>
      </c>
      <c r="B426" s="1793"/>
      <c r="C426" s="1797"/>
      <c r="D426" s="1795">
        <v>1349162</v>
      </c>
      <c r="E426" s="1796">
        <v>1349162</v>
      </c>
      <c r="F426" s="95"/>
      <c r="G426" s="1797"/>
    </row>
    <row r="427" spans="1:9" hidden="1">
      <c r="A427" s="1792" t="s">
        <v>3383</v>
      </c>
      <c r="B427" s="1793"/>
      <c r="C427" s="1797"/>
      <c r="D427" s="1795">
        <v>31388</v>
      </c>
      <c r="E427" s="1796">
        <v>31388</v>
      </c>
      <c r="F427" s="95"/>
      <c r="G427" s="1797"/>
    </row>
    <row r="428" spans="1:9" hidden="1">
      <c r="A428" s="1792" t="s">
        <v>1270</v>
      </c>
      <c r="B428" s="1793"/>
      <c r="C428" s="1794">
        <v>20000</v>
      </c>
      <c r="D428" s="1795">
        <v>20000</v>
      </c>
      <c r="E428" s="1799"/>
      <c r="F428" s="95"/>
      <c r="G428" s="1797"/>
    </row>
    <row r="429" spans="1:9" hidden="1">
      <c r="A429" s="1792" t="s">
        <v>2007</v>
      </c>
      <c r="B429" s="1793"/>
      <c r="C429" s="1797"/>
      <c r="D429" s="1795">
        <v>492760</v>
      </c>
      <c r="E429" s="1796">
        <v>492760</v>
      </c>
      <c r="F429" s="95"/>
      <c r="G429" s="1797"/>
    </row>
    <row r="430" spans="1:9" hidden="1">
      <c r="A430" s="1792" t="s">
        <v>3384</v>
      </c>
      <c r="B430" s="1793"/>
      <c r="C430" s="1797"/>
      <c r="D430" s="1795">
        <v>575829</v>
      </c>
      <c r="E430" s="1796">
        <v>604869</v>
      </c>
      <c r="F430" s="95"/>
      <c r="G430" s="1794">
        <v>29040</v>
      </c>
      <c r="H430">
        <v>6</v>
      </c>
      <c r="I430" t="s">
        <v>1358</v>
      </c>
    </row>
    <row r="431" spans="1:9" hidden="1">
      <c r="A431" s="1792" t="s">
        <v>3385</v>
      </c>
      <c r="B431" s="1793"/>
      <c r="C431" s="1797"/>
      <c r="D431" s="1795">
        <v>70480</v>
      </c>
      <c r="E431" s="1796">
        <v>70480</v>
      </c>
      <c r="F431" s="95"/>
      <c r="G431" s="1797"/>
    </row>
    <row r="432" spans="1:9" hidden="1">
      <c r="A432" s="1786" t="s">
        <v>2606</v>
      </c>
      <c r="B432" s="1798">
        <v>326875</v>
      </c>
      <c r="C432" s="1797"/>
      <c r="D432" s="1795">
        <v>105896</v>
      </c>
      <c r="E432" s="1796">
        <v>432771</v>
      </c>
      <c r="F432" s="95"/>
      <c r="G432" s="1797"/>
    </row>
    <row r="433" spans="1:9" hidden="1">
      <c r="A433" s="1772" t="s">
        <v>1177</v>
      </c>
      <c r="B433" s="1793"/>
      <c r="C433" s="1797"/>
      <c r="D433" s="1795">
        <v>7147460</v>
      </c>
      <c r="E433" s="1796">
        <v>7147460</v>
      </c>
      <c r="F433" s="95"/>
      <c r="G433" s="1797"/>
    </row>
    <row r="434" spans="1:9" hidden="1">
      <c r="A434" s="1827" t="s">
        <v>2015</v>
      </c>
      <c r="B434" s="1833"/>
      <c r="C434" s="1848">
        <v>3948901</v>
      </c>
      <c r="D434" s="1835">
        <v>9162027</v>
      </c>
      <c r="E434" s="1838">
        <v>351853</v>
      </c>
      <c r="F434" s="124">
        <v>4861273</v>
      </c>
      <c r="G434" s="1834"/>
    </row>
    <row r="435" spans="1:9" hidden="1">
      <c r="A435" s="1772" t="s">
        <v>1063</v>
      </c>
      <c r="B435" s="1793"/>
      <c r="C435" s="1794">
        <v>32203.14</v>
      </c>
      <c r="D435" s="1805"/>
      <c r="E435" s="1799"/>
      <c r="F435" s="95"/>
      <c r="G435" s="1794">
        <v>32203.14</v>
      </c>
      <c r="H435">
        <v>5</v>
      </c>
      <c r="I435" t="s">
        <v>2446</v>
      </c>
    </row>
    <row r="436" spans="1:9" hidden="1">
      <c r="A436" s="1821" t="s">
        <v>39</v>
      </c>
      <c r="B436" s="1822">
        <v>50464853.259999998</v>
      </c>
      <c r="C436" s="1823"/>
      <c r="D436" s="1824">
        <v>16139653</v>
      </c>
      <c r="E436" s="1825">
        <v>3957699</v>
      </c>
      <c r="F436" s="1826">
        <v>62646807.259999998</v>
      </c>
      <c r="G436" s="1823"/>
    </row>
    <row r="437" spans="1:9" hidden="1">
      <c r="A437" s="1827" t="s">
        <v>92</v>
      </c>
      <c r="B437" s="1828">
        <v>868251</v>
      </c>
      <c r="C437" s="1829"/>
      <c r="D437" s="1830"/>
      <c r="E437" s="1831"/>
      <c r="F437" s="1832">
        <v>868251</v>
      </c>
      <c r="G437" s="1829"/>
    </row>
    <row r="438" spans="1:9" hidden="1">
      <c r="A438" s="1827" t="s">
        <v>2472</v>
      </c>
      <c r="B438" s="1833"/>
      <c r="C438" s="1834"/>
      <c r="D438" s="1835">
        <v>121490</v>
      </c>
      <c r="E438" s="1836"/>
      <c r="F438" s="124">
        <v>121490</v>
      </c>
      <c r="G438" s="1834"/>
    </row>
    <row r="439" spans="1:9" hidden="1">
      <c r="A439" s="1827" t="s">
        <v>93</v>
      </c>
      <c r="B439" s="1837">
        <v>590292.80000000005</v>
      </c>
      <c r="C439" s="1834"/>
      <c r="D439" s="1835">
        <v>480546</v>
      </c>
      <c r="E439" s="1838">
        <v>291836</v>
      </c>
      <c r="F439" s="124">
        <v>779002.8</v>
      </c>
      <c r="G439" s="1834"/>
    </row>
    <row r="440" spans="1:9" hidden="1">
      <c r="A440" s="1827" t="s">
        <v>94</v>
      </c>
      <c r="B440" s="1837">
        <v>34086.35</v>
      </c>
      <c r="C440" s="1834"/>
      <c r="D440" s="1835">
        <v>316999</v>
      </c>
      <c r="E440" s="1836"/>
      <c r="F440" s="124">
        <v>351085.35</v>
      </c>
      <c r="G440" s="1834"/>
    </row>
    <row r="441" spans="1:9" hidden="1">
      <c r="A441" s="1827" t="s">
        <v>1267</v>
      </c>
      <c r="B441" s="1837">
        <v>45440683.630000003</v>
      </c>
      <c r="C441" s="1834"/>
      <c r="D441" s="1835">
        <v>8489324</v>
      </c>
      <c r="E441" s="1838">
        <v>3059211</v>
      </c>
      <c r="F441" s="124">
        <v>50870796.630000003</v>
      </c>
      <c r="G441" s="1834"/>
    </row>
    <row r="442" spans="1:9" hidden="1">
      <c r="A442" s="1827" t="s">
        <v>1266</v>
      </c>
      <c r="B442" s="1837">
        <v>3531539.48</v>
      </c>
      <c r="C442" s="1834"/>
      <c r="D442" s="1835">
        <v>6731294</v>
      </c>
      <c r="E442" s="1838">
        <v>606652</v>
      </c>
      <c r="F442" s="124">
        <v>9656181.4800000004</v>
      </c>
      <c r="G442" s="1834"/>
    </row>
    <row r="443" spans="1:9" hidden="1">
      <c r="A443" s="1767" t="s">
        <v>96</v>
      </c>
      <c r="B443" s="1778">
        <v>98251362.730000004</v>
      </c>
      <c r="C443" s="1779">
        <v>1248257.28</v>
      </c>
      <c r="D443" s="1780">
        <v>1209267295.51</v>
      </c>
      <c r="E443" s="1781">
        <v>1190495046.22</v>
      </c>
      <c r="F443" s="204">
        <v>115775354.73999999</v>
      </c>
      <c r="G443" s="1806"/>
    </row>
    <row r="444" spans="1:9" hidden="1">
      <c r="A444" s="1782" t="s">
        <v>1265</v>
      </c>
      <c r="B444" s="1783"/>
      <c r="C444" s="242"/>
      <c r="D444" s="1783"/>
      <c r="E444" s="242"/>
      <c r="F444" s="113"/>
      <c r="G444" s="242"/>
    </row>
    <row r="445" spans="1:9" hidden="1">
      <c r="A445" s="1800" t="s">
        <v>1719</v>
      </c>
      <c r="B445" s="1775"/>
      <c r="C445" s="1776"/>
      <c r="D445" s="1773"/>
      <c r="E445" s="1804"/>
      <c r="F445" s="1128"/>
      <c r="G445" s="1776"/>
    </row>
    <row r="446" spans="1:9" hidden="1">
      <c r="A446" s="1782" t="s">
        <v>97</v>
      </c>
      <c r="B446" s="1788">
        <v>21295025</v>
      </c>
      <c r="C446" s="240"/>
      <c r="D446" s="1788">
        <v>873750</v>
      </c>
      <c r="E446" s="240"/>
      <c r="F446" s="93">
        <v>22168775</v>
      </c>
      <c r="G446" s="240"/>
    </row>
    <row r="447" spans="1:9" hidden="1">
      <c r="A447" s="1786" t="s">
        <v>2016</v>
      </c>
      <c r="B447" s="1802">
        <v>1718775</v>
      </c>
      <c r="C447" s="1776"/>
      <c r="D447" s="1773"/>
      <c r="E447" s="1804"/>
      <c r="F447" s="1808">
        <v>1718775</v>
      </c>
      <c r="G447" s="1776"/>
      <c r="H447">
        <v>17</v>
      </c>
      <c r="I447" t="s">
        <v>1121</v>
      </c>
    </row>
    <row r="448" spans="1:9" hidden="1">
      <c r="A448" s="1772" t="s">
        <v>730</v>
      </c>
      <c r="B448" s="1795">
        <v>19576250</v>
      </c>
      <c r="C448" s="1799"/>
      <c r="D448" s="1798">
        <v>873750</v>
      </c>
      <c r="E448" s="1797"/>
      <c r="F448" s="104">
        <v>20450000</v>
      </c>
      <c r="G448" s="1799"/>
      <c r="H448">
        <v>16</v>
      </c>
      <c r="I448" t="s">
        <v>539</v>
      </c>
    </row>
    <row r="449" spans="1:9" hidden="1">
      <c r="A449" s="1782" t="s">
        <v>98</v>
      </c>
      <c r="B449" s="1788">
        <v>62445190.130000003</v>
      </c>
      <c r="C449" s="233">
        <v>1248257.28</v>
      </c>
      <c r="D449" s="1788">
        <v>417921113.60000002</v>
      </c>
      <c r="E449" s="233">
        <v>418545101.61000001</v>
      </c>
      <c r="F449" s="93">
        <v>60572944.840000004</v>
      </c>
      <c r="G449" s="240"/>
      <c r="H449" s="249">
        <v>15</v>
      </c>
      <c r="I449" s="249" t="s">
        <v>963</v>
      </c>
    </row>
    <row r="450" spans="1:9" hidden="1">
      <c r="A450" s="1800" t="s">
        <v>2017</v>
      </c>
      <c r="B450" s="1802">
        <v>1309800</v>
      </c>
      <c r="C450" s="1776"/>
      <c r="D450" s="1787">
        <v>1339034.5</v>
      </c>
      <c r="E450" s="1774">
        <v>2500000.5</v>
      </c>
      <c r="F450" s="1808">
        <v>148834</v>
      </c>
      <c r="G450" s="1776"/>
    </row>
    <row r="451" spans="1:9" hidden="1">
      <c r="A451" s="1800" t="s">
        <v>732</v>
      </c>
      <c r="B451" s="1795">
        <v>155431</v>
      </c>
      <c r="C451" s="1799"/>
      <c r="D451" s="1793"/>
      <c r="E451" s="1797"/>
      <c r="F451" s="104">
        <v>155431</v>
      </c>
      <c r="G451" s="1799"/>
    </row>
    <row r="452" spans="1:9" hidden="1">
      <c r="A452" s="1800" t="s">
        <v>733</v>
      </c>
      <c r="B452" s="1795">
        <v>236250</v>
      </c>
      <c r="C452" s="1799"/>
      <c r="D452" s="1793"/>
      <c r="E452" s="1797"/>
      <c r="F452" s="104">
        <v>236250</v>
      </c>
      <c r="G452" s="1799"/>
    </row>
    <row r="453" spans="1:9" hidden="1">
      <c r="A453" s="1800" t="s">
        <v>734</v>
      </c>
      <c r="B453" s="1795">
        <v>545590</v>
      </c>
      <c r="C453" s="1799"/>
      <c r="D453" s="1793"/>
      <c r="E453" s="1797"/>
      <c r="F453" s="104">
        <v>545590</v>
      </c>
      <c r="G453" s="1799"/>
    </row>
    <row r="454" spans="1:9" hidden="1">
      <c r="A454" s="1786" t="s">
        <v>1263</v>
      </c>
      <c r="B454" s="1795">
        <v>1020296</v>
      </c>
      <c r="C454" s="1799"/>
      <c r="D454" s="1793"/>
      <c r="E454" s="1797"/>
      <c r="F454" s="104">
        <v>1020296</v>
      </c>
      <c r="G454" s="1799"/>
    </row>
    <row r="455" spans="1:9" hidden="1">
      <c r="A455" s="1786" t="s">
        <v>736</v>
      </c>
      <c r="B455" s="1795">
        <v>1765600</v>
      </c>
      <c r="C455" s="1799"/>
      <c r="D455" s="1793"/>
      <c r="E455" s="1797"/>
      <c r="F455" s="104">
        <v>1765600</v>
      </c>
      <c r="G455" s="1799"/>
    </row>
    <row r="456" spans="1:9" hidden="1">
      <c r="A456" s="1786" t="s">
        <v>737</v>
      </c>
      <c r="B456" s="1795">
        <v>626800</v>
      </c>
      <c r="C456" s="1799"/>
      <c r="D456" s="1793"/>
      <c r="E456" s="1797"/>
      <c r="F456" s="104">
        <v>626800</v>
      </c>
      <c r="G456" s="1799"/>
    </row>
    <row r="457" spans="1:9" hidden="1">
      <c r="A457" s="1800" t="s">
        <v>2019</v>
      </c>
      <c r="B457" s="1795">
        <v>1256079.28</v>
      </c>
      <c r="C457" s="1799"/>
      <c r="D457" s="1793"/>
      <c r="E457" s="1794">
        <v>1000000</v>
      </c>
      <c r="F457" s="104">
        <v>256079.28</v>
      </c>
      <c r="G457" s="1799"/>
    </row>
    <row r="458" spans="1:9" hidden="1">
      <c r="A458" s="1800" t="s">
        <v>2020</v>
      </c>
      <c r="B458" s="1795">
        <v>15442.74</v>
      </c>
      <c r="C458" s="1799"/>
      <c r="D458" s="1793"/>
      <c r="E458" s="1797"/>
      <c r="F458" s="104">
        <v>15442.74</v>
      </c>
      <c r="G458" s="1799"/>
    </row>
    <row r="459" spans="1:9" hidden="1">
      <c r="A459" s="1786" t="s">
        <v>3386</v>
      </c>
      <c r="B459" s="1805"/>
      <c r="C459" s="1799"/>
      <c r="D459" s="1798">
        <v>11835400</v>
      </c>
      <c r="E459" s="1794">
        <v>11835400</v>
      </c>
      <c r="F459" s="96"/>
      <c r="G459" s="1799"/>
    </row>
    <row r="460" spans="1:9" hidden="1">
      <c r="A460" s="1786" t="s">
        <v>2341</v>
      </c>
      <c r="B460" s="1805"/>
      <c r="C460" s="1799"/>
      <c r="D460" s="1798">
        <v>1119000</v>
      </c>
      <c r="E460" s="1794">
        <v>559500</v>
      </c>
      <c r="F460" s="104">
        <v>559500</v>
      </c>
      <c r="G460" s="1799"/>
    </row>
    <row r="461" spans="1:9" hidden="1">
      <c r="A461" s="1786" t="s">
        <v>2022</v>
      </c>
      <c r="B461" s="1795">
        <v>90615.34</v>
      </c>
      <c r="C461" s="1799"/>
      <c r="D461" s="1793"/>
      <c r="E461" s="1797"/>
      <c r="F461" s="104">
        <v>90615.34</v>
      </c>
      <c r="G461" s="1799"/>
    </row>
    <row r="462" spans="1:9" hidden="1">
      <c r="A462" s="1800" t="s">
        <v>1335</v>
      </c>
      <c r="B462" s="1795">
        <v>1132133.6599999999</v>
      </c>
      <c r="C462" s="1799"/>
      <c r="D462" s="1793"/>
      <c r="E462" s="1797"/>
      <c r="F462" s="104">
        <v>1132133.6599999999</v>
      </c>
      <c r="G462" s="1799"/>
    </row>
    <row r="463" spans="1:9" hidden="1">
      <c r="A463" s="1786" t="s">
        <v>1064</v>
      </c>
      <c r="B463" s="1795">
        <v>219102</v>
      </c>
      <c r="C463" s="1799"/>
      <c r="D463" s="1793"/>
      <c r="E463" s="1797"/>
      <c r="F463" s="104">
        <v>219102</v>
      </c>
      <c r="G463" s="1799"/>
    </row>
    <row r="464" spans="1:9" hidden="1">
      <c r="A464" s="1786" t="s">
        <v>3387</v>
      </c>
      <c r="B464" s="1805"/>
      <c r="C464" s="1799"/>
      <c r="D464" s="1798">
        <v>1309800</v>
      </c>
      <c r="E464" s="1794">
        <v>1309800</v>
      </c>
      <c r="F464" s="96"/>
      <c r="G464" s="1799"/>
    </row>
    <row r="465" spans="1:7" hidden="1">
      <c r="A465" s="1786" t="s">
        <v>2343</v>
      </c>
      <c r="B465" s="1795">
        <v>2484378</v>
      </c>
      <c r="C465" s="1799"/>
      <c r="D465" s="1798">
        <v>427382</v>
      </c>
      <c r="E465" s="1794">
        <v>2511760</v>
      </c>
      <c r="F465" s="104">
        <v>400000</v>
      </c>
      <c r="G465" s="1799"/>
    </row>
    <row r="466" spans="1:7" hidden="1">
      <c r="A466" s="1786" t="s">
        <v>1721</v>
      </c>
      <c r="B466" s="1795">
        <v>535232.31999999995</v>
      </c>
      <c r="C466" s="1799"/>
      <c r="D466" s="1793"/>
      <c r="E466" s="1797"/>
      <c r="F466" s="104">
        <v>535232.31999999995</v>
      </c>
      <c r="G466" s="1799"/>
    </row>
    <row r="467" spans="1:7" hidden="1">
      <c r="A467" s="1800" t="s">
        <v>2607</v>
      </c>
      <c r="B467" s="1805"/>
      <c r="C467" s="1799"/>
      <c r="D467" s="1798">
        <v>16946296.239999998</v>
      </c>
      <c r="E467" s="1794">
        <v>16555531</v>
      </c>
      <c r="F467" s="104">
        <v>390765.24</v>
      </c>
      <c r="G467" s="1799"/>
    </row>
    <row r="468" spans="1:7" hidden="1">
      <c r="A468" s="1786" t="s">
        <v>2608</v>
      </c>
      <c r="B468" s="1795">
        <v>3142070</v>
      </c>
      <c r="C468" s="1799"/>
      <c r="D468" s="1798">
        <v>936049.16</v>
      </c>
      <c r="E468" s="1794">
        <v>4078119.16</v>
      </c>
      <c r="F468" s="96"/>
      <c r="G468" s="1799"/>
    </row>
    <row r="469" spans="1:7" hidden="1">
      <c r="A469" s="1786" t="s">
        <v>2344</v>
      </c>
      <c r="B469" s="1795">
        <v>113711</v>
      </c>
      <c r="C469" s="1799"/>
      <c r="D469" s="1793"/>
      <c r="E469" s="1797"/>
      <c r="F469" s="104">
        <v>113711</v>
      </c>
      <c r="G469" s="1799"/>
    </row>
    <row r="470" spans="1:7" hidden="1">
      <c r="A470" s="1786" t="s">
        <v>2024</v>
      </c>
      <c r="B470" s="1795">
        <v>5231469.8600000003</v>
      </c>
      <c r="C470" s="1799"/>
      <c r="D470" s="1793"/>
      <c r="E470" s="1797"/>
      <c r="F470" s="104">
        <v>5231469.8600000003</v>
      </c>
      <c r="G470" s="1799"/>
    </row>
    <row r="471" spans="1:7" hidden="1">
      <c r="A471" s="1786" t="s">
        <v>2609</v>
      </c>
      <c r="B471" s="1795">
        <v>6199458.1600000001</v>
      </c>
      <c r="C471" s="1799"/>
      <c r="D471" s="1798">
        <v>18367977.859999999</v>
      </c>
      <c r="E471" s="1794">
        <v>22233495.370000001</v>
      </c>
      <c r="F471" s="104">
        <v>2333940.65</v>
      </c>
      <c r="G471" s="1799"/>
    </row>
    <row r="472" spans="1:7" hidden="1">
      <c r="A472" s="1786" t="s">
        <v>750</v>
      </c>
      <c r="B472" s="1795">
        <v>1262140</v>
      </c>
      <c r="C472" s="1799"/>
      <c r="D472" s="1793"/>
      <c r="E472" s="1797"/>
      <c r="F472" s="104">
        <v>1262140</v>
      </c>
      <c r="G472" s="1799"/>
    </row>
    <row r="473" spans="1:7" hidden="1">
      <c r="A473" s="1786" t="s">
        <v>2610</v>
      </c>
      <c r="B473" s="1795">
        <v>4437546.1399999997</v>
      </c>
      <c r="C473" s="1799"/>
      <c r="D473" s="1798">
        <v>7761501.7800000003</v>
      </c>
      <c r="E473" s="1794">
        <v>11087994.9</v>
      </c>
      <c r="F473" s="104">
        <v>1111053.02</v>
      </c>
      <c r="G473" s="1799"/>
    </row>
    <row r="474" spans="1:7" hidden="1">
      <c r="A474" s="1800" t="s">
        <v>753</v>
      </c>
      <c r="B474" s="1795">
        <v>607145.86</v>
      </c>
      <c r="C474" s="1799"/>
      <c r="D474" s="1793"/>
      <c r="E474" s="1797"/>
      <c r="F474" s="104">
        <v>607145.86</v>
      </c>
      <c r="G474" s="1799"/>
    </row>
    <row r="475" spans="1:7" hidden="1">
      <c r="A475" s="1786" t="s">
        <v>3388</v>
      </c>
      <c r="B475" s="1805"/>
      <c r="C475" s="1799"/>
      <c r="D475" s="1798">
        <v>14622829.99</v>
      </c>
      <c r="E475" s="1794">
        <v>14622829.99</v>
      </c>
      <c r="F475" s="96"/>
      <c r="G475" s="1799"/>
    </row>
    <row r="476" spans="1:7" hidden="1">
      <c r="A476" s="1786" t="s">
        <v>2611</v>
      </c>
      <c r="B476" s="1805"/>
      <c r="C476" s="1799"/>
      <c r="D476" s="1798">
        <v>1652000</v>
      </c>
      <c r="E476" s="1794">
        <v>1624000</v>
      </c>
      <c r="F476" s="104">
        <v>28000</v>
      </c>
      <c r="G476" s="1799"/>
    </row>
    <row r="477" spans="1:7" hidden="1">
      <c r="A477" s="1786" t="s">
        <v>3389</v>
      </c>
      <c r="B477" s="1805"/>
      <c r="C477" s="1799"/>
      <c r="D477" s="1798">
        <v>4039140</v>
      </c>
      <c r="E477" s="1794">
        <v>3885140</v>
      </c>
      <c r="F477" s="104">
        <v>154000</v>
      </c>
      <c r="G477" s="1799"/>
    </row>
    <row r="478" spans="1:7" hidden="1">
      <c r="A478" s="1786" t="s">
        <v>2612</v>
      </c>
      <c r="B478" s="1805"/>
      <c r="C478" s="1796">
        <v>360000</v>
      </c>
      <c r="D478" s="1798">
        <v>4141800</v>
      </c>
      <c r="E478" s="1794">
        <v>3781800</v>
      </c>
      <c r="F478" s="96"/>
      <c r="G478" s="1799"/>
    </row>
    <row r="479" spans="1:7" hidden="1">
      <c r="A479" s="1786" t="s">
        <v>3390</v>
      </c>
      <c r="B479" s="1805"/>
      <c r="C479" s="1799"/>
      <c r="D479" s="1798">
        <v>4035600</v>
      </c>
      <c r="E479" s="1794">
        <v>4035600</v>
      </c>
      <c r="F479" s="96"/>
      <c r="G479" s="1799"/>
    </row>
    <row r="480" spans="1:7" hidden="1">
      <c r="A480" s="1786" t="s">
        <v>2613</v>
      </c>
      <c r="B480" s="1795">
        <v>2249.2399999999998</v>
      </c>
      <c r="C480" s="1799"/>
      <c r="D480" s="1798">
        <v>2238504.84</v>
      </c>
      <c r="E480" s="1794">
        <v>2240754.08</v>
      </c>
      <c r="F480" s="96"/>
      <c r="G480" s="1799"/>
    </row>
    <row r="481" spans="1:7" hidden="1">
      <c r="A481" s="1786" t="s">
        <v>2026</v>
      </c>
      <c r="B481" s="1795">
        <v>49614.66</v>
      </c>
      <c r="C481" s="1799"/>
      <c r="D481" s="1798">
        <v>378151.86</v>
      </c>
      <c r="E481" s="1794">
        <v>427766.52</v>
      </c>
      <c r="F481" s="96"/>
      <c r="G481" s="1799"/>
    </row>
    <row r="482" spans="1:7" hidden="1">
      <c r="A482" s="1786" t="s">
        <v>3391</v>
      </c>
      <c r="B482" s="1805"/>
      <c r="C482" s="1799"/>
      <c r="D482" s="1798">
        <v>53937211.18</v>
      </c>
      <c r="E482" s="1794">
        <v>53937211.18</v>
      </c>
      <c r="F482" s="96"/>
      <c r="G482" s="1799"/>
    </row>
    <row r="483" spans="1:7" hidden="1">
      <c r="A483" s="1786" t="s">
        <v>2347</v>
      </c>
      <c r="B483" s="1795">
        <v>197169.17</v>
      </c>
      <c r="C483" s="1799"/>
      <c r="D483" s="1798">
        <v>31162696.219999999</v>
      </c>
      <c r="E483" s="1794">
        <v>31359865.390000001</v>
      </c>
      <c r="F483" s="96"/>
      <c r="G483" s="1799"/>
    </row>
    <row r="484" spans="1:7" hidden="1">
      <c r="A484" s="1786" t="s">
        <v>3392</v>
      </c>
      <c r="B484" s="1805"/>
      <c r="C484" s="1799"/>
      <c r="D484" s="1798">
        <v>4201313.3</v>
      </c>
      <c r="E484" s="1794">
        <v>4201313.3</v>
      </c>
      <c r="F484" s="96"/>
      <c r="G484" s="1799"/>
    </row>
    <row r="485" spans="1:7" hidden="1">
      <c r="A485" s="1800" t="s">
        <v>2027</v>
      </c>
      <c r="B485" s="1795">
        <v>192591.64</v>
      </c>
      <c r="C485" s="1799"/>
      <c r="D485" s="1793"/>
      <c r="E485" s="1797"/>
      <c r="F485" s="104">
        <v>192591.64</v>
      </c>
      <c r="G485" s="1799"/>
    </row>
    <row r="486" spans="1:7" hidden="1">
      <c r="A486" s="1786" t="s">
        <v>3393</v>
      </c>
      <c r="B486" s="1805"/>
      <c r="C486" s="1799"/>
      <c r="D486" s="1798">
        <v>6600400.7999999998</v>
      </c>
      <c r="E486" s="1794">
        <v>5098902</v>
      </c>
      <c r="F486" s="104">
        <v>1501498.8</v>
      </c>
      <c r="G486" s="1799"/>
    </row>
    <row r="487" spans="1:7" hidden="1">
      <c r="A487" s="1786" t="s">
        <v>3394</v>
      </c>
      <c r="B487" s="1805"/>
      <c r="C487" s="1799"/>
      <c r="D487" s="1798">
        <v>29779470.829999998</v>
      </c>
      <c r="E487" s="1794">
        <v>27959738</v>
      </c>
      <c r="F487" s="104">
        <v>1819732.83</v>
      </c>
      <c r="G487" s="1799"/>
    </row>
    <row r="488" spans="1:7" hidden="1">
      <c r="A488" s="1786" t="s">
        <v>2614</v>
      </c>
      <c r="B488" s="1795">
        <v>5679812.0199999996</v>
      </c>
      <c r="C488" s="1799"/>
      <c r="D488" s="1798">
        <v>34575819.399999999</v>
      </c>
      <c r="E488" s="1794">
        <v>34425811.369999997</v>
      </c>
      <c r="F488" s="104">
        <v>5829820.0499999998</v>
      </c>
      <c r="G488" s="1799"/>
    </row>
    <row r="489" spans="1:7" hidden="1">
      <c r="A489" s="1786" t="s">
        <v>3395</v>
      </c>
      <c r="B489" s="1805"/>
      <c r="C489" s="1799"/>
      <c r="D489" s="1798">
        <v>22088431.800000001</v>
      </c>
      <c r="E489" s="1794">
        <v>21366125</v>
      </c>
      <c r="F489" s="104">
        <v>722306.8</v>
      </c>
      <c r="G489" s="1799"/>
    </row>
    <row r="490" spans="1:7" hidden="1">
      <c r="A490" s="1786" t="s">
        <v>3396</v>
      </c>
      <c r="B490" s="1805"/>
      <c r="C490" s="1799"/>
      <c r="D490" s="1798">
        <v>5362646.88</v>
      </c>
      <c r="E490" s="1794">
        <v>5362646.88</v>
      </c>
      <c r="F490" s="96"/>
      <c r="G490" s="1799"/>
    </row>
    <row r="491" spans="1:7" hidden="1">
      <c r="A491" s="1786" t="s">
        <v>1256</v>
      </c>
      <c r="B491" s="1795">
        <v>328423.65999999997</v>
      </c>
      <c r="C491" s="1799"/>
      <c r="D491" s="1793"/>
      <c r="E491" s="1797"/>
      <c r="F491" s="104">
        <v>328423.65999999997</v>
      </c>
      <c r="G491" s="1799"/>
    </row>
    <row r="492" spans="1:7" hidden="1">
      <c r="A492" s="1786" t="s">
        <v>3397</v>
      </c>
      <c r="B492" s="1805"/>
      <c r="C492" s="1799"/>
      <c r="D492" s="1798">
        <v>31102291.120000001</v>
      </c>
      <c r="E492" s="1794">
        <v>20943359</v>
      </c>
      <c r="F492" s="104">
        <v>10158932.119999999</v>
      </c>
      <c r="G492" s="1799"/>
    </row>
    <row r="493" spans="1:7" hidden="1">
      <c r="A493" s="1786" t="s">
        <v>2349</v>
      </c>
      <c r="B493" s="1795">
        <v>0.02</v>
      </c>
      <c r="C493" s="1799"/>
      <c r="D493" s="1793"/>
      <c r="E493" s="1794">
        <v>0.02</v>
      </c>
      <c r="F493" s="96"/>
      <c r="G493" s="1799"/>
    </row>
    <row r="494" spans="1:7" hidden="1">
      <c r="A494" s="1786" t="s">
        <v>2350</v>
      </c>
      <c r="B494" s="1805"/>
      <c r="C494" s="1799"/>
      <c r="D494" s="1798">
        <v>967600</v>
      </c>
      <c r="E494" s="1794">
        <v>500500</v>
      </c>
      <c r="F494" s="104">
        <v>467100</v>
      </c>
      <c r="G494" s="1799"/>
    </row>
    <row r="495" spans="1:7" hidden="1">
      <c r="A495" s="1786" t="s">
        <v>3398</v>
      </c>
      <c r="B495" s="1795">
        <v>655297.56999999995</v>
      </c>
      <c r="C495" s="1799"/>
      <c r="D495" s="1798">
        <v>15926460</v>
      </c>
      <c r="E495" s="1794">
        <v>16581757.57</v>
      </c>
      <c r="F495" s="96"/>
      <c r="G495" s="1799"/>
    </row>
    <row r="496" spans="1:7" hidden="1">
      <c r="A496" s="1786" t="s">
        <v>2615</v>
      </c>
      <c r="B496" s="1795">
        <v>2557875.2400000002</v>
      </c>
      <c r="C496" s="1799"/>
      <c r="D496" s="1798">
        <v>10855110.58</v>
      </c>
      <c r="E496" s="1794">
        <v>12389151.279999999</v>
      </c>
      <c r="F496" s="104">
        <v>1023834.54</v>
      </c>
      <c r="G496" s="1799"/>
    </row>
    <row r="497" spans="1:7" hidden="1">
      <c r="A497" s="1786" t="s">
        <v>2352</v>
      </c>
      <c r="B497" s="1795">
        <v>259182.98</v>
      </c>
      <c r="C497" s="1799"/>
      <c r="D497" s="1798">
        <v>163251.01999999999</v>
      </c>
      <c r="E497" s="1794">
        <v>422434</v>
      </c>
      <c r="F497" s="96"/>
      <c r="G497" s="1799"/>
    </row>
    <row r="498" spans="1:7" hidden="1">
      <c r="A498" s="1786" t="s">
        <v>3399</v>
      </c>
      <c r="B498" s="1795">
        <v>1770800</v>
      </c>
      <c r="C498" s="1799"/>
      <c r="D498" s="1798">
        <v>1793600</v>
      </c>
      <c r="E498" s="1794">
        <v>3564400</v>
      </c>
      <c r="F498" s="96"/>
      <c r="G498" s="1799"/>
    </row>
    <row r="499" spans="1:7" hidden="1">
      <c r="A499" s="1786" t="s">
        <v>1728</v>
      </c>
      <c r="B499" s="1795">
        <v>924102.08</v>
      </c>
      <c r="C499" s="1799"/>
      <c r="D499" s="1793"/>
      <c r="E499" s="1797"/>
      <c r="F499" s="104">
        <v>924102.08</v>
      </c>
      <c r="G499" s="1799"/>
    </row>
    <row r="500" spans="1:7" hidden="1">
      <c r="A500" s="1786" t="s">
        <v>2353</v>
      </c>
      <c r="B500" s="1795">
        <v>1861653.8</v>
      </c>
      <c r="C500" s="1799"/>
      <c r="D500" s="1798">
        <v>6593191</v>
      </c>
      <c r="E500" s="1794">
        <v>8353536.3200000003</v>
      </c>
      <c r="F500" s="104">
        <v>101308.48</v>
      </c>
      <c r="G500" s="1799"/>
    </row>
    <row r="501" spans="1:7" hidden="1">
      <c r="A501" s="1786" t="s">
        <v>2617</v>
      </c>
      <c r="B501" s="1795">
        <v>1505040</v>
      </c>
      <c r="C501" s="1799"/>
      <c r="D501" s="1793"/>
      <c r="E501" s="1794">
        <v>84856</v>
      </c>
      <c r="F501" s="104">
        <v>1420184</v>
      </c>
      <c r="G501" s="1799"/>
    </row>
    <row r="502" spans="1:7" hidden="1">
      <c r="A502" s="1786" t="s">
        <v>2618</v>
      </c>
      <c r="B502" s="1805"/>
      <c r="C502" s="1799"/>
      <c r="D502" s="1798">
        <v>13405775.859999999</v>
      </c>
      <c r="E502" s="1794">
        <v>13358591</v>
      </c>
      <c r="F502" s="104">
        <v>47184.86</v>
      </c>
      <c r="G502" s="1799"/>
    </row>
    <row r="503" spans="1:7" hidden="1">
      <c r="A503" s="1786" t="s">
        <v>3400</v>
      </c>
      <c r="B503" s="1805"/>
      <c r="C503" s="1799"/>
      <c r="D503" s="1798">
        <v>3896180.64</v>
      </c>
      <c r="E503" s="1794">
        <v>3896180.64</v>
      </c>
      <c r="F503" s="96"/>
      <c r="G503" s="1799"/>
    </row>
    <row r="504" spans="1:7" hidden="1">
      <c r="A504" s="1786" t="s">
        <v>3401</v>
      </c>
      <c r="B504" s="1795">
        <v>4391693.84</v>
      </c>
      <c r="C504" s="1799"/>
      <c r="D504" s="1798">
        <v>14388370.119999999</v>
      </c>
      <c r="E504" s="1794">
        <v>10475554</v>
      </c>
      <c r="F504" s="104">
        <v>8304509.96</v>
      </c>
      <c r="G504" s="1799"/>
    </row>
    <row r="505" spans="1:7" hidden="1">
      <c r="A505" s="1786" t="s">
        <v>3402</v>
      </c>
      <c r="B505" s="1795">
        <v>186939.4</v>
      </c>
      <c r="C505" s="1799"/>
      <c r="D505" s="1793"/>
      <c r="E505" s="1797"/>
      <c r="F505" s="104">
        <v>186939.4</v>
      </c>
      <c r="G505" s="1799"/>
    </row>
    <row r="506" spans="1:7" hidden="1">
      <c r="A506" s="1786" t="s">
        <v>3403</v>
      </c>
      <c r="B506" s="1795">
        <v>2760246.51</v>
      </c>
      <c r="C506" s="1799"/>
      <c r="D506" s="1793"/>
      <c r="E506" s="1794">
        <v>755991.43</v>
      </c>
      <c r="F506" s="104">
        <v>2004255.08</v>
      </c>
      <c r="G506" s="1799"/>
    </row>
    <row r="507" spans="1:7" hidden="1">
      <c r="A507" s="1786" t="s">
        <v>3404</v>
      </c>
      <c r="B507" s="1805"/>
      <c r="C507" s="1796">
        <v>755991.43</v>
      </c>
      <c r="D507" s="1798">
        <v>755991.43</v>
      </c>
      <c r="E507" s="1797"/>
      <c r="F507" s="96"/>
      <c r="G507" s="1799"/>
    </row>
    <row r="508" spans="1:7" hidden="1">
      <c r="A508" s="1786" t="s">
        <v>3405</v>
      </c>
      <c r="B508" s="1805"/>
      <c r="C508" s="1796">
        <v>132265.85</v>
      </c>
      <c r="D508" s="1798">
        <v>3101668.94</v>
      </c>
      <c r="E508" s="1794">
        <v>315424</v>
      </c>
      <c r="F508" s="104">
        <v>2653979.09</v>
      </c>
      <c r="G508" s="1799"/>
    </row>
    <row r="509" spans="1:7" hidden="1">
      <c r="A509" s="1786" t="s">
        <v>2356</v>
      </c>
      <c r="B509" s="1805"/>
      <c r="C509" s="1799"/>
      <c r="D509" s="1798">
        <v>4464861.58</v>
      </c>
      <c r="E509" s="1794">
        <v>4464861.58</v>
      </c>
      <c r="F509" s="96"/>
      <c r="G509" s="1799"/>
    </row>
    <row r="510" spans="1:7" hidden="1">
      <c r="A510" s="1786" t="s">
        <v>2357</v>
      </c>
      <c r="B510" s="1795">
        <v>834923</v>
      </c>
      <c r="C510" s="1799"/>
      <c r="D510" s="1798">
        <v>15339.44</v>
      </c>
      <c r="E510" s="1794">
        <v>850262.44</v>
      </c>
      <c r="F510" s="96"/>
      <c r="G510" s="1799"/>
    </row>
    <row r="511" spans="1:7" hidden="1">
      <c r="A511" s="1800" t="s">
        <v>778</v>
      </c>
      <c r="B511" s="1795">
        <v>718081</v>
      </c>
      <c r="C511" s="1799"/>
      <c r="D511" s="1793"/>
      <c r="E511" s="1797"/>
      <c r="F511" s="104">
        <v>718081</v>
      </c>
      <c r="G511" s="1799"/>
    </row>
    <row r="512" spans="1:7" hidden="1">
      <c r="A512" s="1786" t="s">
        <v>1255</v>
      </c>
      <c r="B512" s="1795">
        <v>127610</v>
      </c>
      <c r="C512" s="1799"/>
      <c r="D512" s="1793"/>
      <c r="E512" s="1797"/>
      <c r="F512" s="104">
        <v>127610</v>
      </c>
      <c r="G512" s="1799"/>
    </row>
    <row r="513" spans="1:9" hidden="1">
      <c r="A513" s="1786" t="s">
        <v>1497</v>
      </c>
      <c r="B513" s="1795">
        <v>0.01</v>
      </c>
      <c r="C513" s="1799"/>
      <c r="D513" s="1793"/>
      <c r="E513" s="1794">
        <v>0.01</v>
      </c>
      <c r="F513" s="96"/>
      <c r="G513" s="1799"/>
    </row>
    <row r="514" spans="1:9" hidden="1">
      <c r="A514" s="1786" t="s">
        <v>1254</v>
      </c>
      <c r="B514" s="1795">
        <v>1183593</v>
      </c>
      <c r="C514" s="1799"/>
      <c r="D514" s="1793"/>
      <c r="E514" s="1797"/>
      <c r="F514" s="104">
        <v>1183593</v>
      </c>
      <c r="G514" s="1799"/>
    </row>
    <row r="515" spans="1:9" hidden="1">
      <c r="A515" s="1786" t="s">
        <v>1499</v>
      </c>
      <c r="B515" s="1795">
        <v>0.02</v>
      </c>
      <c r="C515" s="1799"/>
      <c r="D515" s="1793"/>
      <c r="E515" s="1794">
        <v>0.02</v>
      </c>
      <c r="F515" s="96"/>
      <c r="G515" s="1799"/>
    </row>
    <row r="516" spans="1:9" hidden="1">
      <c r="A516" s="1786" t="s">
        <v>3406</v>
      </c>
      <c r="B516" s="1805"/>
      <c r="C516" s="1799"/>
      <c r="D516" s="1798">
        <v>1239000</v>
      </c>
      <c r="E516" s="1794">
        <v>1239000</v>
      </c>
      <c r="F516" s="96"/>
      <c r="G516" s="1799"/>
    </row>
    <row r="517" spans="1:9" hidden="1">
      <c r="A517" s="1786" t="s">
        <v>3407</v>
      </c>
      <c r="B517" s="1805"/>
      <c r="C517" s="1799"/>
      <c r="D517" s="1798">
        <v>5162500</v>
      </c>
      <c r="E517" s="1794">
        <v>5162500</v>
      </c>
      <c r="F517" s="96"/>
      <c r="G517" s="1799"/>
    </row>
    <row r="518" spans="1:9" hidden="1">
      <c r="A518" s="1786" t="s">
        <v>2358</v>
      </c>
      <c r="B518" s="1795">
        <v>744627.16</v>
      </c>
      <c r="C518" s="1799"/>
      <c r="D518" s="1793"/>
      <c r="E518" s="1794">
        <v>744627.16</v>
      </c>
      <c r="F518" s="96"/>
      <c r="G518" s="1799"/>
    </row>
    <row r="519" spans="1:9" hidden="1">
      <c r="A519" s="1786" t="s">
        <v>3408</v>
      </c>
      <c r="B519" s="1805"/>
      <c r="C519" s="1799"/>
      <c r="D519" s="1798">
        <v>2692240.8</v>
      </c>
      <c r="E519" s="1794">
        <v>2103845</v>
      </c>
      <c r="F519" s="104">
        <v>588395.80000000005</v>
      </c>
      <c r="G519" s="1799"/>
    </row>
    <row r="520" spans="1:9" hidden="1">
      <c r="A520" s="1786" t="s">
        <v>3409</v>
      </c>
      <c r="B520" s="1805"/>
      <c r="C520" s="1799"/>
      <c r="D520" s="1798">
        <v>17130060</v>
      </c>
      <c r="E520" s="1794">
        <v>17130060</v>
      </c>
      <c r="F520" s="96"/>
      <c r="G520" s="1799"/>
    </row>
    <row r="521" spans="1:9" hidden="1">
      <c r="A521" s="1800" t="s">
        <v>2359</v>
      </c>
      <c r="B521" s="1795">
        <v>1290726.79</v>
      </c>
      <c r="C521" s="1799"/>
      <c r="D521" s="1798">
        <v>3337018.71</v>
      </c>
      <c r="E521" s="1794">
        <v>4627745.5</v>
      </c>
      <c r="F521" s="96"/>
      <c r="G521" s="1799"/>
    </row>
    <row r="522" spans="1:9" hidden="1">
      <c r="A522" s="1786" t="s">
        <v>2360</v>
      </c>
      <c r="B522" s="1795">
        <v>825000</v>
      </c>
      <c r="C522" s="1799"/>
      <c r="D522" s="1798">
        <v>2072143.72</v>
      </c>
      <c r="E522" s="1794">
        <v>2579360</v>
      </c>
      <c r="F522" s="104">
        <v>317783.71999999997</v>
      </c>
      <c r="G522" s="1799"/>
    </row>
    <row r="523" spans="1:9" hidden="1">
      <c r="A523" s="1786" t="s">
        <v>1248</v>
      </c>
      <c r="B523" s="1795">
        <v>517480</v>
      </c>
      <c r="C523" s="1799"/>
      <c r="D523" s="1793"/>
      <c r="E523" s="1797"/>
      <c r="F523" s="104">
        <v>517480</v>
      </c>
      <c r="G523" s="1799"/>
    </row>
    <row r="524" spans="1:9" hidden="1">
      <c r="A524" s="1786" t="s">
        <v>1501</v>
      </c>
      <c r="B524" s="1795">
        <v>494165.96</v>
      </c>
      <c r="C524" s="1799"/>
      <c r="D524" s="1793"/>
      <c r="E524" s="1797"/>
      <c r="F524" s="104">
        <v>494165.96</v>
      </c>
      <c r="G524" s="1799"/>
    </row>
    <row r="525" spans="1:9" hidden="1">
      <c r="A525" s="1782" t="s">
        <v>1247</v>
      </c>
      <c r="B525" s="1788">
        <v>323573.75</v>
      </c>
      <c r="C525" s="240"/>
      <c r="D525" s="1788">
        <v>44818801</v>
      </c>
      <c r="E525" s="233">
        <v>44871237</v>
      </c>
      <c r="F525" s="93">
        <v>271137.75</v>
      </c>
      <c r="G525" s="240"/>
    </row>
    <row r="526" spans="1:9" hidden="1">
      <c r="A526" s="1800" t="s">
        <v>260</v>
      </c>
      <c r="B526" s="1802">
        <v>128293</v>
      </c>
      <c r="C526" s="1776"/>
      <c r="D526" s="1787">
        <v>39700612</v>
      </c>
      <c r="E526" s="1774">
        <v>39825142</v>
      </c>
      <c r="F526" s="1808">
        <v>3763</v>
      </c>
      <c r="G526" s="1776"/>
      <c r="H526">
        <v>16</v>
      </c>
      <c r="I526" t="s">
        <v>3024</v>
      </c>
    </row>
    <row r="527" spans="1:9" hidden="1">
      <c r="A527" s="1800" t="s">
        <v>2621</v>
      </c>
      <c r="B527" s="1795">
        <v>195280.75</v>
      </c>
      <c r="C527" s="1799"/>
      <c r="D527" s="1798">
        <v>5118189</v>
      </c>
      <c r="E527" s="1794">
        <v>5046095</v>
      </c>
      <c r="F527" s="104">
        <v>267374.75</v>
      </c>
      <c r="G527" s="1799"/>
      <c r="H527">
        <v>16</v>
      </c>
      <c r="I527" t="s">
        <v>3024</v>
      </c>
    </row>
    <row r="528" spans="1:9" hidden="1">
      <c r="A528" s="1782" t="s">
        <v>70</v>
      </c>
      <c r="B528" s="1788">
        <v>6855741.8499999996</v>
      </c>
      <c r="C528" s="240"/>
      <c r="D528" s="1788">
        <v>741010914.90999997</v>
      </c>
      <c r="E528" s="233">
        <v>721944629.61000001</v>
      </c>
      <c r="F528" s="93">
        <v>25922027.149999999</v>
      </c>
      <c r="G528" s="240"/>
    </row>
    <row r="529" spans="1:9" hidden="1">
      <c r="A529" s="1809" t="s">
        <v>804</v>
      </c>
      <c r="B529" s="1790">
        <v>6349394.75</v>
      </c>
      <c r="C529" s="238"/>
      <c r="D529" s="1790">
        <v>732047408.90999997</v>
      </c>
      <c r="E529" s="1791">
        <v>712581372.90999997</v>
      </c>
      <c r="F529" s="110">
        <v>25815430.75</v>
      </c>
      <c r="G529" s="238"/>
    </row>
    <row r="530" spans="1:9" hidden="1">
      <c r="A530" s="1792" t="s">
        <v>806</v>
      </c>
      <c r="B530" s="1787">
        <v>12797.11</v>
      </c>
      <c r="C530" s="1804"/>
      <c r="D530" s="1775"/>
      <c r="E530" s="1776"/>
      <c r="F530" s="1807">
        <v>12797.11</v>
      </c>
      <c r="G530" s="1804"/>
      <c r="H530">
        <v>16</v>
      </c>
      <c r="I530" t="s">
        <v>1119</v>
      </c>
    </row>
    <row r="531" spans="1:9" hidden="1">
      <c r="A531" s="1786" t="s">
        <v>807</v>
      </c>
      <c r="B531" s="1798">
        <v>180326.49</v>
      </c>
      <c r="C531" s="1797"/>
      <c r="D531" s="1795">
        <v>5241956.4000000004</v>
      </c>
      <c r="E531" s="1796">
        <v>5354892.5</v>
      </c>
      <c r="F531" s="112">
        <v>67390.39</v>
      </c>
      <c r="G531" s="1797"/>
      <c r="H531">
        <v>16</v>
      </c>
      <c r="I531" t="s">
        <v>1119</v>
      </c>
    </row>
    <row r="532" spans="1:9" hidden="1">
      <c r="A532" s="1792" t="s">
        <v>808</v>
      </c>
      <c r="B532" s="1798">
        <v>136322.85</v>
      </c>
      <c r="C532" s="1797"/>
      <c r="D532" s="1795">
        <v>6783998.4000000004</v>
      </c>
      <c r="E532" s="1796">
        <v>6817351.0899999999</v>
      </c>
      <c r="F532" s="112">
        <v>102970.16</v>
      </c>
      <c r="G532" s="1797"/>
      <c r="H532">
        <v>16</v>
      </c>
      <c r="I532" t="s">
        <v>1119</v>
      </c>
    </row>
    <row r="533" spans="1:9" hidden="1">
      <c r="A533" s="1786" t="s">
        <v>261</v>
      </c>
      <c r="B533" s="1798">
        <v>1382599.21</v>
      </c>
      <c r="C533" s="1797"/>
      <c r="D533" s="1795">
        <v>440958955.88999999</v>
      </c>
      <c r="E533" s="1796">
        <v>428260299.38</v>
      </c>
      <c r="F533" s="112">
        <v>14081255.720000001</v>
      </c>
      <c r="G533" s="1797"/>
      <c r="H533">
        <v>16</v>
      </c>
      <c r="I533" t="s">
        <v>1119</v>
      </c>
    </row>
    <row r="534" spans="1:9" hidden="1">
      <c r="A534" s="1792" t="s">
        <v>811</v>
      </c>
      <c r="B534" s="1798">
        <v>715808.92</v>
      </c>
      <c r="C534" s="1797"/>
      <c r="D534" s="1795">
        <v>120959770.5</v>
      </c>
      <c r="E534" s="1796">
        <v>116556797.04000001</v>
      </c>
      <c r="F534" s="112">
        <v>5118782.38</v>
      </c>
      <c r="G534" s="1797"/>
      <c r="H534">
        <v>16</v>
      </c>
      <c r="I534" t="s">
        <v>1119</v>
      </c>
    </row>
    <row r="535" spans="1:9" hidden="1">
      <c r="A535" s="1792" t="s">
        <v>812</v>
      </c>
      <c r="B535" s="1798">
        <v>2310219.14</v>
      </c>
      <c r="C535" s="1797"/>
      <c r="D535" s="1795">
        <v>68578200</v>
      </c>
      <c r="E535" s="1796">
        <v>65771198</v>
      </c>
      <c r="F535" s="112">
        <v>5117221.1399999997</v>
      </c>
      <c r="G535" s="1797"/>
      <c r="H535">
        <v>16</v>
      </c>
      <c r="I535" t="s">
        <v>1119</v>
      </c>
    </row>
    <row r="536" spans="1:9" hidden="1">
      <c r="A536" s="1792" t="s">
        <v>2622</v>
      </c>
      <c r="B536" s="1798">
        <v>10891.6</v>
      </c>
      <c r="C536" s="1797"/>
      <c r="D536" s="1795">
        <v>55497715.719999999</v>
      </c>
      <c r="E536" s="1796">
        <v>55480142.799999997</v>
      </c>
      <c r="F536" s="112">
        <v>28464.52</v>
      </c>
      <c r="G536" s="1797"/>
      <c r="H536">
        <v>16</v>
      </c>
      <c r="I536" t="s">
        <v>1119</v>
      </c>
    </row>
    <row r="537" spans="1:9" hidden="1">
      <c r="A537" s="1792" t="s">
        <v>813</v>
      </c>
      <c r="B537" s="1798">
        <v>21297.87</v>
      </c>
      <c r="C537" s="1797"/>
      <c r="D537" s="1805"/>
      <c r="E537" s="1799"/>
      <c r="F537" s="112">
        <v>21297.87</v>
      </c>
      <c r="G537" s="1797"/>
      <c r="H537">
        <v>16</v>
      </c>
      <c r="I537" t="s">
        <v>1119</v>
      </c>
    </row>
    <row r="538" spans="1:9" hidden="1">
      <c r="A538" s="1792" t="s">
        <v>3410</v>
      </c>
      <c r="B538" s="1793"/>
      <c r="C538" s="1797"/>
      <c r="D538" s="1795">
        <v>5645000</v>
      </c>
      <c r="E538" s="1796">
        <v>5613452.8200000003</v>
      </c>
      <c r="F538" s="112">
        <v>31547.18</v>
      </c>
      <c r="G538" s="1797"/>
      <c r="H538">
        <v>16</v>
      </c>
      <c r="I538" t="s">
        <v>1119</v>
      </c>
    </row>
    <row r="539" spans="1:9" hidden="1">
      <c r="A539" s="1792" t="s">
        <v>2223</v>
      </c>
      <c r="B539" s="1798">
        <v>1565013.56</v>
      </c>
      <c r="C539" s="1797"/>
      <c r="D539" s="1795">
        <v>28381812</v>
      </c>
      <c r="E539" s="1796">
        <v>28727239.280000001</v>
      </c>
      <c r="F539" s="112">
        <v>1219586.28</v>
      </c>
      <c r="G539" s="1797"/>
      <c r="H539">
        <v>16</v>
      </c>
      <c r="I539" t="s">
        <v>1119</v>
      </c>
    </row>
    <row r="540" spans="1:9" hidden="1">
      <c r="A540" s="1792" t="s">
        <v>814</v>
      </c>
      <c r="B540" s="1798">
        <v>14118</v>
      </c>
      <c r="C540" s="1797"/>
      <c r="D540" s="1805"/>
      <c r="E540" s="1799"/>
      <c r="F540" s="112">
        <v>14118</v>
      </c>
      <c r="G540" s="1797"/>
      <c r="H540">
        <v>16</v>
      </c>
      <c r="I540" t="s">
        <v>1119</v>
      </c>
    </row>
    <row r="541" spans="1:9" hidden="1">
      <c r="A541" s="1809" t="s">
        <v>815</v>
      </c>
      <c r="B541" s="1780">
        <v>506347.1</v>
      </c>
      <c r="C541" s="1810"/>
      <c r="D541" s="1780">
        <v>8963506</v>
      </c>
      <c r="E541" s="1781">
        <v>9363256.6999999993</v>
      </c>
      <c r="F541" s="106">
        <v>106596.4</v>
      </c>
      <c r="G541" s="1810"/>
    </row>
    <row r="542" spans="1:9" hidden="1">
      <c r="A542" s="1786" t="s">
        <v>816</v>
      </c>
      <c r="B542" s="1787">
        <v>11681.17</v>
      </c>
      <c r="C542" s="1804"/>
      <c r="D542" s="1775"/>
      <c r="E542" s="1776"/>
      <c r="F542" s="1807">
        <v>11681.17</v>
      </c>
      <c r="G542" s="1804"/>
      <c r="H542">
        <v>16</v>
      </c>
      <c r="I542" t="s">
        <v>1119</v>
      </c>
    </row>
    <row r="543" spans="1:9" hidden="1">
      <c r="A543" s="1792" t="s">
        <v>817</v>
      </c>
      <c r="B543" s="1798">
        <v>27862.32</v>
      </c>
      <c r="C543" s="1797"/>
      <c r="D543" s="1805"/>
      <c r="E543" s="1799"/>
      <c r="F543" s="112">
        <v>27862.32</v>
      </c>
      <c r="G543" s="1797"/>
      <c r="H543">
        <v>16</v>
      </c>
      <c r="I543" t="s">
        <v>1119</v>
      </c>
    </row>
    <row r="544" spans="1:9" hidden="1">
      <c r="A544" s="1792" t="s">
        <v>818</v>
      </c>
      <c r="B544" s="1798">
        <v>435460.47</v>
      </c>
      <c r="C544" s="1797"/>
      <c r="D544" s="1795">
        <v>8963506</v>
      </c>
      <c r="E544" s="1796">
        <v>9361958.6999999993</v>
      </c>
      <c r="F544" s="112">
        <v>37007.769999999997</v>
      </c>
      <c r="G544" s="1797"/>
      <c r="H544">
        <v>16</v>
      </c>
      <c r="I544" t="s">
        <v>1119</v>
      </c>
    </row>
    <row r="545" spans="1:10" hidden="1">
      <c r="A545" s="1792" t="s">
        <v>819</v>
      </c>
      <c r="B545" s="1798">
        <v>20137.75</v>
      </c>
      <c r="C545" s="1797"/>
      <c r="D545" s="1805"/>
      <c r="E545" s="1796">
        <v>1298</v>
      </c>
      <c r="F545" s="112">
        <v>18839.75</v>
      </c>
      <c r="G545" s="1797"/>
      <c r="H545">
        <v>16</v>
      </c>
      <c r="I545" t="s">
        <v>1119</v>
      </c>
    </row>
    <row r="546" spans="1:10" hidden="1">
      <c r="A546" s="1786" t="s">
        <v>820</v>
      </c>
      <c r="B546" s="1798">
        <v>11037.14</v>
      </c>
      <c r="C546" s="1797"/>
      <c r="D546" s="1805"/>
      <c r="E546" s="1799"/>
      <c r="F546" s="112">
        <v>11037.14</v>
      </c>
      <c r="G546" s="1797"/>
      <c r="H546">
        <v>16</v>
      </c>
      <c r="I546" t="s">
        <v>1119</v>
      </c>
    </row>
    <row r="547" spans="1:10" hidden="1">
      <c r="A547" s="1792" t="s">
        <v>821</v>
      </c>
      <c r="B547" s="1798">
        <v>168.25</v>
      </c>
      <c r="C547" s="1797"/>
      <c r="D547" s="1805"/>
      <c r="E547" s="1799"/>
      <c r="F547" s="112">
        <v>168.25</v>
      </c>
      <c r="G547" s="1797"/>
      <c r="H547">
        <v>16</v>
      </c>
      <c r="I547" t="s">
        <v>1119</v>
      </c>
    </row>
    <row r="548" spans="1:10" hidden="1">
      <c r="A548" s="1772" t="s">
        <v>99</v>
      </c>
      <c r="B548" s="1798">
        <v>7331832</v>
      </c>
      <c r="C548" s="1797"/>
      <c r="D548" s="1795">
        <v>4642716</v>
      </c>
      <c r="E548" s="1796">
        <v>5134078</v>
      </c>
      <c r="F548" s="112">
        <v>6840470</v>
      </c>
      <c r="G548" s="1797"/>
      <c r="H548">
        <v>18</v>
      </c>
      <c r="I548" t="s">
        <v>238</v>
      </c>
    </row>
    <row r="549" spans="1:10" hidden="1">
      <c r="A549" s="1767" t="s">
        <v>100</v>
      </c>
      <c r="B549" s="1778">
        <v>275075256.87</v>
      </c>
      <c r="C549" s="1779">
        <v>267091701.00999999</v>
      </c>
      <c r="D549" s="1780">
        <v>144981513.99000001</v>
      </c>
      <c r="E549" s="1781">
        <v>145685424.05000001</v>
      </c>
      <c r="F549" s="204">
        <v>278900414.44999999</v>
      </c>
      <c r="G549" s="1779">
        <v>271620768.64999998</v>
      </c>
      <c r="H549" s="2147">
        <f>F549-G549</f>
        <v>7279645.8000000119</v>
      </c>
      <c r="J549" s="651"/>
    </row>
    <row r="550" spans="1:10" hidden="1">
      <c r="A550" s="1772" t="s">
        <v>822</v>
      </c>
      <c r="B550" s="1773"/>
      <c r="C550" s="1774">
        <v>201</v>
      </c>
      <c r="D550" s="1775"/>
      <c r="E550" s="1776"/>
      <c r="F550" s="1777"/>
      <c r="G550" s="1774">
        <v>201</v>
      </c>
      <c r="H550">
        <v>16</v>
      </c>
      <c r="I550" t="s">
        <v>3025</v>
      </c>
    </row>
    <row r="551" spans="1:10" hidden="1">
      <c r="A551" s="1772" t="s">
        <v>1246</v>
      </c>
      <c r="B551" s="1793"/>
      <c r="C551" s="1794">
        <v>34050</v>
      </c>
      <c r="D551" s="1805"/>
      <c r="E551" s="1799"/>
      <c r="F551" s="95"/>
      <c r="G551" s="1794">
        <v>34050</v>
      </c>
      <c r="H551">
        <v>16</v>
      </c>
      <c r="I551" t="s">
        <v>3025</v>
      </c>
    </row>
    <row r="552" spans="1:10" hidden="1">
      <c r="A552" s="1772" t="s">
        <v>3411</v>
      </c>
      <c r="B552" s="1793"/>
      <c r="C552" s="1797"/>
      <c r="D552" s="1795">
        <v>21500</v>
      </c>
      <c r="E552" s="1796">
        <v>7995</v>
      </c>
      <c r="F552" s="112">
        <v>13505</v>
      </c>
      <c r="G552" s="1797"/>
      <c r="H552">
        <v>16</v>
      </c>
      <c r="I552" t="s">
        <v>3025</v>
      </c>
    </row>
    <row r="553" spans="1:10" hidden="1">
      <c r="A553" s="1772" t="s">
        <v>1245</v>
      </c>
      <c r="B553" s="1793"/>
      <c r="C553" s="1794">
        <v>1544</v>
      </c>
      <c r="D553" s="1805"/>
      <c r="E553" s="1799"/>
      <c r="F553" s="95"/>
      <c r="G553" s="1794">
        <v>1544</v>
      </c>
      <c r="H553">
        <v>16</v>
      </c>
      <c r="I553" t="s">
        <v>3025</v>
      </c>
    </row>
    <row r="554" spans="1:10" hidden="1">
      <c r="A554" s="1772" t="s">
        <v>823</v>
      </c>
      <c r="B554" s="1793"/>
      <c r="C554" s="1794">
        <v>2</v>
      </c>
      <c r="D554" s="1795">
        <v>2</v>
      </c>
      <c r="E554" s="1799"/>
      <c r="F554" s="95"/>
      <c r="G554" s="1797"/>
    </row>
    <row r="555" spans="1:10" hidden="1">
      <c r="A555" s="1772" t="s">
        <v>2038</v>
      </c>
      <c r="B555" s="1798">
        <v>2500</v>
      </c>
      <c r="C555" s="1797"/>
      <c r="D555" s="1805"/>
      <c r="E555" s="1799"/>
      <c r="F555" s="112">
        <v>2500</v>
      </c>
      <c r="G555" s="1797"/>
      <c r="H555">
        <v>16</v>
      </c>
      <c r="I555" t="s">
        <v>3025</v>
      </c>
    </row>
    <row r="556" spans="1:10" hidden="1">
      <c r="A556" s="1772" t="s">
        <v>2040</v>
      </c>
      <c r="B556" s="1798">
        <v>1300</v>
      </c>
      <c r="C556" s="1797"/>
      <c r="D556" s="1805"/>
      <c r="E556" s="1799"/>
      <c r="F556" s="112">
        <v>1300</v>
      </c>
      <c r="G556" s="1797"/>
      <c r="H556">
        <v>16</v>
      </c>
      <c r="I556" t="s">
        <v>3025</v>
      </c>
    </row>
    <row r="557" spans="1:10" hidden="1">
      <c r="A557" s="1772" t="s">
        <v>2747</v>
      </c>
      <c r="B557" s="1793"/>
      <c r="C557" s="1797"/>
      <c r="D557" s="1795">
        <v>3375052</v>
      </c>
      <c r="E557" s="1796">
        <v>3359186</v>
      </c>
      <c r="F557" s="112">
        <v>15866</v>
      </c>
      <c r="G557" s="1797"/>
      <c r="H557">
        <v>16</v>
      </c>
      <c r="I557" t="s">
        <v>3025</v>
      </c>
    </row>
    <row r="558" spans="1:10" hidden="1">
      <c r="A558" s="1772" t="s">
        <v>824</v>
      </c>
      <c r="B558" s="1793"/>
      <c r="C558" s="1794">
        <v>800</v>
      </c>
      <c r="D558" s="1805"/>
      <c r="E558" s="1799"/>
      <c r="F558" s="95"/>
      <c r="G558" s="1794">
        <v>800</v>
      </c>
      <c r="H558">
        <v>16</v>
      </c>
      <c r="I558" t="s">
        <v>3025</v>
      </c>
    </row>
    <row r="559" spans="1:10" hidden="1">
      <c r="A559" s="1772" t="s">
        <v>1839</v>
      </c>
      <c r="B559" s="1798">
        <v>23043</v>
      </c>
      <c r="C559" s="1797"/>
      <c r="D559" s="1805"/>
      <c r="E559" s="1796">
        <v>23043</v>
      </c>
      <c r="F559" s="95"/>
      <c r="G559" s="1797"/>
    </row>
    <row r="560" spans="1:10" hidden="1">
      <c r="A560" s="1772" t="s">
        <v>825</v>
      </c>
      <c r="B560" s="1798">
        <v>2727</v>
      </c>
      <c r="C560" s="1797"/>
      <c r="D560" s="1805"/>
      <c r="E560" s="1799"/>
      <c r="F560" s="112">
        <v>2727</v>
      </c>
      <c r="G560" s="1797"/>
      <c r="H560">
        <v>16</v>
      </c>
      <c r="I560" t="s">
        <v>3025</v>
      </c>
    </row>
    <row r="561" spans="1:9" hidden="1">
      <c r="A561" s="1772" t="s">
        <v>1078</v>
      </c>
      <c r="B561" s="1798">
        <v>45000</v>
      </c>
      <c r="C561" s="1797"/>
      <c r="D561" s="1805"/>
      <c r="E561" s="1799"/>
      <c r="F561" s="112">
        <v>45000</v>
      </c>
      <c r="G561" s="1797"/>
      <c r="H561">
        <v>16</v>
      </c>
      <c r="I561" t="s">
        <v>3025</v>
      </c>
    </row>
    <row r="562" spans="1:9" hidden="1">
      <c r="A562" s="1772" t="s">
        <v>3412</v>
      </c>
      <c r="B562" s="1793"/>
      <c r="C562" s="1797"/>
      <c r="D562" s="1795">
        <v>891700</v>
      </c>
      <c r="E562" s="1796">
        <v>812487</v>
      </c>
      <c r="F562" s="112">
        <v>79213</v>
      </c>
      <c r="G562" s="1797"/>
      <c r="H562">
        <v>16</v>
      </c>
      <c r="I562" t="s">
        <v>3025</v>
      </c>
    </row>
    <row r="563" spans="1:9" hidden="1">
      <c r="A563" s="1772" t="s">
        <v>2178</v>
      </c>
      <c r="B563" s="1798">
        <v>579004.5</v>
      </c>
      <c r="C563" s="1797"/>
      <c r="D563" s="1795">
        <v>8612996.3599999994</v>
      </c>
      <c r="E563" s="1796">
        <v>9125928.8599999994</v>
      </c>
      <c r="F563" s="112">
        <v>66072</v>
      </c>
      <c r="G563" s="1797"/>
      <c r="H563">
        <v>16</v>
      </c>
      <c r="I563" t="s">
        <v>3025</v>
      </c>
    </row>
    <row r="564" spans="1:9" hidden="1">
      <c r="A564" s="1772" t="s">
        <v>830</v>
      </c>
      <c r="B564" s="1798">
        <v>9410.25</v>
      </c>
      <c r="C564" s="1797"/>
      <c r="D564" s="1795">
        <v>2070788.08</v>
      </c>
      <c r="E564" s="1796">
        <v>2098444.08</v>
      </c>
      <c r="F564" s="95"/>
      <c r="G564" s="1794">
        <v>18245.75</v>
      </c>
      <c r="H564">
        <v>16</v>
      </c>
      <c r="I564" t="s">
        <v>3025</v>
      </c>
    </row>
    <row r="565" spans="1:9" hidden="1">
      <c r="A565" s="1772" t="s">
        <v>1505</v>
      </c>
      <c r="B565" s="1798">
        <v>5875</v>
      </c>
      <c r="C565" s="1797"/>
      <c r="D565" s="1805"/>
      <c r="E565" s="1796">
        <v>5875</v>
      </c>
      <c r="F565" s="95"/>
      <c r="G565" s="1797"/>
    </row>
    <row r="566" spans="1:9" hidden="1">
      <c r="A566" s="1772" t="s">
        <v>833</v>
      </c>
      <c r="B566" s="1798">
        <v>6924</v>
      </c>
      <c r="C566" s="1797"/>
      <c r="D566" s="1805"/>
      <c r="E566" s="1796">
        <v>6924</v>
      </c>
      <c r="F566" s="95"/>
      <c r="G566" s="1797"/>
    </row>
    <row r="567" spans="1:9" hidden="1">
      <c r="A567" s="1772" t="s">
        <v>1506</v>
      </c>
      <c r="B567" s="1793"/>
      <c r="C567" s="1794">
        <v>41010</v>
      </c>
      <c r="D567" s="1795">
        <v>41010</v>
      </c>
      <c r="E567" s="1799"/>
      <c r="F567" s="95"/>
      <c r="G567" s="1797"/>
    </row>
    <row r="568" spans="1:9" hidden="1">
      <c r="A568" s="1772" t="s">
        <v>2180</v>
      </c>
      <c r="B568" s="1798">
        <v>312318</v>
      </c>
      <c r="C568" s="1797"/>
      <c r="D568" s="1795">
        <v>7944683</v>
      </c>
      <c r="E568" s="1796">
        <v>7926514</v>
      </c>
      <c r="F568" s="112">
        <v>330487</v>
      </c>
      <c r="G568" s="1797"/>
      <c r="H568">
        <v>16</v>
      </c>
      <c r="I568" t="s">
        <v>3025</v>
      </c>
    </row>
    <row r="569" spans="1:9" hidden="1">
      <c r="A569" s="1772" t="s">
        <v>3413</v>
      </c>
      <c r="B569" s="1793"/>
      <c r="C569" s="1797"/>
      <c r="D569" s="1795">
        <v>378180</v>
      </c>
      <c r="E569" s="1796">
        <v>178436</v>
      </c>
      <c r="F569" s="112">
        <v>199744</v>
      </c>
      <c r="G569" s="1797"/>
      <c r="H569">
        <v>16</v>
      </c>
      <c r="I569" t="s">
        <v>3025</v>
      </c>
    </row>
    <row r="570" spans="1:9" hidden="1">
      <c r="A570" s="1772" t="s">
        <v>2623</v>
      </c>
      <c r="B570" s="1798">
        <v>278364</v>
      </c>
      <c r="C570" s="1797"/>
      <c r="D570" s="1795">
        <v>2226206</v>
      </c>
      <c r="E570" s="1796">
        <v>2504570</v>
      </c>
      <c r="F570" s="95"/>
      <c r="G570" s="1797"/>
    </row>
    <row r="571" spans="1:9" hidden="1">
      <c r="A571" s="1772" t="s">
        <v>835</v>
      </c>
      <c r="B571" s="1793"/>
      <c r="C571" s="1794">
        <v>2000</v>
      </c>
      <c r="D571" s="1805"/>
      <c r="E571" s="1799"/>
      <c r="F571" s="95"/>
      <c r="G571" s="1794">
        <v>2000</v>
      </c>
      <c r="H571">
        <v>16</v>
      </c>
      <c r="I571" t="s">
        <v>3025</v>
      </c>
    </row>
    <row r="572" spans="1:9" hidden="1">
      <c r="A572" s="1772" t="s">
        <v>1737</v>
      </c>
      <c r="B572" s="1793"/>
      <c r="C572" s="1794">
        <v>65855</v>
      </c>
      <c r="D572" s="1805"/>
      <c r="E572" s="1799"/>
      <c r="F572" s="95"/>
      <c r="G572" s="1794">
        <v>65855</v>
      </c>
      <c r="H572">
        <v>16</v>
      </c>
      <c r="I572" t="s">
        <v>3025</v>
      </c>
    </row>
    <row r="573" spans="1:9" hidden="1">
      <c r="A573" s="1772" t="s">
        <v>2624</v>
      </c>
      <c r="B573" s="1798">
        <v>149114</v>
      </c>
      <c r="C573" s="1797"/>
      <c r="D573" s="1795">
        <v>5174065</v>
      </c>
      <c r="E573" s="1796">
        <v>5323179</v>
      </c>
      <c r="F573" s="95"/>
      <c r="G573" s="1797"/>
    </row>
    <row r="574" spans="1:9" hidden="1">
      <c r="A574" s="1772" t="s">
        <v>2625</v>
      </c>
      <c r="B574" s="1798">
        <v>96404</v>
      </c>
      <c r="C574" s="1797"/>
      <c r="D574" s="1795">
        <v>508140</v>
      </c>
      <c r="E574" s="1796">
        <v>604544</v>
      </c>
      <c r="F574" s="95"/>
      <c r="G574" s="1797"/>
    </row>
    <row r="575" spans="1:9" hidden="1">
      <c r="A575" s="1772" t="s">
        <v>2626</v>
      </c>
      <c r="B575" s="1798">
        <v>81429</v>
      </c>
      <c r="C575" s="1797"/>
      <c r="D575" s="1795">
        <v>2422942.7200000002</v>
      </c>
      <c r="E575" s="1796">
        <v>2504371.7200000002</v>
      </c>
      <c r="F575" s="95"/>
      <c r="G575" s="1797"/>
    </row>
    <row r="576" spans="1:9" hidden="1">
      <c r="A576" s="1772" t="s">
        <v>2627</v>
      </c>
      <c r="B576" s="1798">
        <v>85013</v>
      </c>
      <c r="C576" s="1797"/>
      <c r="D576" s="1795">
        <v>2546761</v>
      </c>
      <c r="E576" s="1796">
        <v>2622419</v>
      </c>
      <c r="F576" s="112">
        <v>9355</v>
      </c>
      <c r="G576" s="1797"/>
      <c r="H576">
        <v>16</v>
      </c>
      <c r="I576" t="s">
        <v>3025</v>
      </c>
    </row>
    <row r="577" spans="1:9" hidden="1">
      <c r="A577" s="1772" t="s">
        <v>2782</v>
      </c>
      <c r="B577" s="1793"/>
      <c r="C577" s="1797"/>
      <c r="D577" s="1795">
        <v>1294720</v>
      </c>
      <c r="E577" s="1796">
        <v>1294720</v>
      </c>
      <c r="F577" s="95"/>
      <c r="G577" s="1797"/>
    </row>
    <row r="578" spans="1:9" hidden="1">
      <c r="A578" s="1772" t="s">
        <v>2046</v>
      </c>
      <c r="B578" s="1798">
        <v>300</v>
      </c>
      <c r="C578" s="1797"/>
      <c r="D578" s="1795">
        <v>765941</v>
      </c>
      <c r="E578" s="1796">
        <v>766241</v>
      </c>
      <c r="F578" s="95"/>
      <c r="G578" s="1797"/>
    </row>
    <row r="579" spans="1:9" hidden="1">
      <c r="A579" s="1772" t="s">
        <v>2047</v>
      </c>
      <c r="B579" s="1798">
        <v>178674.69</v>
      </c>
      <c r="C579" s="1797"/>
      <c r="D579" s="1795">
        <v>666743</v>
      </c>
      <c r="E579" s="1796">
        <v>835422.69</v>
      </c>
      <c r="F579" s="112">
        <v>9995</v>
      </c>
      <c r="G579" s="1797"/>
      <c r="H579">
        <v>16</v>
      </c>
      <c r="I579" t="s">
        <v>3025</v>
      </c>
    </row>
    <row r="580" spans="1:9" hidden="1">
      <c r="A580" s="1772" t="s">
        <v>2628</v>
      </c>
      <c r="B580" s="1798">
        <v>27000</v>
      </c>
      <c r="C580" s="1797"/>
      <c r="D580" s="1795">
        <v>11808587</v>
      </c>
      <c r="E580" s="1796">
        <v>11390259</v>
      </c>
      <c r="F580" s="112">
        <v>445328</v>
      </c>
      <c r="G580" s="1797"/>
      <c r="H580">
        <v>16</v>
      </c>
      <c r="I580" t="s">
        <v>3025</v>
      </c>
    </row>
    <row r="581" spans="1:9" hidden="1">
      <c r="A581" s="1772" t="s">
        <v>2181</v>
      </c>
      <c r="B581" s="1798">
        <v>209363.61</v>
      </c>
      <c r="C581" s="1797"/>
      <c r="D581" s="1795">
        <v>4004510</v>
      </c>
      <c r="E581" s="1796">
        <v>4200873.6100000003</v>
      </c>
      <c r="F581" s="112">
        <v>13000</v>
      </c>
      <c r="G581" s="1797"/>
      <c r="H581">
        <v>16</v>
      </c>
      <c r="I581" t="s">
        <v>3025</v>
      </c>
    </row>
    <row r="582" spans="1:9" hidden="1">
      <c r="A582" s="1772" t="s">
        <v>836</v>
      </c>
      <c r="B582" s="1798">
        <v>88647</v>
      </c>
      <c r="C582" s="1797"/>
      <c r="D582" s="1805"/>
      <c r="E582" s="1799"/>
      <c r="F582" s="112">
        <v>88647</v>
      </c>
      <c r="G582" s="1797"/>
      <c r="H582">
        <v>16</v>
      </c>
      <c r="I582" t="s">
        <v>3025</v>
      </c>
    </row>
    <row r="583" spans="1:9" hidden="1">
      <c r="A583" s="1772" t="s">
        <v>1243</v>
      </c>
      <c r="B583" s="1798">
        <v>32269</v>
      </c>
      <c r="C583" s="1797"/>
      <c r="D583" s="1805"/>
      <c r="E583" s="1799"/>
      <c r="F583" s="112">
        <v>32269</v>
      </c>
      <c r="G583" s="1797"/>
      <c r="H583">
        <v>16</v>
      </c>
      <c r="I583" t="s">
        <v>3025</v>
      </c>
    </row>
    <row r="584" spans="1:9" hidden="1">
      <c r="A584" s="1772" t="s">
        <v>3414</v>
      </c>
      <c r="B584" s="1793"/>
      <c r="C584" s="1797"/>
      <c r="D584" s="1795">
        <v>4702407</v>
      </c>
      <c r="E584" s="1796">
        <v>3855422</v>
      </c>
      <c r="F584" s="112">
        <v>846985</v>
      </c>
      <c r="G584" s="1797"/>
      <c r="H584">
        <v>16</v>
      </c>
      <c r="I584" t="s">
        <v>3025</v>
      </c>
    </row>
    <row r="585" spans="1:9" hidden="1">
      <c r="A585" s="1772" t="s">
        <v>2048</v>
      </c>
      <c r="B585" s="1793"/>
      <c r="C585" s="1794">
        <v>3000</v>
      </c>
      <c r="D585" s="1805"/>
      <c r="E585" s="1799"/>
      <c r="F585" s="95"/>
      <c r="G585" s="1794">
        <v>3000</v>
      </c>
      <c r="H585">
        <v>16</v>
      </c>
      <c r="I585" t="s">
        <v>3025</v>
      </c>
    </row>
    <row r="586" spans="1:9" hidden="1">
      <c r="A586" s="1772" t="s">
        <v>837</v>
      </c>
      <c r="B586" s="1798">
        <v>75</v>
      </c>
      <c r="C586" s="1797"/>
      <c r="D586" s="1805"/>
      <c r="E586" s="1799"/>
      <c r="F586" s="112">
        <v>75</v>
      </c>
      <c r="G586" s="1797"/>
      <c r="H586">
        <v>16</v>
      </c>
      <c r="I586" t="s">
        <v>3025</v>
      </c>
    </row>
    <row r="587" spans="1:9" hidden="1">
      <c r="A587" s="1772" t="s">
        <v>838</v>
      </c>
      <c r="B587" s="1798">
        <v>5578</v>
      </c>
      <c r="C587" s="1797"/>
      <c r="D587" s="1805"/>
      <c r="E587" s="1799"/>
      <c r="F587" s="112">
        <v>5578</v>
      </c>
      <c r="G587" s="1797"/>
      <c r="H587">
        <v>16</v>
      </c>
      <c r="I587" t="s">
        <v>3025</v>
      </c>
    </row>
    <row r="588" spans="1:9" hidden="1">
      <c r="A588" s="1772" t="s">
        <v>839</v>
      </c>
      <c r="B588" s="1798">
        <v>22244</v>
      </c>
      <c r="C588" s="1797"/>
      <c r="D588" s="1805"/>
      <c r="E588" s="1799"/>
      <c r="F588" s="112">
        <v>22244</v>
      </c>
      <c r="G588" s="1797"/>
      <c r="H588">
        <v>16</v>
      </c>
      <c r="I588" t="s">
        <v>3025</v>
      </c>
    </row>
    <row r="589" spans="1:9" hidden="1">
      <c r="A589" s="1772" t="s">
        <v>840</v>
      </c>
      <c r="B589" s="1798">
        <v>18095</v>
      </c>
      <c r="C589" s="1797"/>
      <c r="D589" s="1805"/>
      <c r="E589" s="1799"/>
      <c r="F589" s="112">
        <v>18095</v>
      </c>
      <c r="G589" s="1797"/>
      <c r="H589">
        <v>16</v>
      </c>
      <c r="I589" t="s">
        <v>3025</v>
      </c>
    </row>
    <row r="590" spans="1:9" hidden="1">
      <c r="A590" s="1772" t="s">
        <v>841</v>
      </c>
      <c r="B590" s="1798">
        <v>31056</v>
      </c>
      <c r="C590" s="1797"/>
      <c r="D590" s="1805"/>
      <c r="E590" s="1799"/>
      <c r="F590" s="112">
        <v>31056</v>
      </c>
      <c r="G590" s="1797"/>
      <c r="H590">
        <v>16</v>
      </c>
      <c r="I590" t="s">
        <v>3025</v>
      </c>
    </row>
    <row r="591" spans="1:9" hidden="1">
      <c r="A591" s="1772" t="s">
        <v>842</v>
      </c>
      <c r="B591" s="1798">
        <v>27512</v>
      </c>
      <c r="C591" s="1797"/>
      <c r="D591" s="1805"/>
      <c r="E591" s="1799"/>
      <c r="F591" s="112">
        <v>27512</v>
      </c>
      <c r="G591" s="1797"/>
      <c r="H591">
        <v>16</v>
      </c>
      <c r="I591" t="s">
        <v>3025</v>
      </c>
    </row>
    <row r="592" spans="1:9" hidden="1">
      <c r="A592" s="1772" t="s">
        <v>843</v>
      </c>
      <c r="B592" s="1793"/>
      <c r="C592" s="1794">
        <v>2000</v>
      </c>
      <c r="D592" s="1805"/>
      <c r="E592" s="1799"/>
      <c r="F592" s="95"/>
      <c r="G592" s="1794">
        <v>2000</v>
      </c>
      <c r="H592">
        <v>16</v>
      </c>
      <c r="I592" t="s">
        <v>3025</v>
      </c>
    </row>
    <row r="593" spans="1:9" hidden="1">
      <c r="A593" s="1772" t="s">
        <v>2798</v>
      </c>
      <c r="B593" s="1793"/>
      <c r="C593" s="1797"/>
      <c r="D593" s="1795">
        <v>12293665.720000001</v>
      </c>
      <c r="E593" s="1796">
        <v>12263342.720000001</v>
      </c>
      <c r="F593" s="112">
        <v>30323</v>
      </c>
      <c r="G593" s="1797"/>
      <c r="H593">
        <v>16</v>
      </c>
      <c r="I593" t="s">
        <v>3025</v>
      </c>
    </row>
    <row r="594" spans="1:9" hidden="1">
      <c r="A594" s="1772" t="s">
        <v>3415</v>
      </c>
      <c r="B594" s="1793"/>
      <c r="C594" s="1797"/>
      <c r="D594" s="1795">
        <v>1770384</v>
      </c>
      <c r="E594" s="1796">
        <v>1770384</v>
      </c>
      <c r="F594" s="95"/>
      <c r="G594" s="1797"/>
    </row>
    <row r="595" spans="1:9" hidden="1">
      <c r="A595" s="1772" t="s">
        <v>3416</v>
      </c>
      <c r="B595" s="1793"/>
      <c r="C595" s="1797"/>
      <c r="D595" s="1795">
        <v>2238536</v>
      </c>
      <c r="E595" s="1796">
        <v>2331285</v>
      </c>
      <c r="F595" s="95"/>
      <c r="G595" s="1794">
        <v>92749</v>
      </c>
      <c r="H595">
        <v>16</v>
      </c>
      <c r="I595" t="s">
        <v>3025</v>
      </c>
    </row>
    <row r="596" spans="1:9" hidden="1">
      <c r="A596" s="1772" t="s">
        <v>3417</v>
      </c>
      <c r="B596" s="1793"/>
      <c r="C596" s="1797"/>
      <c r="D596" s="1795">
        <v>3384269</v>
      </c>
      <c r="E596" s="1796">
        <v>2629832</v>
      </c>
      <c r="F596" s="112">
        <v>754437</v>
      </c>
      <c r="G596" s="1797"/>
      <c r="H596">
        <v>16</v>
      </c>
      <c r="I596" t="s">
        <v>3025</v>
      </c>
    </row>
    <row r="597" spans="1:9" hidden="1">
      <c r="A597" s="1772" t="s">
        <v>2629</v>
      </c>
      <c r="B597" s="1798">
        <v>1054352</v>
      </c>
      <c r="C597" s="1797"/>
      <c r="D597" s="1795">
        <v>12757269</v>
      </c>
      <c r="E597" s="1796">
        <v>13811621</v>
      </c>
      <c r="F597" s="95"/>
      <c r="G597" s="1797"/>
    </row>
    <row r="598" spans="1:9" hidden="1">
      <c r="A598" s="1772" t="s">
        <v>2630</v>
      </c>
      <c r="B598" s="1798">
        <v>367927</v>
      </c>
      <c r="C598" s="1797"/>
      <c r="D598" s="1795">
        <v>10215115</v>
      </c>
      <c r="E598" s="1796">
        <v>10583042</v>
      </c>
      <c r="F598" s="95"/>
      <c r="G598" s="1797"/>
    </row>
    <row r="599" spans="1:9" hidden="1">
      <c r="A599" s="1772" t="s">
        <v>844</v>
      </c>
      <c r="B599" s="1793"/>
      <c r="C599" s="1794">
        <v>2100</v>
      </c>
      <c r="D599" s="1805"/>
      <c r="E599" s="1799"/>
      <c r="F599" s="95"/>
      <c r="G599" s="1794">
        <v>2100</v>
      </c>
      <c r="H599">
        <v>16</v>
      </c>
      <c r="I599" t="s">
        <v>3025</v>
      </c>
    </row>
    <row r="600" spans="1:9" hidden="1">
      <c r="A600" s="1772" t="s">
        <v>1841</v>
      </c>
      <c r="B600" s="1798">
        <v>23239</v>
      </c>
      <c r="C600" s="1797"/>
      <c r="D600" s="1805"/>
      <c r="E600" s="1796">
        <v>23239</v>
      </c>
      <c r="F600" s="95"/>
      <c r="G600" s="1797"/>
    </row>
    <row r="601" spans="1:9" hidden="1">
      <c r="A601" s="1772" t="s">
        <v>845</v>
      </c>
      <c r="B601" s="1793"/>
      <c r="C601" s="1794">
        <v>5745</v>
      </c>
      <c r="D601" s="1805"/>
      <c r="E601" s="1799"/>
      <c r="F601" s="95"/>
      <c r="G601" s="1794">
        <v>5745</v>
      </c>
      <c r="H601">
        <v>16</v>
      </c>
      <c r="I601" t="s">
        <v>3025</v>
      </c>
    </row>
    <row r="602" spans="1:9" hidden="1">
      <c r="A602" s="1772" t="s">
        <v>846</v>
      </c>
      <c r="B602" s="1798">
        <v>3188</v>
      </c>
      <c r="C602" s="1797"/>
      <c r="D602" s="1805"/>
      <c r="E602" s="1799"/>
      <c r="F602" s="112">
        <v>3188</v>
      </c>
      <c r="G602" s="1797"/>
      <c r="H602">
        <v>16</v>
      </c>
      <c r="I602" t="s">
        <v>3025</v>
      </c>
    </row>
    <row r="603" spans="1:9" hidden="1">
      <c r="A603" s="1772" t="s">
        <v>1516</v>
      </c>
      <c r="B603" s="1793"/>
      <c r="C603" s="1794">
        <v>60</v>
      </c>
      <c r="D603" s="1795">
        <v>60</v>
      </c>
      <c r="E603" s="1799"/>
      <c r="F603" s="95"/>
      <c r="G603" s="1797"/>
    </row>
    <row r="604" spans="1:9" hidden="1">
      <c r="A604" s="1772" t="s">
        <v>2832</v>
      </c>
      <c r="B604" s="1793"/>
      <c r="C604" s="1797"/>
      <c r="D604" s="1795">
        <v>10363375</v>
      </c>
      <c r="E604" s="1796">
        <v>9089404</v>
      </c>
      <c r="F604" s="112">
        <v>1273971</v>
      </c>
      <c r="G604" s="1797"/>
      <c r="H604">
        <v>16</v>
      </c>
      <c r="I604" t="s">
        <v>3025</v>
      </c>
    </row>
    <row r="605" spans="1:9" hidden="1">
      <c r="A605" s="1772" t="s">
        <v>941</v>
      </c>
      <c r="B605" s="1798">
        <v>3752</v>
      </c>
      <c r="C605" s="1797"/>
      <c r="D605" s="1805"/>
      <c r="E605" s="1796">
        <v>3752</v>
      </c>
      <c r="F605" s="95"/>
      <c r="G605" s="1797"/>
    </row>
    <row r="606" spans="1:9" hidden="1">
      <c r="A606" s="1772" t="s">
        <v>2050</v>
      </c>
      <c r="B606" s="1793"/>
      <c r="C606" s="1797"/>
      <c r="D606" s="1795">
        <v>757712</v>
      </c>
      <c r="E606" s="1796">
        <v>757712</v>
      </c>
      <c r="F606" s="95"/>
      <c r="G606" s="1797"/>
    </row>
    <row r="607" spans="1:9" hidden="1">
      <c r="A607" s="1772" t="s">
        <v>2182</v>
      </c>
      <c r="B607" s="1798">
        <v>53725.55</v>
      </c>
      <c r="C607" s="1797"/>
      <c r="D607" s="1795">
        <v>50000</v>
      </c>
      <c r="E607" s="1796">
        <v>50000</v>
      </c>
      <c r="F607" s="112">
        <v>53725.55</v>
      </c>
      <c r="G607" s="1797"/>
      <c r="H607">
        <v>16</v>
      </c>
      <c r="I607" t="s">
        <v>3025</v>
      </c>
    </row>
    <row r="608" spans="1:9" hidden="1">
      <c r="A608" s="1772" t="s">
        <v>2631</v>
      </c>
      <c r="B608" s="1798">
        <v>309993</v>
      </c>
      <c r="C608" s="1797"/>
      <c r="D608" s="1795">
        <v>4962355</v>
      </c>
      <c r="E608" s="1796">
        <v>5272348</v>
      </c>
      <c r="F608" s="95"/>
      <c r="G608" s="1797"/>
    </row>
    <row r="609" spans="1:9" hidden="1">
      <c r="A609" s="1772" t="s">
        <v>2202</v>
      </c>
      <c r="B609" s="1793"/>
      <c r="C609" s="1794">
        <v>13</v>
      </c>
      <c r="D609" s="1795">
        <v>110063</v>
      </c>
      <c r="E609" s="1796">
        <v>110050</v>
      </c>
      <c r="F609" s="95"/>
      <c r="G609" s="1797"/>
    </row>
    <row r="610" spans="1:9" hidden="1">
      <c r="A610" s="1772" t="s">
        <v>1517</v>
      </c>
      <c r="B610" s="1798">
        <v>29772</v>
      </c>
      <c r="C610" s="1797"/>
      <c r="D610" s="1805"/>
      <c r="E610" s="1796">
        <v>29772</v>
      </c>
      <c r="F610" s="95"/>
      <c r="G610" s="1797"/>
    </row>
    <row r="611" spans="1:9" hidden="1">
      <c r="A611" s="1772" t="s">
        <v>849</v>
      </c>
      <c r="B611" s="1793"/>
      <c r="C611" s="1794">
        <v>1000</v>
      </c>
      <c r="D611" s="1805"/>
      <c r="E611" s="1799"/>
      <c r="F611" s="95"/>
      <c r="G611" s="1794">
        <v>1000</v>
      </c>
      <c r="H611">
        <v>16</v>
      </c>
      <c r="I611" t="s">
        <v>3025</v>
      </c>
    </row>
    <row r="612" spans="1:9" hidden="1">
      <c r="A612" s="1772" t="s">
        <v>850</v>
      </c>
      <c r="B612" s="1798">
        <v>2950</v>
      </c>
      <c r="C612" s="1797"/>
      <c r="D612" s="1805"/>
      <c r="E612" s="1799"/>
      <c r="F612" s="112">
        <v>2950</v>
      </c>
      <c r="G612" s="1797"/>
      <c r="H612">
        <v>16</v>
      </c>
      <c r="I612" t="s">
        <v>3025</v>
      </c>
    </row>
    <row r="613" spans="1:9" hidden="1">
      <c r="A613" s="1772" t="s">
        <v>2183</v>
      </c>
      <c r="B613" s="1798">
        <v>47479</v>
      </c>
      <c r="C613" s="1797"/>
      <c r="D613" s="1795">
        <v>49122</v>
      </c>
      <c r="E613" s="1796">
        <v>96601</v>
      </c>
      <c r="F613" s="95"/>
      <c r="G613" s="1797"/>
    </row>
    <row r="614" spans="1:9" hidden="1">
      <c r="A614" s="1772" t="s">
        <v>1739</v>
      </c>
      <c r="B614" s="1798">
        <v>5501</v>
      </c>
      <c r="C614" s="1797"/>
      <c r="D614" s="1805"/>
      <c r="E614" s="1799"/>
      <c r="F614" s="112">
        <v>5501</v>
      </c>
      <c r="G614" s="1797"/>
      <c r="H614">
        <v>16</v>
      </c>
      <c r="I614" t="s">
        <v>3025</v>
      </c>
    </row>
    <row r="615" spans="1:9" hidden="1">
      <c r="A615" s="1772" t="s">
        <v>1240</v>
      </c>
      <c r="B615" s="1798">
        <v>15054</v>
      </c>
      <c r="C615" s="1797"/>
      <c r="D615" s="1805"/>
      <c r="E615" s="1796">
        <v>15054</v>
      </c>
      <c r="F615" s="95"/>
      <c r="G615" s="1797"/>
    </row>
    <row r="616" spans="1:9" hidden="1">
      <c r="A616" s="1772" t="s">
        <v>2184</v>
      </c>
      <c r="B616" s="1798">
        <v>323536</v>
      </c>
      <c r="C616" s="1797"/>
      <c r="D616" s="1795">
        <v>771351</v>
      </c>
      <c r="E616" s="1796">
        <v>1092887</v>
      </c>
      <c r="F616" s="112">
        <v>2000</v>
      </c>
      <c r="G616" s="1797"/>
      <c r="H616">
        <v>16</v>
      </c>
      <c r="I616" t="s">
        <v>3025</v>
      </c>
    </row>
    <row r="617" spans="1:9" hidden="1">
      <c r="A617" s="1772" t="s">
        <v>2185</v>
      </c>
      <c r="B617" s="1798">
        <v>313974.3</v>
      </c>
      <c r="C617" s="1797"/>
      <c r="D617" s="1805"/>
      <c r="E617" s="1799"/>
      <c r="F617" s="112">
        <v>313974.3</v>
      </c>
      <c r="G617" s="1797"/>
      <c r="H617">
        <v>16</v>
      </c>
      <c r="I617" t="s">
        <v>3025</v>
      </c>
    </row>
    <row r="618" spans="1:9" hidden="1">
      <c r="A618" s="1772" t="s">
        <v>2186</v>
      </c>
      <c r="B618" s="1798">
        <v>404235</v>
      </c>
      <c r="C618" s="1797"/>
      <c r="D618" s="1795">
        <v>2291693</v>
      </c>
      <c r="E618" s="1796">
        <v>2695928</v>
      </c>
      <c r="F618" s="95"/>
      <c r="G618" s="1797"/>
    </row>
    <row r="619" spans="1:9" hidden="1">
      <c r="A619" s="1772" t="s">
        <v>854</v>
      </c>
      <c r="B619" s="1793"/>
      <c r="C619" s="1794">
        <v>2494</v>
      </c>
      <c r="D619" s="1805"/>
      <c r="E619" s="1799"/>
      <c r="F619" s="95"/>
      <c r="G619" s="1794">
        <v>2494</v>
      </c>
      <c r="H619">
        <v>16</v>
      </c>
      <c r="I619" t="s">
        <v>3025</v>
      </c>
    </row>
    <row r="620" spans="1:9" hidden="1">
      <c r="A620" s="1772" t="s">
        <v>2187</v>
      </c>
      <c r="B620" s="1798">
        <v>14117</v>
      </c>
      <c r="C620" s="1797"/>
      <c r="D620" s="1805"/>
      <c r="E620" s="1799"/>
      <c r="F620" s="112">
        <v>14117</v>
      </c>
      <c r="G620" s="1797"/>
      <c r="H620">
        <v>16</v>
      </c>
      <c r="I620" t="s">
        <v>3025</v>
      </c>
    </row>
    <row r="621" spans="1:9" hidden="1">
      <c r="A621" s="1772" t="s">
        <v>1521</v>
      </c>
      <c r="B621" s="1793"/>
      <c r="C621" s="1794">
        <v>1577</v>
      </c>
      <c r="D621" s="1805"/>
      <c r="E621" s="1799"/>
      <c r="F621" s="95"/>
      <c r="G621" s="1794">
        <v>1577</v>
      </c>
      <c r="H621">
        <v>16</v>
      </c>
      <c r="I621" t="s">
        <v>3025</v>
      </c>
    </row>
    <row r="622" spans="1:9" hidden="1">
      <c r="A622" s="1772" t="s">
        <v>2188</v>
      </c>
      <c r="B622" s="1798">
        <v>388615.3</v>
      </c>
      <c r="C622" s="1797"/>
      <c r="D622" s="1795">
        <v>495124</v>
      </c>
      <c r="E622" s="1796">
        <v>882939.3</v>
      </c>
      <c r="F622" s="112">
        <v>800</v>
      </c>
      <c r="G622" s="1797"/>
      <c r="H622">
        <v>16</v>
      </c>
      <c r="I622" t="s">
        <v>3025</v>
      </c>
    </row>
    <row r="623" spans="1:9" hidden="1">
      <c r="A623" s="1772" t="s">
        <v>3418</v>
      </c>
      <c r="B623" s="1793"/>
      <c r="C623" s="1797"/>
      <c r="D623" s="1795">
        <v>353841</v>
      </c>
      <c r="E623" s="1796">
        <v>307700</v>
      </c>
      <c r="F623" s="112">
        <v>46141</v>
      </c>
      <c r="G623" s="1797"/>
      <c r="H623">
        <v>16</v>
      </c>
      <c r="I623" t="s">
        <v>3025</v>
      </c>
    </row>
    <row r="624" spans="1:9" hidden="1">
      <c r="A624" s="1772" t="s">
        <v>3419</v>
      </c>
      <c r="B624" s="1793"/>
      <c r="C624" s="1797"/>
      <c r="D624" s="1795">
        <v>145748</v>
      </c>
      <c r="E624" s="1796">
        <v>79778</v>
      </c>
      <c r="F624" s="112">
        <v>65970</v>
      </c>
      <c r="G624" s="1797"/>
      <c r="H624">
        <v>16</v>
      </c>
      <c r="I624" t="s">
        <v>3025</v>
      </c>
    </row>
    <row r="625" spans="1:11" hidden="1">
      <c r="A625" s="1772" t="s">
        <v>2189</v>
      </c>
      <c r="B625" s="1798">
        <v>189757.25</v>
      </c>
      <c r="C625" s="1797"/>
      <c r="D625" s="1795">
        <v>849438</v>
      </c>
      <c r="E625" s="1796">
        <v>1038695.25</v>
      </c>
      <c r="F625" s="112">
        <v>500</v>
      </c>
      <c r="G625" s="1797"/>
      <c r="H625">
        <v>16</v>
      </c>
      <c r="I625" t="s">
        <v>3025</v>
      </c>
    </row>
    <row r="626" spans="1:11" hidden="1">
      <c r="A626" s="1772" t="s">
        <v>2203</v>
      </c>
      <c r="B626" s="1793"/>
      <c r="C626" s="1794">
        <v>15.11</v>
      </c>
      <c r="D626" s="1795">
        <v>80765.11</v>
      </c>
      <c r="E626" s="1796">
        <v>80750</v>
      </c>
      <c r="F626" s="95"/>
      <c r="G626" s="1797"/>
    </row>
    <row r="627" spans="1:11" hidden="1">
      <c r="A627" s="1772" t="s">
        <v>3420</v>
      </c>
      <c r="B627" s="1793"/>
      <c r="C627" s="1797"/>
      <c r="D627" s="1795">
        <v>788423</v>
      </c>
      <c r="E627" s="1796">
        <v>510848</v>
      </c>
      <c r="F627" s="112">
        <v>277575</v>
      </c>
      <c r="G627" s="1797"/>
      <c r="H627">
        <v>16</v>
      </c>
      <c r="I627" t="s">
        <v>3025</v>
      </c>
    </row>
    <row r="628" spans="1:11" hidden="1">
      <c r="A628" s="1772" t="s">
        <v>2190</v>
      </c>
      <c r="B628" s="1798">
        <v>39745</v>
      </c>
      <c r="C628" s="1797"/>
      <c r="D628" s="1795">
        <v>2959343</v>
      </c>
      <c r="E628" s="1796">
        <v>2999088</v>
      </c>
      <c r="F628" s="95"/>
      <c r="G628" s="1797"/>
    </row>
    <row r="629" spans="1:11" hidden="1">
      <c r="A629" s="1772" t="s">
        <v>3421</v>
      </c>
      <c r="B629" s="1793"/>
      <c r="C629" s="1797"/>
      <c r="D629" s="1795">
        <v>1591454</v>
      </c>
      <c r="E629" s="1796">
        <v>1235014</v>
      </c>
      <c r="F629" s="112">
        <v>356440</v>
      </c>
      <c r="G629" s="1797"/>
      <c r="H629">
        <v>16</v>
      </c>
      <c r="I629" t="s">
        <v>3025</v>
      </c>
    </row>
    <row r="630" spans="1:11" hidden="1">
      <c r="A630" s="1772" t="s">
        <v>2632</v>
      </c>
      <c r="B630" s="1798">
        <v>161037</v>
      </c>
      <c r="C630" s="1797"/>
      <c r="D630" s="1795">
        <v>3987784</v>
      </c>
      <c r="E630" s="1796">
        <v>3953421</v>
      </c>
      <c r="F630" s="112">
        <v>195400</v>
      </c>
      <c r="G630" s="1797"/>
      <c r="H630">
        <v>16</v>
      </c>
      <c r="I630" t="s">
        <v>3025</v>
      </c>
    </row>
    <row r="631" spans="1:11" hidden="1">
      <c r="A631" s="1772" t="s">
        <v>1743</v>
      </c>
      <c r="B631" s="1798">
        <v>3530</v>
      </c>
      <c r="C631" s="1797"/>
      <c r="D631" s="1805"/>
      <c r="E631" s="1799"/>
      <c r="F631" s="112">
        <v>3530</v>
      </c>
      <c r="G631" s="1797"/>
      <c r="H631">
        <v>16</v>
      </c>
      <c r="I631" t="s">
        <v>3025</v>
      </c>
    </row>
    <row r="632" spans="1:11" hidden="1">
      <c r="A632" s="1772" t="s">
        <v>2053</v>
      </c>
      <c r="B632" s="1798">
        <v>60597.75</v>
      </c>
      <c r="C632" s="1797"/>
      <c r="D632" s="1795">
        <v>1915939</v>
      </c>
      <c r="E632" s="1796">
        <v>1976536.75</v>
      </c>
      <c r="F632" s="95"/>
      <c r="G632" s="1797"/>
    </row>
    <row r="633" spans="1:11" hidden="1">
      <c r="A633" s="1772" t="s">
        <v>2191</v>
      </c>
      <c r="B633" s="1798">
        <v>70915.75</v>
      </c>
      <c r="C633" s="1797"/>
      <c r="D633" s="1795">
        <v>331720</v>
      </c>
      <c r="E633" s="1796">
        <v>403635.75</v>
      </c>
      <c r="F633" s="95"/>
      <c r="G633" s="1794">
        <v>1000</v>
      </c>
      <c r="H633">
        <v>16</v>
      </c>
      <c r="I633" t="s">
        <v>3025</v>
      </c>
    </row>
    <row r="634" spans="1:11" hidden="1">
      <c r="A634" s="1772" t="s">
        <v>855</v>
      </c>
      <c r="B634" s="1798">
        <v>1372053.7</v>
      </c>
      <c r="C634" s="1797"/>
      <c r="D634" s="1795">
        <v>146097</v>
      </c>
      <c r="E634" s="1799"/>
      <c r="F634" s="112">
        <v>1518150.7</v>
      </c>
      <c r="G634" s="1797"/>
      <c r="H634">
        <v>16</v>
      </c>
      <c r="I634" t="s">
        <v>3025</v>
      </c>
    </row>
    <row r="635" spans="1:11" hidden="1">
      <c r="A635" s="1772" t="s">
        <v>1239</v>
      </c>
      <c r="B635" s="1798">
        <v>1500</v>
      </c>
      <c r="C635" s="1797"/>
      <c r="D635" s="1805"/>
      <c r="E635" s="1799"/>
      <c r="F635" s="112">
        <v>1500</v>
      </c>
      <c r="G635" s="1797"/>
      <c r="H635">
        <v>16</v>
      </c>
      <c r="I635" t="s">
        <v>3025</v>
      </c>
    </row>
    <row r="636" spans="1:11" hidden="1">
      <c r="A636" s="1772" t="s">
        <v>256</v>
      </c>
      <c r="B636" s="1798">
        <v>266917058.90000001</v>
      </c>
      <c r="C636" s="1797"/>
      <c r="D636" s="1795">
        <v>4396076</v>
      </c>
      <c r="E636" s="1796">
        <v>82034</v>
      </c>
      <c r="F636" s="112">
        <v>271231100.89999998</v>
      </c>
      <c r="G636" s="1797"/>
      <c r="H636">
        <v>16</v>
      </c>
      <c r="I636" t="s">
        <v>3025</v>
      </c>
      <c r="J636">
        <v>278510747</v>
      </c>
      <c r="K636" s="651">
        <f>J636-F636</f>
        <v>7279646.1000000238</v>
      </c>
    </row>
    <row r="637" spans="1:11" hidden="1">
      <c r="A637" s="1772" t="s">
        <v>856</v>
      </c>
      <c r="B637" s="1793"/>
      <c r="C637" s="1794">
        <v>5611609.7999999998</v>
      </c>
      <c r="D637" s="1795">
        <v>82034</v>
      </c>
      <c r="E637" s="1796">
        <v>757712</v>
      </c>
      <c r="F637" s="95"/>
      <c r="G637" s="1794">
        <v>6287287.7999999998</v>
      </c>
      <c r="H637">
        <v>16</v>
      </c>
      <c r="I637" t="s">
        <v>3025</v>
      </c>
    </row>
    <row r="638" spans="1:11" hidden="1">
      <c r="A638" s="1772" t="s">
        <v>857</v>
      </c>
      <c r="B638" s="1793"/>
      <c r="C638" s="1794">
        <v>177104349.30000001</v>
      </c>
      <c r="D638" s="1805"/>
      <c r="E638" s="1796">
        <v>3335330</v>
      </c>
      <c r="F638" s="95"/>
      <c r="G638" s="1794">
        <v>180439679.30000001</v>
      </c>
      <c r="H638">
        <v>16</v>
      </c>
      <c r="I638" t="s">
        <v>3025</v>
      </c>
    </row>
    <row r="639" spans="1:11" hidden="1">
      <c r="A639" s="1772" t="s">
        <v>858</v>
      </c>
      <c r="B639" s="1793"/>
      <c r="C639" s="1794">
        <v>84201099.799999997</v>
      </c>
      <c r="D639" s="1805"/>
      <c r="E639" s="1796">
        <v>303034</v>
      </c>
      <c r="F639" s="95"/>
      <c r="G639" s="1794">
        <v>84504133.799999997</v>
      </c>
      <c r="H639">
        <v>16</v>
      </c>
      <c r="I639" t="s">
        <v>3025</v>
      </c>
    </row>
    <row r="640" spans="1:11" hidden="1">
      <c r="A640" s="1772" t="s">
        <v>859</v>
      </c>
      <c r="B640" s="1798">
        <v>10812</v>
      </c>
      <c r="C640" s="1797"/>
      <c r="D640" s="1805"/>
      <c r="E640" s="1799"/>
      <c r="F640" s="112">
        <v>10812</v>
      </c>
      <c r="G640" s="1797"/>
      <c r="H640">
        <v>16</v>
      </c>
      <c r="I640" t="s">
        <v>3025</v>
      </c>
    </row>
    <row r="641" spans="1:9" hidden="1">
      <c r="A641" s="1772" t="s">
        <v>860</v>
      </c>
      <c r="B641" s="1798">
        <v>6042</v>
      </c>
      <c r="C641" s="1797"/>
      <c r="D641" s="1805"/>
      <c r="E641" s="1799"/>
      <c r="F641" s="112">
        <v>6042</v>
      </c>
      <c r="G641" s="1797"/>
      <c r="H641">
        <v>16</v>
      </c>
      <c r="I641" t="s">
        <v>3025</v>
      </c>
    </row>
    <row r="642" spans="1:9" hidden="1">
      <c r="A642" s="1772" t="s">
        <v>861</v>
      </c>
      <c r="B642" s="1793"/>
      <c r="C642" s="1794">
        <v>6589</v>
      </c>
      <c r="D642" s="1805"/>
      <c r="E642" s="1799"/>
      <c r="F642" s="95"/>
      <c r="G642" s="1794">
        <v>6589</v>
      </c>
      <c r="H642">
        <v>16</v>
      </c>
      <c r="I642" t="s">
        <v>3025</v>
      </c>
    </row>
    <row r="643" spans="1:9" hidden="1">
      <c r="A643" s="1772" t="s">
        <v>3422</v>
      </c>
      <c r="B643" s="1793"/>
      <c r="C643" s="1797"/>
      <c r="D643" s="1795">
        <v>899216</v>
      </c>
      <c r="E643" s="1796">
        <v>507944</v>
      </c>
      <c r="F643" s="112">
        <v>391272</v>
      </c>
      <c r="G643" s="1797"/>
      <c r="H643">
        <v>16</v>
      </c>
      <c r="I643" t="s">
        <v>3025</v>
      </c>
    </row>
    <row r="644" spans="1:9" hidden="1">
      <c r="A644" s="1772" t="s">
        <v>3423</v>
      </c>
      <c r="B644" s="1793"/>
      <c r="C644" s="1797"/>
      <c r="D644" s="1805"/>
      <c r="E644" s="1796">
        <v>144131</v>
      </c>
      <c r="F644" s="95"/>
      <c r="G644" s="1794">
        <v>144131</v>
      </c>
      <c r="H644">
        <v>16</v>
      </c>
      <c r="I644" t="s">
        <v>3025</v>
      </c>
    </row>
    <row r="645" spans="1:9" hidden="1">
      <c r="A645" s="1772" t="s">
        <v>2193</v>
      </c>
      <c r="B645" s="1793"/>
      <c r="C645" s="1794">
        <v>1300</v>
      </c>
      <c r="D645" s="1805"/>
      <c r="E645" s="1799"/>
      <c r="F645" s="95"/>
      <c r="G645" s="1794">
        <v>1300</v>
      </c>
      <c r="H645">
        <v>16</v>
      </c>
      <c r="I645" t="s">
        <v>3025</v>
      </c>
    </row>
    <row r="646" spans="1:9" hidden="1">
      <c r="A646" s="1772" t="s">
        <v>3424</v>
      </c>
      <c r="B646" s="1793"/>
      <c r="C646" s="1797"/>
      <c r="D646" s="1795">
        <v>1666424</v>
      </c>
      <c r="E646" s="1796">
        <v>1666424</v>
      </c>
      <c r="F646" s="95"/>
      <c r="G646" s="1797"/>
    </row>
    <row r="647" spans="1:9" hidden="1">
      <c r="A647" s="1772" t="s">
        <v>1237</v>
      </c>
      <c r="B647" s="1798">
        <v>69540</v>
      </c>
      <c r="C647" s="1797"/>
      <c r="D647" s="1805"/>
      <c r="E647" s="1796">
        <v>69540</v>
      </c>
      <c r="F647" s="95"/>
      <c r="G647" s="1797"/>
    </row>
    <row r="648" spans="1:9" hidden="1">
      <c r="A648" s="1772" t="s">
        <v>863</v>
      </c>
      <c r="B648" s="1798">
        <v>6023</v>
      </c>
      <c r="C648" s="1797"/>
      <c r="D648" s="1805"/>
      <c r="E648" s="1796">
        <v>6023</v>
      </c>
      <c r="F648" s="95"/>
      <c r="G648" s="1797"/>
    </row>
    <row r="649" spans="1:9" hidden="1">
      <c r="A649" s="1772" t="s">
        <v>1089</v>
      </c>
      <c r="B649" s="1798">
        <v>40029.199999999997</v>
      </c>
      <c r="C649" s="1797"/>
      <c r="D649" s="1805"/>
      <c r="E649" s="1796">
        <v>40029.199999999997</v>
      </c>
      <c r="F649" s="95"/>
      <c r="G649" s="1797"/>
    </row>
    <row r="650" spans="1:9" hidden="1">
      <c r="A650" s="1772" t="s">
        <v>1236</v>
      </c>
      <c r="B650" s="1798">
        <v>38444</v>
      </c>
      <c r="C650" s="1797"/>
      <c r="D650" s="1805"/>
      <c r="E650" s="1796">
        <v>38444</v>
      </c>
      <c r="F650" s="95"/>
      <c r="G650" s="1797"/>
    </row>
    <row r="651" spans="1:9" hidden="1">
      <c r="A651" s="1772" t="s">
        <v>1235</v>
      </c>
      <c r="B651" s="1793"/>
      <c r="C651" s="1794">
        <v>2987</v>
      </c>
      <c r="D651" s="1805"/>
      <c r="E651" s="1799"/>
      <c r="F651" s="95"/>
      <c r="G651" s="1794">
        <v>2987</v>
      </c>
      <c r="H651">
        <v>16</v>
      </c>
      <c r="I651" t="s">
        <v>3025</v>
      </c>
    </row>
    <row r="652" spans="1:9" hidden="1">
      <c r="A652" s="1772" t="s">
        <v>864</v>
      </c>
      <c r="B652" s="1798">
        <v>19090</v>
      </c>
      <c r="C652" s="1797"/>
      <c r="D652" s="1805"/>
      <c r="E652" s="1799"/>
      <c r="F652" s="112">
        <v>19090</v>
      </c>
      <c r="G652" s="1797"/>
      <c r="H652">
        <v>16</v>
      </c>
      <c r="I652" t="s">
        <v>3025</v>
      </c>
    </row>
    <row r="653" spans="1:9" hidden="1">
      <c r="A653" s="1772" t="s">
        <v>2194</v>
      </c>
      <c r="B653" s="1798">
        <v>310176.12</v>
      </c>
      <c r="C653" s="1797"/>
      <c r="D653" s="1795">
        <v>133337</v>
      </c>
      <c r="E653" s="1796">
        <v>443513.12</v>
      </c>
      <c r="F653" s="95"/>
      <c r="G653" s="1797"/>
    </row>
    <row r="654" spans="1:9" hidden="1">
      <c r="A654" s="1772" t="s">
        <v>2204</v>
      </c>
      <c r="B654" s="1798">
        <v>44631</v>
      </c>
      <c r="C654" s="1797"/>
      <c r="D654" s="1795">
        <v>2598047</v>
      </c>
      <c r="E654" s="1796">
        <v>2642678</v>
      </c>
      <c r="F654" s="95"/>
      <c r="G654" s="1797"/>
    </row>
    <row r="655" spans="1:9" hidden="1">
      <c r="A655" s="1772" t="s">
        <v>865</v>
      </c>
      <c r="B655" s="1798">
        <v>6188</v>
      </c>
      <c r="C655" s="1797"/>
      <c r="D655" s="1805"/>
      <c r="E655" s="1799"/>
      <c r="F655" s="112">
        <v>6188</v>
      </c>
      <c r="G655" s="1797"/>
      <c r="H655">
        <v>16</v>
      </c>
      <c r="I655" t="s">
        <v>3025</v>
      </c>
    </row>
    <row r="656" spans="1:9" hidden="1">
      <c r="A656" s="1772" t="s">
        <v>866</v>
      </c>
      <c r="B656" s="1798">
        <v>6576</v>
      </c>
      <c r="C656" s="1797"/>
      <c r="D656" s="1805"/>
      <c r="E656" s="1799"/>
      <c r="F656" s="112">
        <v>6576</v>
      </c>
      <c r="G656" s="1797"/>
      <c r="H656">
        <v>16</v>
      </c>
      <c r="I656" t="s">
        <v>3025</v>
      </c>
    </row>
    <row r="657" spans="1:10" hidden="1">
      <c r="A657" s="1772" t="s">
        <v>867</v>
      </c>
      <c r="B657" s="1798">
        <v>486</v>
      </c>
      <c r="C657" s="1797"/>
      <c r="D657" s="1805"/>
      <c r="E657" s="1799"/>
      <c r="F657" s="112">
        <v>486</v>
      </c>
      <c r="G657" s="1797"/>
      <c r="H657">
        <v>16</v>
      </c>
      <c r="I657" t="s">
        <v>3025</v>
      </c>
    </row>
    <row r="658" spans="1:10" hidden="1">
      <c r="A658" s="1772" t="s">
        <v>868</v>
      </c>
      <c r="B658" s="1798">
        <v>2101</v>
      </c>
      <c r="C658" s="1797"/>
      <c r="D658" s="1805"/>
      <c r="E658" s="1799"/>
      <c r="F658" s="112">
        <v>2101</v>
      </c>
      <c r="G658" s="1797"/>
      <c r="H658">
        <v>16</v>
      </c>
      <c r="I658" t="s">
        <v>3025</v>
      </c>
    </row>
    <row r="659" spans="1:10" hidden="1">
      <c r="A659" s="1772" t="s">
        <v>869</v>
      </c>
      <c r="B659" s="1793"/>
      <c r="C659" s="1794">
        <v>300</v>
      </c>
      <c r="D659" s="1805"/>
      <c r="E659" s="1799"/>
      <c r="F659" s="95"/>
      <c r="G659" s="1794">
        <v>300</v>
      </c>
      <c r="H659">
        <v>16</v>
      </c>
      <c r="I659" t="s">
        <v>3025</v>
      </c>
    </row>
    <row r="660" spans="1:10" hidden="1">
      <c r="A660" s="1772" t="s">
        <v>1530</v>
      </c>
      <c r="B660" s="1798">
        <v>18273</v>
      </c>
      <c r="C660" s="1797"/>
      <c r="D660" s="1795">
        <v>88800</v>
      </c>
      <c r="E660" s="1796">
        <v>107073</v>
      </c>
      <c r="F660" s="95"/>
      <c r="G660" s="1797"/>
    </row>
    <row r="661" spans="1:10" hidden="1">
      <c r="A661" s="1767" t="s">
        <v>101</v>
      </c>
      <c r="B661" s="1778">
        <v>1801531</v>
      </c>
      <c r="C661" s="1779">
        <v>32495</v>
      </c>
      <c r="D661" s="1780">
        <v>38854897.5</v>
      </c>
      <c r="E661" s="1781">
        <v>37131115</v>
      </c>
      <c r="F661" s="204">
        <v>3501949</v>
      </c>
      <c r="G661" s="1779">
        <v>9130.5</v>
      </c>
      <c r="H661">
        <v>13</v>
      </c>
      <c r="I661" t="s">
        <v>1356</v>
      </c>
      <c r="J661" s="223"/>
    </row>
    <row r="662" spans="1:10" hidden="1">
      <c r="A662" s="1772" t="s">
        <v>2195</v>
      </c>
      <c r="B662" s="1787">
        <v>10000</v>
      </c>
      <c r="C662" s="1804"/>
      <c r="D662" s="1775"/>
      <c r="E662" s="1803">
        <v>10000</v>
      </c>
      <c r="F662" s="1777"/>
      <c r="G662" s="1804"/>
    </row>
    <row r="663" spans="1:10" hidden="1">
      <c r="A663" s="1772" t="s">
        <v>870</v>
      </c>
      <c r="B663" s="1798">
        <v>2614.5</v>
      </c>
      <c r="C663" s="1797"/>
      <c r="D663" s="1795">
        <v>120074</v>
      </c>
      <c r="E663" s="1796">
        <v>121411</v>
      </c>
      <c r="F663" s="112">
        <v>1277.5</v>
      </c>
      <c r="G663" s="1797"/>
      <c r="I663" s="223"/>
    </row>
    <row r="664" spans="1:10" hidden="1">
      <c r="A664" s="1772" t="s">
        <v>871</v>
      </c>
      <c r="B664" s="1793"/>
      <c r="C664" s="1794">
        <v>92.5</v>
      </c>
      <c r="D664" s="1795">
        <v>92.5</v>
      </c>
      <c r="E664" s="1799"/>
      <c r="F664" s="95"/>
      <c r="G664" s="1797"/>
    </row>
    <row r="665" spans="1:10" hidden="1">
      <c r="A665" s="1772" t="s">
        <v>872</v>
      </c>
      <c r="B665" s="1793"/>
      <c r="C665" s="1794">
        <v>95</v>
      </c>
      <c r="D665" s="1795">
        <v>15000</v>
      </c>
      <c r="E665" s="1796">
        <v>14905</v>
      </c>
      <c r="F665" s="95"/>
      <c r="G665" s="1797"/>
    </row>
    <row r="666" spans="1:10" hidden="1">
      <c r="A666" s="1772" t="s">
        <v>873</v>
      </c>
      <c r="B666" s="1798">
        <v>19634</v>
      </c>
      <c r="C666" s="1797"/>
      <c r="D666" s="1805"/>
      <c r="E666" s="1796">
        <v>19634</v>
      </c>
      <c r="F666" s="95"/>
      <c r="G666" s="1797"/>
    </row>
    <row r="667" spans="1:10" hidden="1">
      <c r="A667" s="1772" t="s">
        <v>2198</v>
      </c>
      <c r="B667" s="1798">
        <v>3000</v>
      </c>
      <c r="C667" s="1797"/>
      <c r="D667" s="1795">
        <v>10000</v>
      </c>
      <c r="E667" s="1796">
        <v>13000</v>
      </c>
      <c r="F667" s="95"/>
      <c r="G667" s="1797"/>
    </row>
    <row r="668" spans="1:10" hidden="1">
      <c r="A668" s="1772" t="s">
        <v>874</v>
      </c>
      <c r="B668" s="1798">
        <v>13643.2</v>
      </c>
      <c r="C668" s="1797"/>
      <c r="D668" s="1795">
        <v>32430</v>
      </c>
      <c r="E668" s="1796">
        <v>17841</v>
      </c>
      <c r="F668" s="112">
        <v>28232.2</v>
      </c>
      <c r="G668" s="1797"/>
    </row>
    <row r="669" spans="1:10" hidden="1">
      <c r="A669" s="1772" t="s">
        <v>875</v>
      </c>
      <c r="B669" s="1798">
        <v>908</v>
      </c>
      <c r="C669" s="1797"/>
      <c r="D669" s="1805"/>
      <c r="E669" s="1796">
        <v>908</v>
      </c>
      <c r="F669" s="95"/>
      <c r="G669" s="1797"/>
    </row>
    <row r="670" spans="1:10" hidden="1">
      <c r="A670" s="1772" t="s">
        <v>2633</v>
      </c>
      <c r="B670" s="1798">
        <v>725</v>
      </c>
      <c r="C670" s="1797"/>
      <c r="D670" s="1805"/>
      <c r="E670" s="1796">
        <v>725</v>
      </c>
      <c r="F670" s="95"/>
      <c r="G670" s="1797"/>
    </row>
    <row r="671" spans="1:10" hidden="1">
      <c r="A671" s="1772" t="s">
        <v>1747</v>
      </c>
      <c r="B671" s="1798">
        <v>31332</v>
      </c>
      <c r="C671" s="1797"/>
      <c r="D671" s="1805"/>
      <c r="E671" s="1796">
        <v>31332</v>
      </c>
      <c r="F671" s="95"/>
      <c r="G671" s="1797"/>
    </row>
    <row r="672" spans="1:10" hidden="1">
      <c r="A672" s="1772" t="s">
        <v>876</v>
      </c>
      <c r="B672" s="1798">
        <v>7628</v>
      </c>
      <c r="C672" s="1797"/>
      <c r="D672" s="1805"/>
      <c r="E672" s="1796">
        <v>7628</v>
      </c>
      <c r="F672" s="95"/>
      <c r="G672" s="1797"/>
    </row>
    <row r="673" spans="1:7" hidden="1">
      <c r="A673" s="1772" t="s">
        <v>877</v>
      </c>
      <c r="B673" s="1798">
        <v>184337</v>
      </c>
      <c r="C673" s="1797"/>
      <c r="D673" s="1795">
        <v>15500</v>
      </c>
      <c r="E673" s="1796">
        <v>199837</v>
      </c>
      <c r="F673" s="95"/>
      <c r="G673" s="1797"/>
    </row>
    <row r="674" spans="1:7" hidden="1">
      <c r="A674" s="1772" t="s">
        <v>2062</v>
      </c>
      <c r="B674" s="1793"/>
      <c r="C674" s="1794">
        <v>3000</v>
      </c>
      <c r="D674" s="1795">
        <v>3000</v>
      </c>
      <c r="E674" s="1799"/>
      <c r="F674" s="95"/>
      <c r="G674" s="1797"/>
    </row>
    <row r="675" spans="1:7" hidden="1">
      <c r="A675" s="1772" t="s">
        <v>879</v>
      </c>
      <c r="B675" s="1798">
        <v>71243</v>
      </c>
      <c r="C675" s="1797"/>
      <c r="D675" s="1805"/>
      <c r="E675" s="1796">
        <v>71243</v>
      </c>
      <c r="F675" s="95"/>
      <c r="G675" s="1797"/>
    </row>
    <row r="676" spans="1:7" hidden="1">
      <c r="A676" s="1772" t="s">
        <v>2063</v>
      </c>
      <c r="B676" s="1793"/>
      <c r="C676" s="1794">
        <v>6764</v>
      </c>
      <c r="D676" s="1795">
        <v>6764</v>
      </c>
      <c r="E676" s="1799"/>
      <c r="F676" s="95"/>
      <c r="G676" s="1797"/>
    </row>
    <row r="677" spans="1:7" hidden="1">
      <c r="A677" s="1772" t="s">
        <v>1532</v>
      </c>
      <c r="B677" s="1793"/>
      <c r="C677" s="1794">
        <v>1</v>
      </c>
      <c r="D677" s="1795">
        <v>1</v>
      </c>
      <c r="E677" s="1799"/>
      <c r="F677" s="95"/>
      <c r="G677" s="1797"/>
    </row>
    <row r="678" spans="1:7" hidden="1">
      <c r="A678" s="1772" t="s">
        <v>880</v>
      </c>
      <c r="B678" s="1793"/>
      <c r="C678" s="1794">
        <v>9130.5</v>
      </c>
      <c r="D678" s="1795">
        <v>19000</v>
      </c>
      <c r="E678" s="1796">
        <v>19000</v>
      </c>
      <c r="F678" s="95"/>
      <c r="G678" s="1794">
        <v>9130.5</v>
      </c>
    </row>
    <row r="679" spans="1:7" hidden="1">
      <c r="A679" s="1772" t="s">
        <v>881</v>
      </c>
      <c r="B679" s="1793"/>
      <c r="C679" s="1794">
        <v>7468</v>
      </c>
      <c r="D679" s="1795">
        <v>7468</v>
      </c>
      <c r="E679" s="1799"/>
      <c r="F679" s="95"/>
      <c r="G679" s="1797"/>
    </row>
    <row r="680" spans="1:7" hidden="1">
      <c r="A680" s="1772" t="s">
        <v>2905</v>
      </c>
      <c r="B680" s="1793"/>
      <c r="C680" s="1797"/>
      <c r="D680" s="1795">
        <v>16141</v>
      </c>
      <c r="E680" s="1796">
        <v>16141</v>
      </c>
      <c r="F680" s="95"/>
      <c r="G680" s="1797"/>
    </row>
    <row r="681" spans="1:7" hidden="1">
      <c r="A681" s="1772" t="s">
        <v>1533</v>
      </c>
      <c r="B681" s="1798">
        <v>41124</v>
      </c>
      <c r="C681" s="1797"/>
      <c r="D681" s="1795">
        <v>62000</v>
      </c>
      <c r="E681" s="1796">
        <v>30772</v>
      </c>
      <c r="F681" s="112">
        <v>72352</v>
      </c>
      <c r="G681" s="1797"/>
    </row>
    <row r="682" spans="1:7" hidden="1">
      <c r="A682" s="1772" t="s">
        <v>1534</v>
      </c>
      <c r="B682" s="1798">
        <v>4415</v>
      </c>
      <c r="C682" s="1797"/>
      <c r="D682" s="1805"/>
      <c r="E682" s="1796">
        <v>4415</v>
      </c>
      <c r="F682" s="95"/>
      <c r="G682" s="1797"/>
    </row>
    <row r="683" spans="1:7" hidden="1">
      <c r="A683" s="1772" t="s">
        <v>883</v>
      </c>
      <c r="B683" s="1793"/>
      <c r="C683" s="1794">
        <v>5944</v>
      </c>
      <c r="D683" s="1795">
        <v>60402</v>
      </c>
      <c r="E683" s="1796">
        <v>43300</v>
      </c>
      <c r="F683" s="112">
        <v>11158</v>
      </c>
      <c r="G683" s="1797"/>
    </row>
    <row r="684" spans="1:7" hidden="1">
      <c r="A684" s="1772" t="s">
        <v>884</v>
      </c>
      <c r="B684" s="1798">
        <v>46044.3</v>
      </c>
      <c r="C684" s="1797"/>
      <c r="D684" s="1795">
        <v>773600</v>
      </c>
      <c r="E684" s="1796">
        <v>727761</v>
      </c>
      <c r="F684" s="112">
        <v>91883.3</v>
      </c>
      <c r="G684" s="1797"/>
    </row>
    <row r="685" spans="1:7" hidden="1">
      <c r="A685" s="1772" t="s">
        <v>885</v>
      </c>
      <c r="B685" s="1798">
        <v>600</v>
      </c>
      <c r="C685" s="1797"/>
      <c r="D685" s="1805"/>
      <c r="E685" s="1796">
        <v>600</v>
      </c>
      <c r="F685" s="95"/>
      <c r="G685" s="1797"/>
    </row>
    <row r="686" spans="1:7" hidden="1">
      <c r="A686" s="1772" t="s">
        <v>2064</v>
      </c>
      <c r="B686" s="1798">
        <v>1331750</v>
      </c>
      <c r="C686" s="1797"/>
      <c r="D686" s="1795">
        <v>37660018</v>
      </c>
      <c r="E686" s="1796">
        <v>35694722</v>
      </c>
      <c r="F686" s="112">
        <v>3297046</v>
      </c>
      <c r="G686" s="1797"/>
    </row>
    <row r="687" spans="1:7" hidden="1">
      <c r="A687" s="1772" t="s">
        <v>1748</v>
      </c>
      <c r="B687" s="1798">
        <v>18383</v>
      </c>
      <c r="C687" s="1797"/>
      <c r="D687" s="1805"/>
      <c r="E687" s="1796">
        <v>18383</v>
      </c>
      <c r="F687" s="95"/>
      <c r="G687" s="1797"/>
    </row>
    <row r="688" spans="1:7" hidden="1">
      <c r="A688" s="1772" t="s">
        <v>2911</v>
      </c>
      <c r="B688" s="1793"/>
      <c r="C688" s="1797"/>
      <c r="D688" s="1795">
        <v>47657</v>
      </c>
      <c r="E688" s="1796">
        <v>47657</v>
      </c>
      <c r="F688" s="95"/>
      <c r="G688" s="1797"/>
    </row>
    <row r="689" spans="1:9" hidden="1">
      <c r="A689" s="1772" t="s">
        <v>2066</v>
      </c>
      <c r="B689" s="1798">
        <v>5495</v>
      </c>
      <c r="C689" s="1797"/>
      <c r="D689" s="1805"/>
      <c r="E689" s="1796">
        <v>5495</v>
      </c>
      <c r="F689" s="95"/>
      <c r="G689" s="1797"/>
    </row>
    <row r="690" spans="1:9" hidden="1">
      <c r="A690" s="1772" t="s">
        <v>1749</v>
      </c>
      <c r="B690" s="1798">
        <v>3000</v>
      </c>
      <c r="C690" s="1797"/>
      <c r="D690" s="1805"/>
      <c r="E690" s="1796">
        <v>3000</v>
      </c>
      <c r="F690" s="95"/>
      <c r="G690" s="1797"/>
    </row>
    <row r="691" spans="1:9" hidden="1">
      <c r="A691" s="1772" t="s">
        <v>2917</v>
      </c>
      <c r="B691" s="1793"/>
      <c r="C691" s="1797"/>
      <c r="D691" s="1795">
        <v>3500</v>
      </c>
      <c r="E691" s="1796">
        <v>3500</v>
      </c>
      <c r="F691" s="95"/>
      <c r="G691" s="1797"/>
    </row>
    <row r="692" spans="1:9" hidden="1">
      <c r="A692" s="1772" t="s">
        <v>3425</v>
      </c>
      <c r="B692" s="1793"/>
      <c r="C692" s="1797"/>
      <c r="D692" s="1795">
        <v>1250</v>
      </c>
      <c r="E692" s="1796">
        <v>1250</v>
      </c>
      <c r="F692" s="95"/>
      <c r="G692" s="1797"/>
    </row>
    <row r="693" spans="1:9" hidden="1">
      <c r="A693" s="1772" t="s">
        <v>887</v>
      </c>
      <c r="B693" s="1798">
        <v>500</v>
      </c>
      <c r="C693" s="1797"/>
      <c r="D693" s="1805"/>
      <c r="E693" s="1796">
        <v>500</v>
      </c>
      <c r="F693" s="95"/>
      <c r="G693" s="1797"/>
    </row>
    <row r="694" spans="1:9" hidden="1">
      <c r="A694" s="1772" t="s">
        <v>888</v>
      </c>
      <c r="B694" s="1798">
        <v>750</v>
      </c>
      <c r="C694" s="1797"/>
      <c r="D694" s="1805"/>
      <c r="E694" s="1796">
        <v>750</v>
      </c>
      <c r="F694" s="95"/>
      <c r="G694" s="1797"/>
    </row>
    <row r="695" spans="1:9" hidden="1">
      <c r="A695" s="1772" t="s">
        <v>1750</v>
      </c>
      <c r="B695" s="1798">
        <v>4405</v>
      </c>
      <c r="C695" s="1797"/>
      <c r="D695" s="1805"/>
      <c r="E695" s="1796">
        <v>4405</v>
      </c>
      <c r="F695" s="95"/>
      <c r="G695" s="1797"/>
    </row>
    <row r="696" spans="1:9" hidden="1">
      <c r="A696" s="1772" t="s">
        <v>2067</v>
      </c>
      <c r="B696" s="1793"/>
      <c r="C696" s="1797"/>
      <c r="D696" s="1795">
        <v>1000</v>
      </c>
      <c r="E696" s="1796">
        <v>1000</v>
      </c>
      <c r="F696" s="95"/>
      <c r="G696" s="1797"/>
    </row>
    <row r="697" spans="1:9" hidden="1">
      <c r="A697" s="1767" t="s">
        <v>102</v>
      </c>
      <c r="B697" s="1811"/>
      <c r="C697" s="1806"/>
      <c r="D697" s="1780">
        <v>810435.25</v>
      </c>
      <c r="E697" s="1781">
        <v>352498143.29000002</v>
      </c>
      <c r="F697" s="343"/>
      <c r="G697" s="1779">
        <v>351687708.04000002</v>
      </c>
    </row>
    <row r="698" spans="1:9" ht="18" hidden="1" customHeight="1">
      <c r="A698" s="1772" t="s">
        <v>103</v>
      </c>
      <c r="B698" s="1773"/>
      <c r="C698" s="1804"/>
      <c r="D698" s="1802">
        <v>810435.25</v>
      </c>
      <c r="E698" s="1803">
        <v>352498143.29000002</v>
      </c>
      <c r="F698" s="1777"/>
      <c r="G698" s="1774">
        <v>351687708.04000002</v>
      </c>
      <c r="H698">
        <v>19</v>
      </c>
      <c r="I698" t="s">
        <v>293</v>
      </c>
    </row>
    <row r="699" spans="1:9" hidden="1">
      <c r="A699" s="1767" t="s">
        <v>104</v>
      </c>
      <c r="B699" s="1811"/>
      <c r="C699" s="1806"/>
      <c r="D699" s="1780">
        <v>102708512.77</v>
      </c>
      <c r="E699" s="1781">
        <v>17225196</v>
      </c>
      <c r="F699" s="204">
        <v>102327316.77</v>
      </c>
      <c r="G699" s="1779">
        <v>16844000</v>
      </c>
    </row>
    <row r="700" spans="1:9" hidden="1">
      <c r="A700" s="1772" t="s">
        <v>105</v>
      </c>
      <c r="B700" s="1773"/>
      <c r="C700" s="1804"/>
      <c r="D700" s="1802">
        <v>473190</v>
      </c>
      <c r="E700" s="1776"/>
      <c r="F700" s="1807">
        <v>473190</v>
      </c>
      <c r="G700" s="1804"/>
      <c r="H700">
        <v>21</v>
      </c>
      <c r="I700" t="s">
        <v>295</v>
      </c>
    </row>
    <row r="701" spans="1:9" hidden="1">
      <c r="A701" s="1772" t="s">
        <v>115</v>
      </c>
      <c r="B701" s="1793"/>
      <c r="C701" s="1797"/>
      <c r="D701" s="1795">
        <v>252910</v>
      </c>
      <c r="E701" s="1799"/>
      <c r="F701" s="112">
        <v>252910</v>
      </c>
      <c r="G701" s="1797"/>
      <c r="H701">
        <v>21</v>
      </c>
      <c r="I701" t="s">
        <v>295</v>
      </c>
    </row>
    <row r="702" spans="1:9" hidden="1">
      <c r="A702" s="1772" t="s">
        <v>116</v>
      </c>
      <c r="B702" s="1793"/>
      <c r="C702" s="1797"/>
      <c r="D702" s="1795">
        <v>2346768</v>
      </c>
      <c r="E702" s="1799"/>
      <c r="F702" s="112">
        <v>2346768</v>
      </c>
      <c r="G702" s="1797"/>
      <c r="H702">
        <v>21</v>
      </c>
      <c r="I702" t="s">
        <v>295</v>
      </c>
    </row>
    <row r="703" spans="1:9" hidden="1">
      <c r="A703" s="1772" t="s">
        <v>117</v>
      </c>
      <c r="B703" s="1793"/>
      <c r="C703" s="1797"/>
      <c r="D703" s="1795">
        <v>76405</v>
      </c>
      <c r="E703" s="1799"/>
      <c r="F703" s="112">
        <v>76405</v>
      </c>
      <c r="G703" s="1797"/>
      <c r="H703">
        <v>21</v>
      </c>
      <c r="I703" t="s">
        <v>295</v>
      </c>
    </row>
    <row r="704" spans="1:9" hidden="1">
      <c r="A704" s="1772" t="s">
        <v>118</v>
      </c>
      <c r="B704" s="1793"/>
      <c r="C704" s="1797"/>
      <c r="D704" s="1795">
        <v>133920</v>
      </c>
      <c r="E704" s="1799"/>
      <c r="F704" s="112">
        <v>133920</v>
      </c>
      <c r="G704" s="1797"/>
      <c r="H704">
        <v>21</v>
      </c>
      <c r="I704" t="s">
        <v>295</v>
      </c>
    </row>
    <row r="705" spans="1:9" hidden="1">
      <c r="A705" s="1772" t="s">
        <v>106</v>
      </c>
      <c r="B705" s="1793"/>
      <c r="C705" s="1797"/>
      <c r="D705" s="1795">
        <v>676523.64</v>
      </c>
      <c r="E705" s="1799"/>
      <c r="F705" s="112">
        <v>676523.64</v>
      </c>
      <c r="G705" s="1797"/>
      <c r="H705">
        <v>21</v>
      </c>
      <c r="I705" t="s">
        <v>295</v>
      </c>
    </row>
    <row r="706" spans="1:9" hidden="1">
      <c r="A706" s="1772" t="s">
        <v>107</v>
      </c>
      <c r="B706" s="1793"/>
      <c r="C706" s="1797"/>
      <c r="D706" s="1795">
        <v>3512649</v>
      </c>
      <c r="E706" s="1799"/>
      <c r="F706" s="112">
        <v>3512649</v>
      </c>
      <c r="G706" s="1797"/>
      <c r="H706">
        <v>21</v>
      </c>
      <c r="I706" t="s">
        <v>295</v>
      </c>
    </row>
    <row r="707" spans="1:9" hidden="1">
      <c r="A707" s="1772" t="s">
        <v>1232</v>
      </c>
      <c r="B707" s="1793"/>
      <c r="C707" s="1797"/>
      <c r="D707" s="1795">
        <v>1167775</v>
      </c>
      <c r="E707" s="1799"/>
      <c r="F707" s="112">
        <v>1167775</v>
      </c>
      <c r="G707" s="1797"/>
      <c r="H707">
        <v>21</v>
      </c>
      <c r="I707" t="s">
        <v>295</v>
      </c>
    </row>
    <row r="708" spans="1:9" hidden="1">
      <c r="A708" s="1772" t="s">
        <v>108</v>
      </c>
      <c r="B708" s="1793"/>
      <c r="C708" s="1797"/>
      <c r="D708" s="1795">
        <v>1230854</v>
      </c>
      <c r="E708" s="1799"/>
      <c r="F708" s="112">
        <v>1230854</v>
      </c>
      <c r="G708" s="1797"/>
      <c r="H708">
        <v>21</v>
      </c>
      <c r="I708" t="s">
        <v>295</v>
      </c>
    </row>
    <row r="709" spans="1:9" hidden="1">
      <c r="A709" s="1772" t="s">
        <v>119</v>
      </c>
      <c r="B709" s="1793"/>
      <c r="C709" s="1797"/>
      <c r="D709" s="1795">
        <v>241210</v>
      </c>
      <c r="E709" s="1799"/>
      <c r="F709" s="112">
        <v>241210</v>
      </c>
      <c r="G709" s="1797"/>
      <c r="H709">
        <v>21</v>
      </c>
      <c r="I709" t="s">
        <v>295</v>
      </c>
    </row>
    <row r="710" spans="1:9" hidden="1">
      <c r="A710" s="1772" t="s">
        <v>120</v>
      </c>
      <c r="B710" s="1793"/>
      <c r="C710" s="1797"/>
      <c r="D710" s="1795">
        <v>1508131</v>
      </c>
      <c r="E710" s="1799"/>
      <c r="F710" s="112">
        <v>1508131</v>
      </c>
      <c r="G710" s="1797"/>
      <c r="H710">
        <v>21</v>
      </c>
      <c r="I710" t="s">
        <v>295</v>
      </c>
    </row>
    <row r="711" spans="1:9" hidden="1">
      <c r="A711" s="1772" t="s">
        <v>109</v>
      </c>
      <c r="B711" s="1793"/>
      <c r="C711" s="1797"/>
      <c r="D711" s="1795">
        <v>1372128</v>
      </c>
      <c r="E711" s="1799"/>
      <c r="F711" s="112">
        <v>1372128</v>
      </c>
      <c r="G711" s="1797"/>
      <c r="H711">
        <v>21</v>
      </c>
      <c r="I711" t="s">
        <v>295</v>
      </c>
    </row>
    <row r="712" spans="1:9" hidden="1">
      <c r="A712" s="1772" t="s">
        <v>1231</v>
      </c>
      <c r="B712" s="1793"/>
      <c r="C712" s="1797"/>
      <c r="D712" s="1795">
        <v>12904419.25</v>
      </c>
      <c r="E712" s="1799"/>
      <c r="F712" s="112">
        <v>12904419.25</v>
      </c>
      <c r="G712" s="1797"/>
      <c r="H712">
        <v>21</v>
      </c>
      <c r="I712" t="s">
        <v>295</v>
      </c>
    </row>
    <row r="713" spans="1:9" hidden="1">
      <c r="A713" s="1772" t="s">
        <v>3426</v>
      </c>
      <c r="B713" s="1793"/>
      <c r="C713" s="1797"/>
      <c r="D713" s="1795">
        <v>26854</v>
      </c>
      <c r="E713" s="1799"/>
      <c r="F713" s="112">
        <v>26854</v>
      </c>
      <c r="G713" s="1797"/>
      <c r="H713">
        <v>21</v>
      </c>
      <c r="I713" t="s">
        <v>295</v>
      </c>
    </row>
    <row r="714" spans="1:9" hidden="1">
      <c r="A714" s="1772" t="s">
        <v>1230</v>
      </c>
      <c r="B714" s="1793"/>
      <c r="C714" s="1797"/>
      <c r="D714" s="1795">
        <v>4157322</v>
      </c>
      <c r="E714" s="1799"/>
      <c r="F714" s="112">
        <v>4157322</v>
      </c>
      <c r="G714" s="1797"/>
      <c r="H714">
        <v>21</v>
      </c>
      <c r="I714" t="s">
        <v>295</v>
      </c>
    </row>
    <row r="715" spans="1:9" hidden="1">
      <c r="A715" s="1772" t="s">
        <v>110</v>
      </c>
      <c r="B715" s="1793"/>
      <c r="C715" s="1797"/>
      <c r="D715" s="1795">
        <v>23162080.760000002</v>
      </c>
      <c r="E715" s="1799"/>
      <c r="F715" s="112">
        <v>23162080.760000002</v>
      </c>
      <c r="G715" s="1797"/>
      <c r="H715">
        <v>21</v>
      </c>
      <c r="I715" t="s">
        <v>295</v>
      </c>
    </row>
    <row r="716" spans="1:9" hidden="1">
      <c r="A716" s="1772" t="s">
        <v>111</v>
      </c>
      <c r="B716" s="1793"/>
      <c r="C716" s="1797"/>
      <c r="D716" s="1795">
        <v>2065382</v>
      </c>
      <c r="E716" s="1799"/>
      <c r="F716" s="112">
        <v>2065382</v>
      </c>
      <c r="G716" s="1797"/>
      <c r="H716">
        <v>21</v>
      </c>
      <c r="I716" t="s">
        <v>295</v>
      </c>
    </row>
    <row r="717" spans="1:9" hidden="1">
      <c r="A717" s="1772" t="s">
        <v>1229</v>
      </c>
      <c r="B717" s="1793"/>
      <c r="C717" s="1797"/>
      <c r="D717" s="1795">
        <v>39779</v>
      </c>
      <c r="E717" s="1799"/>
      <c r="F717" s="112">
        <v>39779</v>
      </c>
      <c r="G717" s="1797"/>
      <c r="H717">
        <v>21</v>
      </c>
      <c r="I717" t="s">
        <v>295</v>
      </c>
    </row>
    <row r="718" spans="1:9" hidden="1">
      <c r="A718" s="1772" t="s">
        <v>1228</v>
      </c>
      <c r="B718" s="1793"/>
      <c r="C718" s="1797"/>
      <c r="D718" s="1795">
        <v>5591409.4000000004</v>
      </c>
      <c r="E718" s="1796">
        <v>37996</v>
      </c>
      <c r="F718" s="112">
        <v>5553413.4000000004</v>
      </c>
      <c r="G718" s="1797"/>
      <c r="H718">
        <v>21</v>
      </c>
      <c r="I718" t="s">
        <v>295</v>
      </c>
    </row>
    <row r="719" spans="1:9" hidden="1">
      <c r="A719" s="1772" t="s">
        <v>1227</v>
      </c>
      <c r="B719" s="1793"/>
      <c r="C719" s="1797"/>
      <c r="D719" s="1795">
        <v>468861</v>
      </c>
      <c r="E719" s="1799"/>
      <c r="F719" s="112">
        <v>468861</v>
      </c>
      <c r="G719" s="1797"/>
      <c r="H719">
        <v>21</v>
      </c>
      <c r="I719" t="s">
        <v>295</v>
      </c>
    </row>
    <row r="720" spans="1:9" hidden="1">
      <c r="A720" s="1772" t="s">
        <v>121</v>
      </c>
      <c r="B720" s="1793"/>
      <c r="C720" s="1797"/>
      <c r="D720" s="1795">
        <v>4454015</v>
      </c>
      <c r="E720" s="1799"/>
      <c r="F720" s="112">
        <v>4454015</v>
      </c>
      <c r="G720" s="1797"/>
      <c r="H720">
        <v>21</v>
      </c>
      <c r="I720" t="s">
        <v>295</v>
      </c>
    </row>
    <row r="721" spans="1:9" hidden="1">
      <c r="A721" s="1772" t="s">
        <v>1226</v>
      </c>
      <c r="B721" s="1793"/>
      <c r="C721" s="1797"/>
      <c r="D721" s="1795">
        <v>478859</v>
      </c>
      <c r="E721" s="1799"/>
      <c r="F721" s="112">
        <v>478859</v>
      </c>
      <c r="G721" s="1797"/>
      <c r="H721">
        <v>21</v>
      </c>
      <c r="I721" t="s">
        <v>295</v>
      </c>
    </row>
    <row r="722" spans="1:9" hidden="1">
      <c r="A722" s="1772" t="s">
        <v>1875</v>
      </c>
      <c r="B722" s="1793"/>
      <c r="C722" s="1797"/>
      <c r="D722" s="1805"/>
      <c r="E722" s="1796">
        <v>16844000</v>
      </c>
      <c r="F722" s="95"/>
      <c r="G722" s="1794">
        <v>16844000</v>
      </c>
      <c r="H722">
        <v>21</v>
      </c>
      <c r="I722" t="s">
        <v>295</v>
      </c>
    </row>
    <row r="723" spans="1:9" hidden="1">
      <c r="A723" s="1812" t="s">
        <v>112</v>
      </c>
      <c r="B723" s="1793"/>
      <c r="C723" s="1797"/>
      <c r="D723" s="1795">
        <v>12131306</v>
      </c>
      <c r="E723" s="1796">
        <v>301990</v>
      </c>
      <c r="F723" s="112">
        <v>11829316</v>
      </c>
      <c r="G723" s="1797"/>
      <c r="H723">
        <v>21</v>
      </c>
      <c r="I723" t="s">
        <v>295</v>
      </c>
    </row>
    <row r="724" spans="1:9" hidden="1">
      <c r="A724" s="1772" t="s">
        <v>2928</v>
      </c>
      <c r="B724" s="1793"/>
      <c r="C724" s="1797"/>
      <c r="D724" s="1795">
        <v>87500</v>
      </c>
      <c r="E724" s="1799"/>
      <c r="F724" s="112">
        <v>87500</v>
      </c>
      <c r="G724" s="1797"/>
      <c r="H724">
        <v>21</v>
      </c>
      <c r="I724" t="s">
        <v>295</v>
      </c>
    </row>
    <row r="725" spans="1:9" hidden="1">
      <c r="A725" s="1772" t="s">
        <v>113</v>
      </c>
      <c r="B725" s="1793"/>
      <c r="C725" s="1797"/>
      <c r="D725" s="1795">
        <v>2437114</v>
      </c>
      <c r="E725" s="1799"/>
      <c r="F725" s="112">
        <v>2437114</v>
      </c>
      <c r="G725" s="1797"/>
      <c r="H725">
        <v>21</v>
      </c>
      <c r="I725" t="s">
        <v>295</v>
      </c>
    </row>
    <row r="726" spans="1:9" hidden="1">
      <c r="A726" s="1812" t="s">
        <v>122</v>
      </c>
      <c r="B726" s="1793"/>
      <c r="C726" s="1797"/>
      <c r="D726" s="1795">
        <v>1980644</v>
      </c>
      <c r="E726" s="1799"/>
      <c r="F726" s="112">
        <v>1980644</v>
      </c>
      <c r="G726" s="1797"/>
      <c r="H726">
        <v>21</v>
      </c>
      <c r="I726" t="s">
        <v>295</v>
      </c>
    </row>
    <row r="727" spans="1:9" hidden="1">
      <c r="A727" s="1772" t="s">
        <v>1846</v>
      </c>
      <c r="B727" s="1793"/>
      <c r="C727" s="1797"/>
      <c r="D727" s="1795">
        <v>468365</v>
      </c>
      <c r="E727" s="1799"/>
      <c r="F727" s="112">
        <v>468365</v>
      </c>
      <c r="G727" s="1797"/>
      <c r="H727">
        <v>21</v>
      </c>
      <c r="I727" t="s">
        <v>295</v>
      </c>
    </row>
    <row r="728" spans="1:9" hidden="1">
      <c r="A728" s="1772" t="s">
        <v>114</v>
      </c>
      <c r="B728" s="1793"/>
      <c r="C728" s="1797"/>
      <c r="D728" s="1795">
        <v>453410</v>
      </c>
      <c r="E728" s="1799"/>
      <c r="F728" s="112">
        <v>453410</v>
      </c>
      <c r="G728" s="1797"/>
      <c r="H728">
        <v>21</v>
      </c>
      <c r="I728" t="s">
        <v>295</v>
      </c>
    </row>
    <row r="729" spans="1:9" hidden="1">
      <c r="A729" s="1772" t="s">
        <v>123</v>
      </c>
      <c r="B729" s="1793"/>
      <c r="C729" s="1797"/>
      <c r="D729" s="1795">
        <v>11989673</v>
      </c>
      <c r="E729" s="1799"/>
      <c r="F729" s="112">
        <v>11989673</v>
      </c>
      <c r="G729" s="1797"/>
      <c r="H729">
        <v>21</v>
      </c>
      <c r="I729" t="s">
        <v>295</v>
      </c>
    </row>
    <row r="730" spans="1:9" hidden="1">
      <c r="A730" s="1812" t="s">
        <v>1842</v>
      </c>
      <c r="B730" s="1793"/>
      <c r="C730" s="1797"/>
      <c r="D730" s="1795">
        <v>545796</v>
      </c>
      <c r="E730" s="1796">
        <v>41210</v>
      </c>
      <c r="F730" s="112">
        <v>504586</v>
      </c>
      <c r="G730" s="1797"/>
      <c r="H730">
        <v>21</v>
      </c>
      <c r="I730" t="s">
        <v>295</v>
      </c>
    </row>
    <row r="731" spans="1:9" hidden="1">
      <c r="A731" s="1772" t="s">
        <v>124</v>
      </c>
      <c r="B731" s="1793"/>
      <c r="C731" s="1797"/>
      <c r="D731" s="1795">
        <v>6028275.7199999997</v>
      </c>
      <c r="E731" s="1799"/>
      <c r="F731" s="112">
        <v>6028275.7199999997</v>
      </c>
      <c r="G731" s="1797"/>
      <c r="H731">
        <v>21</v>
      </c>
      <c r="I731" t="s">
        <v>295</v>
      </c>
    </row>
    <row r="732" spans="1:9" hidden="1">
      <c r="A732" s="1772" t="s">
        <v>1843</v>
      </c>
      <c r="B732" s="1793"/>
      <c r="C732" s="1797"/>
      <c r="D732" s="1795">
        <v>244984</v>
      </c>
      <c r="E732" s="1799"/>
      <c r="F732" s="112">
        <v>244984</v>
      </c>
      <c r="G732" s="1797"/>
      <c r="H732">
        <v>21</v>
      </c>
      <c r="I732" t="s">
        <v>295</v>
      </c>
    </row>
    <row r="733" spans="1:9" hidden="1">
      <c r="A733" s="1767" t="s">
        <v>160</v>
      </c>
      <c r="B733" s="1811"/>
      <c r="C733" s="1806"/>
      <c r="D733" s="1780">
        <v>163248197.00999999</v>
      </c>
      <c r="E733" s="1781">
        <v>1653079.04</v>
      </c>
      <c r="F733" s="204">
        <v>161595117.97</v>
      </c>
      <c r="G733" s="1806"/>
    </row>
    <row r="734" spans="1:9" hidden="1">
      <c r="A734" s="1782" t="s">
        <v>161</v>
      </c>
      <c r="B734" s="1783"/>
      <c r="C734" s="242"/>
      <c r="D734" s="1784">
        <v>120276681.84</v>
      </c>
      <c r="E734" s="1785">
        <v>933956.04</v>
      </c>
      <c r="F734" s="107">
        <v>119342725.8</v>
      </c>
      <c r="G734" s="242"/>
    </row>
    <row r="735" spans="1:9" hidden="1">
      <c r="A735" s="1786" t="s">
        <v>1317</v>
      </c>
      <c r="B735" s="1775"/>
      <c r="C735" s="1776"/>
      <c r="D735" s="1787">
        <v>14225715.9</v>
      </c>
      <c r="E735" s="1804"/>
      <c r="F735" s="1808">
        <v>14225715.9</v>
      </c>
      <c r="G735" s="1776"/>
      <c r="H735">
        <v>21</v>
      </c>
      <c r="I735" t="s">
        <v>214</v>
      </c>
    </row>
    <row r="736" spans="1:9" hidden="1">
      <c r="A736" s="1786" t="s">
        <v>173</v>
      </c>
      <c r="B736" s="1805"/>
      <c r="C736" s="1799"/>
      <c r="D736" s="1798">
        <v>1695894</v>
      </c>
      <c r="E736" s="1797"/>
      <c r="F736" s="104">
        <v>1695894</v>
      </c>
      <c r="G736" s="1799"/>
      <c r="H736">
        <v>21</v>
      </c>
      <c r="I736" t="s">
        <v>214</v>
      </c>
    </row>
    <row r="737" spans="1:9" hidden="1">
      <c r="A737" s="1786" t="s">
        <v>174</v>
      </c>
      <c r="B737" s="1805"/>
      <c r="C737" s="1799"/>
      <c r="D737" s="1798">
        <v>9731497</v>
      </c>
      <c r="E737" s="1797"/>
      <c r="F737" s="104">
        <v>9731497</v>
      </c>
      <c r="G737" s="1799"/>
      <c r="H737">
        <v>21</v>
      </c>
      <c r="I737" t="s">
        <v>214</v>
      </c>
    </row>
    <row r="738" spans="1:9" hidden="1">
      <c r="A738" s="1786" t="s">
        <v>1539</v>
      </c>
      <c r="B738" s="1805"/>
      <c r="C738" s="1799"/>
      <c r="D738" s="1798">
        <v>690700</v>
      </c>
      <c r="E738" s="1797"/>
      <c r="F738" s="104">
        <v>690700</v>
      </c>
      <c r="G738" s="1799"/>
      <c r="H738">
        <v>21</v>
      </c>
      <c r="I738" t="s">
        <v>214</v>
      </c>
    </row>
    <row r="739" spans="1:9" hidden="1">
      <c r="A739" s="1786" t="s">
        <v>1318</v>
      </c>
      <c r="B739" s="1805"/>
      <c r="C739" s="1799"/>
      <c r="D739" s="1798">
        <v>607484</v>
      </c>
      <c r="E739" s="1797"/>
      <c r="F739" s="104">
        <v>607484</v>
      </c>
      <c r="G739" s="1799"/>
      <c r="H739">
        <v>21</v>
      </c>
      <c r="I739" t="s">
        <v>214</v>
      </c>
    </row>
    <row r="740" spans="1:9" hidden="1">
      <c r="A740" s="1800" t="s">
        <v>1319</v>
      </c>
      <c r="B740" s="1805"/>
      <c r="C740" s="1799"/>
      <c r="D740" s="1798">
        <v>134852</v>
      </c>
      <c r="E740" s="1797"/>
      <c r="F740" s="104">
        <v>134852</v>
      </c>
      <c r="G740" s="1799"/>
      <c r="H740">
        <v>21</v>
      </c>
      <c r="I740" t="s">
        <v>214</v>
      </c>
    </row>
    <row r="741" spans="1:9" hidden="1">
      <c r="A741" s="1800" t="s">
        <v>1320</v>
      </c>
      <c r="B741" s="1805"/>
      <c r="C741" s="1799"/>
      <c r="D741" s="1798">
        <v>6639927.25</v>
      </c>
      <c r="E741" s="1797"/>
      <c r="F741" s="104">
        <v>6639927.25</v>
      </c>
      <c r="G741" s="1799"/>
      <c r="H741">
        <v>21</v>
      </c>
      <c r="I741" t="s">
        <v>214</v>
      </c>
    </row>
    <row r="742" spans="1:9" hidden="1">
      <c r="A742" s="1786" t="s">
        <v>162</v>
      </c>
      <c r="B742" s="1805"/>
      <c r="C742" s="1799"/>
      <c r="D742" s="1798">
        <v>17228</v>
      </c>
      <c r="E742" s="1797"/>
      <c r="F742" s="104">
        <v>17228</v>
      </c>
      <c r="G742" s="1799"/>
      <c r="H742">
        <v>21</v>
      </c>
      <c r="I742" t="s">
        <v>214</v>
      </c>
    </row>
    <row r="743" spans="1:9" hidden="1">
      <c r="A743" s="1800" t="s">
        <v>892</v>
      </c>
      <c r="B743" s="1805"/>
      <c r="C743" s="1799"/>
      <c r="D743" s="1798">
        <v>360549</v>
      </c>
      <c r="E743" s="1797"/>
      <c r="F743" s="104">
        <v>360549</v>
      </c>
      <c r="G743" s="1799"/>
      <c r="H743">
        <v>21</v>
      </c>
      <c r="I743" t="s">
        <v>214</v>
      </c>
    </row>
    <row r="744" spans="1:9" hidden="1">
      <c r="A744" s="1786" t="s">
        <v>175</v>
      </c>
      <c r="B744" s="1805"/>
      <c r="C744" s="1799"/>
      <c r="D744" s="1798">
        <v>5124802</v>
      </c>
      <c r="E744" s="1797"/>
      <c r="F744" s="104">
        <v>5124802</v>
      </c>
      <c r="G744" s="1799"/>
      <c r="H744">
        <v>21</v>
      </c>
      <c r="I744" t="s">
        <v>214</v>
      </c>
    </row>
    <row r="745" spans="1:9" hidden="1">
      <c r="A745" s="1800" t="s">
        <v>1321</v>
      </c>
      <c r="B745" s="1805"/>
      <c r="C745" s="1799"/>
      <c r="D745" s="1798">
        <v>43765963.689999998</v>
      </c>
      <c r="E745" s="1794">
        <v>776505.04</v>
      </c>
      <c r="F745" s="104">
        <v>42989458.649999999</v>
      </c>
      <c r="G745" s="1799"/>
      <c r="H745">
        <v>21</v>
      </c>
      <c r="I745" t="s">
        <v>214</v>
      </c>
    </row>
    <row r="746" spans="1:9" hidden="1">
      <c r="A746" s="1800" t="s">
        <v>163</v>
      </c>
      <c r="B746" s="1805"/>
      <c r="C746" s="1799"/>
      <c r="D746" s="1798">
        <v>125477</v>
      </c>
      <c r="E746" s="1797"/>
      <c r="F746" s="104">
        <v>125477</v>
      </c>
      <c r="G746" s="1799"/>
      <c r="H746">
        <v>21</v>
      </c>
      <c r="I746" t="s">
        <v>214</v>
      </c>
    </row>
    <row r="747" spans="1:9" hidden="1">
      <c r="A747" s="1800" t="s">
        <v>164</v>
      </c>
      <c r="B747" s="1805"/>
      <c r="C747" s="1799"/>
      <c r="D747" s="1798">
        <v>178955</v>
      </c>
      <c r="E747" s="1797"/>
      <c r="F747" s="104">
        <v>178955</v>
      </c>
      <c r="G747" s="1799"/>
      <c r="H747">
        <v>21</v>
      </c>
      <c r="I747" t="s">
        <v>214</v>
      </c>
    </row>
    <row r="748" spans="1:9" hidden="1">
      <c r="A748" s="1800" t="s">
        <v>176</v>
      </c>
      <c r="B748" s="1805"/>
      <c r="C748" s="1799"/>
      <c r="D748" s="1798">
        <v>3167154</v>
      </c>
      <c r="E748" s="1797"/>
      <c r="F748" s="104">
        <v>3167154</v>
      </c>
      <c r="G748" s="1799"/>
      <c r="H748">
        <v>21</v>
      </c>
      <c r="I748" t="s">
        <v>214</v>
      </c>
    </row>
    <row r="749" spans="1:9" hidden="1">
      <c r="A749" s="1800" t="s">
        <v>177</v>
      </c>
      <c r="B749" s="1805"/>
      <c r="C749" s="1799"/>
      <c r="D749" s="1798">
        <v>7799305</v>
      </c>
      <c r="E749" s="1797"/>
      <c r="F749" s="104">
        <v>7799305</v>
      </c>
      <c r="G749" s="1799"/>
      <c r="H749">
        <v>21</v>
      </c>
      <c r="I749" t="s">
        <v>214</v>
      </c>
    </row>
    <row r="750" spans="1:9" hidden="1">
      <c r="A750" s="1800" t="s">
        <v>1322</v>
      </c>
      <c r="B750" s="1805"/>
      <c r="C750" s="1799"/>
      <c r="D750" s="1798">
        <v>2002452</v>
      </c>
      <c r="E750" s="1797"/>
      <c r="F750" s="104">
        <v>2002452</v>
      </c>
      <c r="G750" s="1799"/>
      <c r="H750">
        <v>21</v>
      </c>
      <c r="I750" t="s">
        <v>214</v>
      </c>
    </row>
    <row r="751" spans="1:9" hidden="1">
      <c r="A751" s="1786" t="s">
        <v>3427</v>
      </c>
      <c r="B751" s="1805"/>
      <c r="C751" s="1799"/>
      <c r="D751" s="1798">
        <v>71213</v>
      </c>
      <c r="E751" s="1797"/>
      <c r="F751" s="104">
        <v>71213</v>
      </c>
      <c r="G751" s="1799"/>
      <c r="H751">
        <v>21</v>
      </c>
      <c r="I751" t="s">
        <v>214</v>
      </c>
    </row>
    <row r="752" spans="1:9" hidden="1">
      <c r="A752" s="1800" t="s">
        <v>165</v>
      </c>
      <c r="B752" s="1805"/>
      <c r="C752" s="1799"/>
      <c r="D752" s="1798">
        <v>403870</v>
      </c>
      <c r="E752" s="1797"/>
      <c r="F752" s="104">
        <v>403870</v>
      </c>
      <c r="G752" s="1799"/>
      <c r="H752">
        <v>21</v>
      </c>
      <c r="I752" t="s">
        <v>214</v>
      </c>
    </row>
    <row r="753" spans="1:9" hidden="1">
      <c r="A753" s="1786" t="s">
        <v>169</v>
      </c>
      <c r="B753" s="1805"/>
      <c r="C753" s="1799"/>
      <c r="D753" s="1798">
        <v>12260080</v>
      </c>
      <c r="E753" s="1794">
        <v>157451</v>
      </c>
      <c r="F753" s="104">
        <v>12102629</v>
      </c>
      <c r="G753" s="1799"/>
      <c r="H753">
        <v>21</v>
      </c>
      <c r="I753" t="s">
        <v>214</v>
      </c>
    </row>
    <row r="754" spans="1:9" hidden="1">
      <c r="A754" s="1786" t="s">
        <v>205</v>
      </c>
      <c r="B754" s="1805"/>
      <c r="C754" s="1799"/>
      <c r="D754" s="1798">
        <v>916599</v>
      </c>
      <c r="E754" s="1797"/>
      <c r="F754" s="104">
        <v>916599</v>
      </c>
      <c r="G754" s="1799"/>
      <c r="H754">
        <v>21</v>
      </c>
      <c r="I754" t="s">
        <v>214</v>
      </c>
    </row>
    <row r="755" spans="1:9" hidden="1">
      <c r="A755" s="1786" t="s">
        <v>3428</v>
      </c>
      <c r="B755" s="1805"/>
      <c r="C755" s="1799"/>
      <c r="D755" s="1798">
        <v>426450</v>
      </c>
      <c r="E755" s="1797"/>
      <c r="F755" s="104">
        <v>426450</v>
      </c>
      <c r="G755" s="1799"/>
      <c r="H755">
        <v>21</v>
      </c>
      <c r="I755" t="s">
        <v>214</v>
      </c>
    </row>
    <row r="756" spans="1:9" hidden="1">
      <c r="A756" s="1786" t="s">
        <v>3429</v>
      </c>
      <c r="B756" s="1805"/>
      <c r="C756" s="1799"/>
      <c r="D756" s="1798">
        <v>2356054</v>
      </c>
      <c r="E756" s="1797"/>
      <c r="F756" s="104">
        <v>2356054</v>
      </c>
      <c r="G756" s="1799"/>
      <c r="H756">
        <v>21</v>
      </c>
      <c r="I756" t="s">
        <v>214</v>
      </c>
    </row>
    <row r="757" spans="1:9" hidden="1">
      <c r="A757" s="1786" t="s">
        <v>170</v>
      </c>
      <c r="B757" s="1805"/>
      <c r="C757" s="1799"/>
      <c r="D757" s="1798">
        <v>1403859</v>
      </c>
      <c r="E757" s="1797"/>
      <c r="F757" s="104">
        <v>1403859</v>
      </c>
      <c r="G757" s="1799"/>
      <c r="H757">
        <v>21</v>
      </c>
      <c r="I757" t="s">
        <v>214</v>
      </c>
    </row>
    <row r="758" spans="1:9" hidden="1">
      <c r="A758" s="1786" t="s">
        <v>171</v>
      </c>
      <c r="B758" s="1805"/>
      <c r="C758" s="1799"/>
      <c r="D758" s="1798">
        <v>4147996</v>
      </c>
      <c r="E758" s="1797"/>
      <c r="F758" s="104">
        <v>4147996</v>
      </c>
      <c r="G758" s="1799"/>
      <c r="H758">
        <v>21</v>
      </c>
      <c r="I758" t="s">
        <v>214</v>
      </c>
    </row>
    <row r="759" spans="1:9" hidden="1">
      <c r="A759" s="1786" t="s">
        <v>172</v>
      </c>
      <c r="B759" s="1805"/>
      <c r="C759" s="1799"/>
      <c r="D759" s="1798">
        <v>2021147</v>
      </c>
      <c r="E759" s="1797"/>
      <c r="F759" s="104">
        <v>2021147</v>
      </c>
      <c r="G759" s="1799"/>
      <c r="H759">
        <v>21</v>
      </c>
      <c r="I759" t="s">
        <v>214</v>
      </c>
    </row>
    <row r="760" spans="1:9" hidden="1">
      <c r="A760" s="1786" t="s">
        <v>1316</v>
      </c>
      <c r="B760" s="1805"/>
      <c r="C760" s="1799"/>
      <c r="D760" s="1798">
        <v>1458</v>
      </c>
      <c r="E760" s="1797"/>
      <c r="F760" s="104">
        <v>1458</v>
      </c>
      <c r="G760" s="1799"/>
      <c r="H760">
        <v>21</v>
      </c>
      <c r="I760" t="s">
        <v>214</v>
      </c>
    </row>
    <row r="761" spans="1:9" hidden="1">
      <c r="A761" s="1782" t="s">
        <v>178</v>
      </c>
      <c r="B761" s="1813"/>
      <c r="C761" s="240"/>
      <c r="D761" s="1788">
        <v>42971515.170000002</v>
      </c>
      <c r="E761" s="233">
        <v>719123</v>
      </c>
      <c r="F761" s="93">
        <v>42252392.170000002</v>
      </c>
      <c r="G761" s="240"/>
    </row>
    <row r="762" spans="1:9" hidden="1">
      <c r="A762" s="1772" t="s">
        <v>179</v>
      </c>
      <c r="B762" s="1775"/>
      <c r="C762" s="1776"/>
      <c r="D762" s="1787">
        <v>680697</v>
      </c>
      <c r="E762" s="1804"/>
      <c r="F762" s="1808">
        <v>680697</v>
      </c>
      <c r="G762" s="1776"/>
      <c r="H762">
        <v>23</v>
      </c>
      <c r="I762" t="s">
        <v>294</v>
      </c>
    </row>
    <row r="763" spans="1:9" hidden="1">
      <c r="A763" s="1786" t="s">
        <v>180</v>
      </c>
      <c r="B763" s="1805"/>
      <c r="C763" s="1799"/>
      <c r="D763" s="1798">
        <v>5696549.9199999999</v>
      </c>
      <c r="E763" s="1797"/>
      <c r="F763" s="104">
        <v>5696549.9199999999</v>
      </c>
      <c r="G763" s="1799"/>
      <c r="H763">
        <v>21</v>
      </c>
      <c r="I763" t="s">
        <v>542</v>
      </c>
    </row>
    <row r="764" spans="1:9" hidden="1">
      <c r="A764" s="1786" t="s">
        <v>1307</v>
      </c>
      <c r="B764" s="1805"/>
      <c r="C764" s="1799"/>
      <c r="D764" s="1798">
        <v>1224532</v>
      </c>
      <c r="E764" s="1797"/>
      <c r="F764" s="104">
        <v>1224532</v>
      </c>
      <c r="G764" s="1799"/>
      <c r="H764">
        <v>21</v>
      </c>
      <c r="I764" t="s">
        <v>542</v>
      </c>
    </row>
    <row r="765" spans="1:9" hidden="1">
      <c r="A765" s="1800" t="s">
        <v>181</v>
      </c>
      <c r="B765" s="1805"/>
      <c r="C765" s="1799"/>
      <c r="D765" s="1798">
        <v>1636587.7</v>
      </c>
      <c r="E765" s="1797"/>
      <c r="F765" s="104">
        <v>1636587.7</v>
      </c>
      <c r="G765" s="1799"/>
      <c r="H765">
        <v>21</v>
      </c>
      <c r="I765" t="s">
        <v>542</v>
      </c>
    </row>
    <row r="766" spans="1:9" hidden="1">
      <c r="A766" s="1786" t="s">
        <v>188</v>
      </c>
      <c r="B766" s="1805"/>
      <c r="C766" s="1799"/>
      <c r="D766" s="1798">
        <v>3200</v>
      </c>
      <c r="E766" s="1797"/>
      <c r="F766" s="104">
        <v>3200</v>
      </c>
      <c r="G766" s="1799"/>
      <c r="H766">
        <v>21</v>
      </c>
      <c r="I766" t="s">
        <v>542</v>
      </c>
    </row>
    <row r="767" spans="1:9" hidden="1">
      <c r="A767" s="1800" t="s">
        <v>182</v>
      </c>
      <c r="B767" s="1805"/>
      <c r="C767" s="1799"/>
      <c r="D767" s="1798">
        <v>17490</v>
      </c>
      <c r="E767" s="1797"/>
      <c r="F767" s="104">
        <v>17490</v>
      </c>
      <c r="G767" s="1799"/>
      <c r="H767">
        <v>21</v>
      </c>
      <c r="I767" t="s">
        <v>542</v>
      </c>
    </row>
    <row r="768" spans="1:9" hidden="1">
      <c r="A768" s="1786" t="s">
        <v>1308</v>
      </c>
      <c r="B768" s="1805"/>
      <c r="C768" s="1799"/>
      <c r="D768" s="1798">
        <v>2253311</v>
      </c>
      <c r="E768" s="1797"/>
      <c r="F768" s="104">
        <v>2253311</v>
      </c>
      <c r="G768" s="1799"/>
      <c r="H768">
        <v>21</v>
      </c>
      <c r="I768" t="s">
        <v>542</v>
      </c>
    </row>
    <row r="769" spans="1:9" hidden="1">
      <c r="A769" s="1786" t="s">
        <v>1309</v>
      </c>
      <c r="B769" s="1805"/>
      <c r="C769" s="1799"/>
      <c r="D769" s="1798">
        <v>519065</v>
      </c>
      <c r="E769" s="1797"/>
      <c r="F769" s="104">
        <v>519065</v>
      </c>
      <c r="G769" s="1799"/>
      <c r="H769">
        <v>21</v>
      </c>
      <c r="I769" t="s">
        <v>542</v>
      </c>
    </row>
    <row r="770" spans="1:9" hidden="1">
      <c r="A770" s="1786" t="s">
        <v>1847</v>
      </c>
      <c r="B770" s="1805"/>
      <c r="C770" s="1799"/>
      <c r="D770" s="1798">
        <v>51740</v>
      </c>
      <c r="E770" s="1797"/>
      <c r="F770" s="104">
        <v>51740</v>
      </c>
      <c r="G770" s="1799"/>
      <c r="H770">
        <v>21</v>
      </c>
      <c r="I770" t="s">
        <v>542</v>
      </c>
    </row>
    <row r="771" spans="1:9" hidden="1">
      <c r="A771" s="1786" t="s">
        <v>183</v>
      </c>
      <c r="B771" s="1805"/>
      <c r="C771" s="1799"/>
      <c r="D771" s="1798">
        <v>8000</v>
      </c>
      <c r="E771" s="1797"/>
      <c r="F771" s="104">
        <v>8000</v>
      </c>
      <c r="G771" s="1799"/>
      <c r="H771">
        <v>21</v>
      </c>
      <c r="I771" t="s">
        <v>542</v>
      </c>
    </row>
    <row r="772" spans="1:9" hidden="1">
      <c r="A772" s="1800" t="s">
        <v>184</v>
      </c>
      <c r="B772" s="1805"/>
      <c r="C772" s="1799"/>
      <c r="D772" s="1798">
        <v>2497720.67</v>
      </c>
      <c r="E772" s="1794">
        <v>719123</v>
      </c>
      <c r="F772" s="104">
        <v>1778597.67</v>
      </c>
      <c r="G772" s="1799"/>
      <c r="H772">
        <v>21</v>
      </c>
      <c r="I772" t="s">
        <v>542</v>
      </c>
    </row>
    <row r="773" spans="1:9" hidden="1">
      <c r="A773" s="1786" t="s">
        <v>186</v>
      </c>
      <c r="B773" s="1805"/>
      <c r="C773" s="1799"/>
      <c r="D773" s="1798">
        <v>9008964.5</v>
      </c>
      <c r="E773" s="1797"/>
      <c r="F773" s="104">
        <v>9008964.5</v>
      </c>
      <c r="G773" s="1799"/>
      <c r="H773">
        <v>21</v>
      </c>
      <c r="I773" t="s">
        <v>542</v>
      </c>
    </row>
    <row r="774" spans="1:9" hidden="1">
      <c r="A774" s="1786" t="s">
        <v>1310</v>
      </c>
      <c r="B774" s="1805"/>
      <c r="C774" s="1799"/>
      <c r="D774" s="1798">
        <v>2395283.2799999998</v>
      </c>
      <c r="E774" s="1797"/>
      <c r="F774" s="104">
        <v>2395283.2799999998</v>
      </c>
      <c r="G774" s="1799"/>
      <c r="H774">
        <v>21</v>
      </c>
      <c r="I774" t="s">
        <v>542</v>
      </c>
    </row>
    <row r="775" spans="1:9" hidden="1">
      <c r="A775" s="1800" t="s">
        <v>187</v>
      </c>
      <c r="B775" s="1805"/>
      <c r="C775" s="1799"/>
      <c r="D775" s="1798">
        <v>5561395</v>
      </c>
      <c r="E775" s="1797"/>
      <c r="F775" s="104">
        <v>5561395</v>
      </c>
      <c r="G775" s="1799"/>
      <c r="H775">
        <v>23</v>
      </c>
      <c r="I775" t="s">
        <v>294</v>
      </c>
    </row>
    <row r="776" spans="1:9" hidden="1">
      <c r="A776" s="1800" t="s">
        <v>1311</v>
      </c>
      <c r="B776" s="1805"/>
      <c r="C776" s="1799"/>
      <c r="D776" s="1798">
        <v>1901884</v>
      </c>
      <c r="E776" s="1797"/>
      <c r="F776" s="104">
        <v>1901884</v>
      </c>
      <c r="G776" s="1799"/>
      <c r="H776">
        <v>23</v>
      </c>
      <c r="I776" t="s">
        <v>55</v>
      </c>
    </row>
    <row r="777" spans="1:9" hidden="1">
      <c r="A777" s="1786" t="s">
        <v>1312</v>
      </c>
      <c r="B777" s="1805"/>
      <c r="C777" s="1799"/>
      <c r="D777" s="1798">
        <v>2199457</v>
      </c>
      <c r="E777" s="1797"/>
      <c r="F777" s="104">
        <v>2199457</v>
      </c>
      <c r="G777" s="1799"/>
      <c r="H777">
        <v>21</v>
      </c>
      <c r="I777" t="s">
        <v>542</v>
      </c>
    </row>
    <row r="778" spans="1:9" hidden="1">
      <c r="A778" s="1786" t="s">
        <v>1313</v>
      </c>
      <c r="B778" s="1805"/>
      <c r="C778" s="1799"/>
      <c r="D778" s="1798">
        <v>1622584</v>
      </c>
      <c r="E778" s="1797"/>
      <c r="F778" s="104">
        <v>1622584</v>
      </c>
      <c r="G778" s="1799"/>
      <c r="H778">
        <v>21</v>
      </c>
      <c r="I778" t="s">
        <v>542</v>
      </c>
    </row>
    <row r="779" spans="1:9" hidden="1">
      <c r="A779" s="1786" t="s">
        <v>1314</v>
      </c>
      <c r="B779" s="1805"/>
      <c r="C779" s="1799"/>
      <c r="D779" s="1798">
        <v>5693054.0999999996</v>
      </c>
      <c r="E779" s="1797"/>
      <c r="F779" s="104">
        <v>5693054.0999999996</v>
      </c>
      <c r="G779" s="1799"/>
      <c r="H779">
        <v>21</v>
      </c>
      <c r="I779" t="s">
        <v>542</v>
      </c>
    </row>
    <row r="780" spans="1:9" hidden="1">
      <c r="A780" s="1767" t="s">
        <v>189</v>
      </c>
      <c r="B780" s="1811"/>
      <c r="C780" s="1806"/>
      <c r="D780" s="1814"/>
      <c r="E780" s="1781">
        <v>4647388</v>
      </c>
      <c r="F780" s="343"/>
      <c r="G780" s="1779">
        <v>4647388</v>
      </c>
    </row>
    <row r="781" spans="1:9" hidden="1">
      <c r="A781" s="1772" t="s">
        <v>190</v>
      </c>
      <c r="B781" s="1773"/>
      <c r="C781" s="1804"/>
      <c r="D781" s="1775"/>
      <c r="E781" s="1803">
        <v>4642716</v>
      </c>
      <c r="F781" s="1777"/>
      <c r="G781" s="1774">
        <v>4642716</v>
      </c>
      <c r="H781">
        <v>20</v>
      </c>
      <c r="I781" t="s">
        <v>276</v>
      </c>
    </row>
    <row r="782" spans="1:9" hidden="1">
      <c r="A782" s="1772" t="s">
        <v>1113</v>
      </c>
      <c r="B782" s="1793"/>
      <c r="C782" s="1797"/>
      <c r="D782" s="1805"/>
      <c r="E782" s="1796">
        <v>4672</v>
      </c>
      <c r="F782" s="95"/>
      <c r="G782" s="1794">
        <v>4672</v>
      </c>
      <c r="H782">
        <v>20</v>
      </c>
      <c r="I782" t="s">
        <v>46</v>
      </c>
    </row>
    <row r="783" spans="1:9" hidden="1">
      <c r="A783" s="1767" t="s">
        <v>192</v>
      </c>
      <c r="B783" s="1811"/>
      <c r="C783" s="1806"/>
      <c r="D783" s="1780">
        <v>67462773.930000007</v>
      </c>
      <c r="E783" s="1781">
        <v>2011860.5</v>
      </c>
      <c r="F783" s="204">
        <v>65450913.43</v>
      </c>
      <c r="G783" s="1806"/>
    </row>
    <row r="784" spans="1:9" hidden="1">
      <c r="A784" s="1782" t="s">
        <v>193</v>
      </c>
      <c r="B784" s="1783"/>
      <c r="C784" s="242"/>
      <c r="D784" s="1784">
        <v>51268</v>
      </c>
      <c r="E784" s="242"/>
      <c r="F784" s="107">
        <v>51268</v>
      </c>
      <c r="G784" s="242"/>
    </row>
    <row r="785" spans="1:9" hidden="1">
      <c r="A785" s="1800" t="s">
        <v>193</v>
      </c>
      <c r="B785" s="1775"/>
      <c r="C785" s="1776"/>
      <c r="D785" s="1787">
        <v>51268</v>
      </c>
      <c r="E785" s="1804"/>
      <c r="F785" s="1808">
        <v>51268</v>
      </c>
      <c r="G785" s="1776"/>
      <c r="H785">
        <v>24</v>
      </c>
      <c r="I785" t="s">
        <v>250</v>
      </c>
    </row>
    <row r="786" spans="1:9" hidden="1">
      <c r="A786" s="1782" t="s">
        <v>194</v>
      </c>
      <c r="B786" s="1813"/>
      <c r="C786" s="240"/>
      <c r="D786" s="1788">
        <v>28380</v>
      </c>
      <c r="E786" s="240"/>
      <c r="F786" s="93">
        <v>28380</v>
      </c>
      <c r="G786" s="240"/>
    </row>
    <row r="787" spans="1:9" hidden="1">
      <c r="A787" s="1800" t="s">
        <v>194</v>
      </c>
      <c r="B787" s="1775"/>
      <c r="C787" s="1776"/>
      <c r="D787" s="1787">
        <v>28380</v>
      </c>
      <c r="E787" s="1804"/>
      <c r="F787" s="1808">
        <v>28380</v>
      </c>
      <c r="G787" s="1776"/>
      <c r="H787">
        <v>24</v>
      </c>
      <c r="I787" t="s">
        <v>1172</v>
      </c>
    </row>
    <row r="788" spans="1:9" hidden="1">
      <c r="A788" s="1772" t="s">
        <v>195</v>
      </c>
      <c r="B788" s="1793"/>
      <c r="C788" s="1797"/>
      <c r="D788" s="1795">
        <v>23373</v>
      </c>
      <c r="E788" s="1799"/>
      <c r="F788" s="112">
        <v>23373</v>
      </c>
      <c r="G788" s="1797"/>
      <c r="H788">
        <v>24</v>
      </c>
      <c r="I788" t="s">
        <v>532</v>
      </c>
    </row>
    <row r="789" spans="1:9" hidden="1">
      <c r="A789" s="1772" t="s">
        <v>2635</v>
      </c>
      <c r="B789" s="1793"/>
      <c r="C789" s="1797"/>
      <c r="D789" s="1795">
        <v>9440</v>
      </c>
      <c r="E789" s="1799"/>
      <c r="F789" s="112">
        <v>9440</v>
      </c>
      <c r="G789" s="1797"/>
      <c r="H789">
        <v>24</v>
      </c>
      <c r="I789" t="s">
        <v>2659</v>
      </c>
    </row>
    <row r="790" spans="1:9" hidden="1">
      <c r="A790" s="1772" t="s">
        <v>210</v>
      </c>
      <c r="B790" s="1793"/>
      <c r="C790" s="1797"/>
      <c r="D790" s="1795">
        <v>131266.19</v>
      </c>
      <c r="E790" s="1796">
        <v>5353.48</v>
      </c>
      <c r="F790" s="112">
        <v>125912.71</v>
      </c>
      <c r="G790" s="1797"/>
      <c r="H790">
        <v>24</v>
      </c>
      <c r="I790" t="s">
        <v>72</v>
      </c>
    </row>
    <row r="791" spans="1:9" hidden="1">
      <c r="A791" s="1812" t="s">
        <v>1541</v>
      </c>
      <c r="B791" s="1793"/>
      <c r="C791" s="1797"/>
      <c r="D791" s="1795">
        <v>1503010</v>
      </c>
      <c r="E791" s="1796">
        <v>23250</v>
      </c>
      <c r="F791" s="112">
        <v>1479760</v>
      </c>
      <c r="G791" s="1797"/>
      <c r="H791">
        <v>23</v>
      </c>
      <c r="I791" t="s">
        <v>56</v>
      </c>
    </row>
    <row r="792" spans="1:9" hidden="1">
      <c r="A792" s="1772" t="s">
        <v>196</v>
      </c>
      <c r="B792" s="1793"/>
      <c r="C792" s="1797"/>
      <c r="D792" s="1795">
        <v>5650</v>
      </c>
      <c r="E792" s="1799"/>
      <c r="F792" s="112">
        <v>5650</v>
      </c>
      <c r="G792" s="1797"/>
      <c r="H792">
        <v>24</v>
      </c>
      <c r="I792" t="s">
        <v>241</v>
      </c>
    </row>
    <row r="793" spans="1:9" hidden="1">
      <c r="A793" s="1772" t="s">
        <v>1751</v>
      </c>
      <c r="B793" s="1793"/>
      <c r="C793" s="1797"/>
      <c r="D793" s="1795">
        <v>84958</v>
      </c>
      <c r="E793" s="1799"/>
      <c r="F793" s="112">
        <v>84958</v>
      </c>
      <c r="G793" s="1797"/>
      <c r="H793">
        <v>24</v>
      </c>
      <c r="I793" t="s">
        <v>1172</v>
      </c>
    </row>
    <row r="794" spans="1:9" hidden="1">
      <c r="A794" s="1772" t="s">
        <v>893</v>
      </c>
      <c r="B794" s="1793"/>
      <c r="C794" s="1797"/>
      <c r="D794" s="1795">
        <v>709828</v>
      </c>
      <c r="E794" s="1799"/>
      <c r="F794" s="112">
        <v>709828</v>
      </c>
      <c r="G794" s="1797"/>
      <c r="H794">
        <v>24</v>
      </c>
      <c r="I794" t="s">
        <v>3446</v>
      </c>
    </row>
    <row r="795" spans="1:9" hidden="1">
      <c r="A795" s="1772" t="s">
        <v>197</v>
      </c>
      <c r="B795" s="1793"/>
      <c r="C795" s="1797"/>
      <c r="D795" s="1795">
        <v>3780000</v>
      </c>
      <c r="E795" s="1799"/>
      <c r="F795" s="112">
        <v>3780000</v>
      </c>
      <c r="G795" s="1797"/>
      <c r="H795">
        <v>23</v>
      </c>
      <c r="I795" t="s">
        <v>58</v>
      </c>
    </row>
    <row r="796" spans="1:9" hidden="1">
      <c r="A796" s="1772" t="s">
        <v>211</v>
      </c>
      <c r="B796" s="1793"/>
      <c r="C796" s="1797"/>
      <c r="D796" s="1795">
        <v>339611</v>
      </c>
      <c r="E796" s="1799"/>
      <c r="F796" s="112">
        <v>339611</v>
      </c>
      <c r="G796" s="1797"/>
      <c r="H796">
        <v>24</v>
      </c>
      <c r="I796" t="s">
        <v>3624</v>
      </c>
    </row>
    <row r="797" spans="1:9" hidden="1">
      <c r="A797" s="1772" t="s">
        <v>198</v>
      </c>
      <c r="B797" s="1793"/>
      <c r="C797" s="1797"/>
      <c r="D797" s="1795">
        <v>280</v>
      </c>
      <c r="E797" s="1799"/>
      <c r="F797" s="112">
        <v>280</v>
      </c>
      <c r="G797" s="1797"/>
      <c r="H797">
        <v>24</v>
      </c>
      <c r="I797" t="s">
        <v>248</v>
      </c>
    </row>
    <row r="798" spans="1:9" hidden="1">
      <c r="A798" s="1772" t="s">
        <v>212</v>
      </c>
      <c r="B798" s="1793"/>
      <c r="C798" s="1797"/>
      <c r="D798" s="1795">
        <v>495006</v>
      </c>
      <c r="E798" s="1799"/>
      <c r="F798" s="112">
        <v>495006</v>
      </c>
      <c r="G798" s="1797"/>
      <c r="H798">
        <v>24</v>
      </c>
      <c r="I798" t="s">
        <v>1877</v>
      </c>
    </row>
    <row r="799" spans="1:9" hidden="1">
      <c r="A799" s="1772" t="s">
        <v>199</v>
      </c>
      <c r="B799" s="1793"/>
      <c r="C799" s="1797"/>
      <c r="D799" s="1795">
        <v>204000</v>
      </c>
      <c r="E799" s="1799"/>
      <c r="F799" s="112">
        <v>204000</v>
      </c>
      <c r="G799" s="1797"/>
      <c r="H799">
        <v>24</v>
      </c>
      <c r="I799" t="s">
        <v>3445</v>
      </c>
    </row>
    <row r="800" spans="1:9" hidden="1">
      <c r="A800" s="1772" t="s">
        <v>3430</v>
      </c>
      <c r="B800" s="1793"/>
      <c r="C800" s="1797"/>
      <c r="D800" s="1795">
        <v>200000</v>
      </c>
      <c r="E800" s="1799"/>
      <c r="F800" s="112">
        <v>200000</v>
      </c>
      <c r="G800" s="1797"/>
      <c r="H800">
        <v>24</v>
      </c>
      <c r="I800" t="s">
        <v>1303</v>
      </c>
    </row>
    <row r="801" spans="1:9" hidden="1">
      <c r="A801" s="1772" t="s">
        <v>3431</v>
      </c>
      <c r="B801" s="1793"/>
      <c r="C801" s="1797"/>
      <c r="D801" s="1795">
        <v>10200</v>
      </c>
      <c r="E801" s="1799"/>
      <c r="F801" s="112">
        <v>10200</v>
      </c>
      <c r="G801" s="1797"/>
      <c r="H801">
        <v>24</v>
      </c>
      <c r="I801" t="s">
        <v>71</v>
      </c>
    </row>
    <row r="802" spans="1:9" hidden="1">
      <c r="A802" s="1772" t="s">
        <v>1218</v>
      </c>
      <c r="B802" s="1793"/>
      <c r="C802" s="1797"/>
      <c r="D802" s="1795">
        <v>1234323.32</v>
      </c>
      <c r="E802" s="1796">
        <v>15875</v>
      </c>
      <c r="F802" s="112">
        <v>1218448.32</v>
      </c>
      <c r="G802" s="1797"/>
      <c r="H802">
        <v>24</v>
      </c>
      <c r="I802" t="s">
        <v>57</v>
      </c>
    </row>
    <row r="803" spans="1:9" hidden="1">
      <c r="A803" s="1772" t="s">
        <v>1220</v>
      </c>
      <c r="B803" s="1793"/>
      <c r="C803" s="1797"/>
      <c r="D803" s="1795">
        <v>2002</v>
      </c>
      <c r="E803" s="1799"/>
      <c r="F803" s="112">
        <v>2002</v>
      </c>
      <c r="G803" s="1797"/>
      <c r="H803">
        <v>24</v>
      </c>
      <c r="I803" t="s">
        <v>1172</v>
      </c>
    </row>
    <row r="804" spans="1:9" hidden="1">
      <c r="A804" s="1772" t="s">
        <v>1114</v>
      </c>
      <c r="B804" s="1793"/>
      <c r="C804" s="1797"/>
      <c r="D804" s="1795">
        <v>74000</v>
      </c>
      <c r="E804" s="1799"/>
      <c r="F804" s="112">
        <v>74000</v>
      </c>
      <c r="G804" s="1797"/>
      <c r="H804">
        <v>24</v>
      </c>
      <c r="I804" t="s">
        <v>3448</v>
      </c>
    </row>
    <row r="805" spans="1:9" hidden="1">
      <c r="A805" s="1772" t="s">
        <v>201</v>
      </c>
      <c r="B805" s="1793"/>
      <c r="C805" s="1797"/>
      <c r="D805" s="1795">
        <v>1280</v>
      </c>
      <c r="E805" s="1799"/>
      <c r="F805" s="112">
        <v>1280</v>
      </c>
      <c r="G805" s="1797"/>
      <c r="H805">
        <v>23</v>
      </c>
      <c r="I805" t="s">
        <v>55</v>
      </c>
    </row>
    <row r="806" spans="1:9" hidden="1">
      <c r="A806" s="1772" t="s">
        <v>1217</v>
      </c>
      <c r="B806" s="1793"/>
      <c r="C806" s="1797"/>
      <c r="D806" s="1795">
        <v>1171015.1200000001</v>
      </c>
      <c r="E806" s="1799"/>
      <c r="F806" s="112">
        <v>1171015.1200000001</v>
      </c>
      <c r="G806" s="1797"/>
      <c r="H806">
        <v>24</v>
      </c>
      <c r="I806" t="s">
        <v>251</v>
      </c>
    </row>
    <row r="807" spans="1:9" hidden="1">
      <c r="A807" s="1772" t="s">
        <v>202</v>
      </c>
      <c r="B807" s="1793"/>
      <c r="C807" s="1797"/>
      <c r="D807" s="1795">
        <v>42686</v>
      </c>
      <c r="E807" s="1799"/>
      <c r="F807" s="112">
        <v>42686</v>
      </c>
      <c r="G807" s="1797"/>
      <c r="H807">
        <v>24</v>
      </c>
      <c r="I807" t="s">
        <v>202</v>
      </c>
    </row>
    <row r="808" spans="1:9" hidden="1">
      <c r="A808" s="1772" t="s">
        <v>2636</v>
      </c>
      <c r="B808" s="1793"/>
      <c r="C808" s="1797"/>
      <c r="D808" s="1795">
        <v>50518</v>
      </c>
      <c r="E808" s="1799"/>
      <c r="F808" s="112">
        <v>50518</v>
      </c>
      <c r="G808" s="1797"/>
      <c r="H808">
        <v>24</v>
      </c>
      <c r="I808" t="s">
        <v>255</v>
      </c>
    </row>
    <row r="809" spans="1:9" hidden="1">
      <c r="A809" s="1772" t="s">
        <v>203</v>
      </c>
      <c r="B809" s="1793"/>
      <c r="C809" s="1797"/>
      <c r="D809" s="1795">
        <v>234149.09</v>
      </c>
      <c r="E809" s="1799"/>
      <c r="F809" s="112">
        <v>234149.09</v>
      </c>
      <c r="G809" s="1797"/>
      <c r="H809">
        <v>24</v>
      </c>
      <c r="I809" t="s">
        <v>255</v>
      </c>
    </row>
    <row r="810" spans="1:9" hidden="1">
      <c r="A810" s="1772" t="s">
        <v>1216</v>
      </c>
      <c r="B810" s="1793"/>
      <c r="C810" s="1797"/>
      <c r="D810" s="1795">
        <v>27745</v>
      </c>
      <c r="E810" s="1799"/>
      <c r="F810" s="112">
        <v>27745</v>
      </c>
      <c r="G810" s="1797"/>
      <c r="H810">
        <v>24</v>
      </c>
      <c r="I810" t="s">
        <v>248</v>
      </c>
    </row>
    <row r="811" spans="1:9" hidden="1">
      <c r="A811" s="1772" t="s">
        <v>213</v>
      </c>
      <c r="B811" s="1793"/>
      <c r="C811" s="1797"/>
      <c r="D811" s="1795">
        <v>512590</v>
      </c>
      <c r="E811" s="1799"/>
      <c r="F811" s="112">
        <v>512590</v>
      </c>
      <c r="G811" s="1797"/>
      <c r="H811">
        <v>24</v>
      </c>
      <c r="I811" t="s">
        <v>73</v>
      </c>
    </row>
    <row r="812" spans="1:9" hidden="1">
      <c r="A812" s="1772" t="s">
        <v>1215</v>
      </c>
      <c r="B812" s="1793"/>
      <c r="C812" s="1797"/>
      <c r="D812" s="1795">
        <v>605385.21</v>
      </c>
      <c r="E812" s="1799"/>
      <c r="F812" s="112">
        <v>605385.21</v>
      </c>
      <c r="G812" s="1797"/>
      <c r="H812">
        <v>24</v>
      </c>
      <c r="I812" t="s">
        <v>252</v>
      </c>
    </row>
    <row r="813" spans="1:9" hidden="1">
      <c r="A813" s="1772" t="s">
        <v>77</v>
      </c>
      <c r="B813" s="1793"/>
      <c r="C813" s="1797"/>
      <c r="D813" s="1795">
        <v>472765</v>
      </c>
      <c r="E813" s="1799"/>
      <c r="F813" s="112">
        <v>472765</v>
      </c>
      <c r="G813" s="1797"/>
      <c r="H813">
        <v>24</v>
      </c>
      <c r="I813" t="s">
        <v>253</v>
      </c>
    </row>
    <row r="814" spans="1:9" hidden="1">
      <c r="A814" s="1772" t="s">
        <v>1214</v>
      </c>
      <c r="B814" s="1793"/>
      <c r="C814" s="1797"/>
      <c r="D814" s="1795">
        <v>1687847</v>
      </c>
      <c r="E814" s="1799"/>
      <c r="F814" s="112">
        <v>1687847</v>
      </c>
      <c r="G814" s="1797"/>
      <c r="H814">
        <v>24</v>
      </c>
      <c r="I814" t="s">
        <v>71</v>
      </c>
    </row>
    <row r="815" spans="1:9" hidden="1">
      <c r="A815" s="1772" t="s">
        <v>1542</v>
      </c>
      <c r="B815" s="1793"/>
      <c r="C815" s="1797"/>
      <c r="D815" s="1795">
        <v>21565</v>
      </c>
      <c r="E815" s="1799"/>
      <c r="F815" s="112">
        <v>21565</v>
      </c>
      <c r="G815" s="1797"/>
      <c r="H815">
        <v>24</v>
      </c>
      <c r="I815" t="s">
        <v>3448</v>
      </c>
    </row>
    <row r="816" spans="1:9" hidden="1">
      <c r="A816" s="1812" t="s">
        <v>1213</v>
      </c>
      <c r="B816" s="1793"/>
      <c r="C816" s="1797"/>
      <c r="D816" s="1795">
        <v>2581049</v>
      </c>
      <c r="E816" s="1799"/>
      <c r="F816" s="112">
        <v>2581049</v>
      </c>
      <c r="G816" s="1797"/>
      <c r="H816">
        <v>24</v>
      </c>
      <c r="I816" t="s">
        <v>3445</v>
      </c>
    </row>
    <row r="817" spans="1:9" hidden="1">
      <c r="A817" s="1772" t="s">
        <v>1212</v>
      </c>
      <c r="B817" s="1793"/>
      <c r="C817" s="1797"/>
      <c r="D817" s="1795">
        <v>5366217</v>
      </c>
      <c r="E817" s="1799"/>
      <c r="F817" s="112">
        <v>5366217</v>
      </c>
      <c r="G817" s="1797"/>
      <c r="H817">
        <v>24</v>
      </c>
      <c r="I817" t="s">
        <v>247</v>
      </c>
    </row>
    <row r="818" spans="1:9" hidden="1">
      <c r="A818" s="1772" t="s">
        <v>204</v>
      </c>
      <c r="B818" s="1793"/>
      <c r="C818" s="1797"/>
      <c r="D818" s="1795">
        <v>40386140</v>
      </c>
      <c r="E818" s="1796">
        <v>1964067.02</v>
      </c>
      <c r="F818" s="112">
        <v>38422072.979999997</v>
      </c>
      <c r="G818" s="1797"/>
      <c r="H818">
        <v>23</v>
      </c>
      <c r="I818" t="s">
        <v>56</v>
      </c>
    </row>
    <row r="819" spans="1:9" hidden="1">
      <c r="A819" s="1772" t="s">
        <v>3432</v>
      </c>
      <c r="B819" s="1793"/>
      <c r="C819" s="1797"/>
      <c r="D819" s="1795">
        <v>150000</v>
      </c>
      <c r="E819" s="1799"/>
      <c r="F819" s="112">
        <v>150000</v>
      </c>
      <c r="G819" s="1797"/>
      <c r="H819">
        <v>24</v>
      </c>
      <c r="I819" t="s">
        <v>3445</v>
      </c>
    </row>
    <row r="820" spans="1:9" hidden="1">
      <c r="A820" s="1772" t="s">
        <v>1753</v>
      </c>
      <c r="B820" s="1793"/>
      <c r="C820" s="1797"/>
      <c r="D820" s="1795">
        <v>84958</v>
      </c>
      <c r="E820" s="1799"/>
      <c r="F820" s="112">
        <v>84958</v>
      </c>
      <c r="G820" s="1797"/>
      <c r="H820">
        <v>24</v>
      </c>
      <c r="I820" t="s">
        <v>1172</v>
      </c>
    </row>
    <row r="821" spans="1:9" hidden="1">
      <c r="A821" s="1772" t="s">
        <v>206</v>
      </c>
      <c r="B821" s="1793"/>
      <c r="C821" s="1797"/>
      <c r="D821" s="1795">
        <v>1800</v>
      </c>
      <c r="E821" s="1799"/>
      <c r="F821" s="112">
        <v>1800</v>
      </c>
      <c r="G821" s="1797"/>
      <c r="H821">
        <v>23</v>
      </c>
      <c r="I821" t="s">
        <v>55</v>
      </c>
    </row>
    <row r="822" spans="1:9" hidden="1">
      <c r="A822" s="1772" t="s">
        <v>207</v>
      </c>
      <c r="B822" s="1793"/>
      <c r="C822" s="1797"/>
      <c r="D822" s="1795">
        <v>2714712</v>
      </c>
      <c r="E822" s="1796">
        <v>3315</v>
      </c>
      <c r="F822" s="112">
        <v>2711397</v>
      </c>
      <c r="G822" s="1797"/>
      <c r="H822">
        <v>24</v>
      </c>
      <c r="I822" t="s">
        <v>251</v>
      </c>
    </row>
    <row r="823" spans="1:9" hidden="1">
      <c r="A823" s="1772" t="s">
        <v>208</v>
      </c>
      <c r="B823" s="1793"/>
      <c r="C823" s="1797"/>
      <c r="D823" s="1795">
        <v>2463757</v>
      </c>
      <c r="E823" s="1799"/>
      <c r="F823" s="112">
        <v>2463757</v>
      </c>
      <c r="G823" s="1797"/>
      <c r="H823">
        <v>24</v>
      </c>
      <c r="I823" t="s">
        <v>249</v>
      </c>
    </row>
    <row r="824" spans="1:9" hidden="1">
      <c r="A824" s="1767" t="s">
        <v>125</v>
      </c>
      <c r="B824" s="1811"/>
      <c r="C824" s="1779">
        <v>10642496.960000001</v>
      </c>
      <c r="D824" s="1780">
        <v>12165134.720000001</v>
      </c>
      <c r="E824" s="1781">
        <v>26785565</v>
      </c>
      <c r="F824" s="343"/>
      <c r="G824" s="1779">
        <v>25262927.239999998</v>
      </c>
    </row>
    <row r="825" spans="1:9" hidden="1">
      <c r="A825" s="1772" t="s">
        <v>126</v>
      </c>
      <c r="B825" s="1773"/>
      <c r="C825" s="1774">
        <v>30000</v>
      </c>
      <c r="D825" s="1775"/>
      <c r="E825" s="1776"/>
      <c r="F825" s="1777"/>
      <c r="G825" s="1774">
        <v>30000</v>
      </c>
      <c r="H825">
        <v>8</v>
      </c>
      <c r="I825" t="s">
        <v>128</v>
      </c>
    </row>
    <row r="826" spans="1:9" hidden="1">
      <c r="A826" s="1772" t="s">
        <v>127</v>
      </c>
      <c r="B826" s="1793"/>
      <c r="C826" s="1794">
        <v>230500</v>
      </c>
      <c r="D826" s="1805"/>
      <c r="E826" s="1799"/>
      <c r="F826" s="95"/>
      <c r="G826" s="1794">
        <v>230500</v>
      </c>
      <c r="H826">
        <v>8</v>
      </c>
      <c r="I826" t="s">
        <v>128</v>
      </c>
    </row>
    <row r="827" spans="1:9" hidden="1">
      <c r="A827" s="1772" t="s">
        <v>128</v>
      </c>
      <c r="B827" s="1793"/>
      <c r="C827" s="1794">
        <v>10261996.960000001</v>
      </c>
      <c r="D827" s="1795">
        <v>12165134.720000001</v>
      </c>
      <c r="E827" s="1796">
        <v>26785565</v>
      </c>
      <c r="F827" s="95"/>
      <c r="G827" s="1794">
        <v>24882427.239999998</v>
      </c>
      <c r="H827">
        <v>8</v>
      </c>
      <c r="I827" t="s">
        <v>128</v>
      </c>
    </row>
    <row r="828" spans="1:9" hidden="1">
      <c r="A828" s="1772" t="s">
        <v>129</v>
      </c>
      <c r="B828" s="1793"/>
      <c r="C828" s="1794">
        <v>120000</v>
      </c>
      <c r="D828" s="1805"/>
      <c r="E828" s="1799"/>
      <c r="F828" s="95"/>
      <c r="G828" s="1794">
        <v>120000</v>
      </c>
      <c r="H828">
        <v>8</v>
      </c>
      <c r="I828" t="s">
        <v>128</v>
      </c>
    </row>
    <row r="829" spans="1:9" hidden="1">
      <c r="A829" s="1821" t="s">
        <v>130</v>
      </c>
      <c r="B829" s="1839"/>
      <c r="C829" s="1840">
        <v>2889492.22</v>
      </c>
      <c r="D829" s="1824">
        <v>363483.2</v>
      </c>
      <c r="E829" s="1841"/>
      <c r="F829" s="1842"/>
      <c r="G829" s="1840">
        <v>2526009.02</v>
      </c>
    </row>
    <row r="830" spans="1:9" hidden="1">
      <c r="A830" s="1827" t="s">
        <v>130</v>
      </c>
      <c r="B830" s="1843"/>
      <c r="C830" s="1844">
        <v>2889492.22</v>
      </c>
      <c r="D830" s="1845">
        <v>363483.2</v>
      </c>
      <c r="E830" s="1831"/>
      <c r="F830" s="1846"/>
      <c r="G830" s="1844">
        <v>2526009.02</v>
      </c>
    </row>
    <row r="831" spans="1:9">
      <c r="A831" s="1821" t="s">
        <v>2932</v>
      </c>
      <c r="B831" s="1839"/>
      <c r="C831" s="1823"/>
      <c r="D831" s="1824">
        <v>3900665</v>
      </c>
      <c r="E831" s="1841"/>
      <c r="F831" s="1826">
        <v>3900665</v>
      </c>
      <c r="G831" s="1823"/>
    </row>
    <row r="832" spans="1:9">
      <c r="A832" s="1827" t="s">
        <v>2932</v>
      </c>
      <c r="B832" s="1843"/>
      <c r="C832" s="1829"/>
      <c r="D832" s="1845">
        <v>3900665</v>
      </c>
      <c r="E832" s="1831"/>
      <c r="F832" s="1832">
        <v>3900665</v>
      </c>
      <c r="G832" s="1829"/>
    </row>
    <row r="833" spans="1:10" hidden="1">
      <c r="A833" s="1767" t="s">
        <v>131</v>
      </c>
      <c r="B833" s="1811"/>
      <c r="C833" s="1779">
        <v>4472924</v>
      </c>
      <c r="D833" s="1780">
        <v>28655795</v>
      </c>
      <c r="E833" s="1781">
        <v>27224240</v>
      </c>
      <c r="F833" s="343"/>
      <c r="G833" s="1779">
        <v>3041369</v>
      </c>
    </row>
    <row r="834" spans="1:10" hidden="1">
      <c r="A834" s="1772" t="s">
        <v>1225</v>
      </c>
      <c r="B834" s="1773"/>
      <c r="C834" s="1774">
        <v>4431105</v>
      </c>
      <c r="D834" s="1802">
        <v>28233605</v>
      </c>
      <c r="E834" s="1803">
        <v>26802500</v>
      </c>
      <c r="F834" s="1777"/>
      <c r="G834" s="1774">
        <v>3000000</v>
      </c>
      <c r="H834">
        <v>6</v>
      </c>
      <c r="I834" t="s">
        <v>234</v>
      </c>
    </row>
    <row r="835" spans="1:10" hidden="1">
      <c r="A835" s="1772" t="s">
        <v>1224</v>
      </c>
      <c r="B835" s="1793"/>
      <c r="C835" s="1794">
        <v>41819</v>
      </c>
      <c r="D835" s="1795">
        <v>422190</v>
      </c>
      <c r="E835" s="1796">
        <v>421740</v>
      </c>
      <c r="F835" s="95"/>
      <c r="G835" s="1794">
        <v>41369</v>
      </c>
      <c r="H835">
        <v>6</v>
      </c>
      <c r="I835" t="s">
        <v>234</v>
      </c>
    </row>
    <row r="836" spans="1:10" hidden="1">
      <c r="A836" s="1767" t="s">
        <v>132</v>
      </c>
      <c r="B836" s="1778">
        <v>63133386</v>
      </c>
      <c r="C836" s="1806"/>
      <c r="D836" s="1780">
        <v>22137565</v>
      </c>
      <c r="E836" s="1781">
        <v>36934400</v>
      </c>
      <c r="F836" s="204">
        <v>48336551</v>
      </c>
      <c r="G836" s="1806"/>
    </row>
    <row r="837" spans="1:10" hidden="1">
      <c r="A837" s="1772" t="s">
        <v>133</v>
      </c>
      <c r="B837" s="1787">
        <v>63133386</v>
      </c>
      <c r="C837" s="1804"/>
      <c r="D837" s="1802">
        <v>22137565</v>
      </c>
      <c r="E837" s="1803">
        <v>36934400</v>
      </c>
      <c r="F837" s="1807">
        <v>48336551</v>
      </c>
      <c r="G837" s="1804"/>
      <c r="H837">
        <v>16</v>
      </c>
      <c r="I837" t="s">
        <v>539</v>
      </c>
    </row>
    <row r="838" spans="1:10" hidden="1">
      <c r="A838" s="1767" t="s">
        <v>1754</v>
      </c>
      <c r="B838" s="1778">
        <v>41631236</v>
      </c>
      <c r="C838" s="1779">
        <v>49562686.939999998</v>
      </c>
      <c r="D838" s="1780">
        <v>67586023.200000003</v>
      </c>
      <c r="E838" s="1781">
        <v>63713456.859999999</v>
      </c>
      <c r="F838" s="204">
        <v>60000911</v>
      </c>
      <c r="G838" s="1779">
        <v>64059795.600000001</v>
      </c>
      <c r="J838" s="223">
        <f>G838-F838</f>
        <v>4058884.6000000015</v>
      </c>
    </row>
    <row r="839" spans="1:10" hidden="1">
      <c r="A839" s="1772" t="s">
        <v>1755</v>
      </c>
      <c r="B839" s="1773"/>
      <c r="C839" s="1774">
        <v>3739725.88</v>
      </c>
      <c r="D839" s="1802">
        <v>2258511</v>
      </c>
      <c r="E839" s="1803">
        <v>2186512.62</v>
      </c>
      <c r="F839" s="1777"/>
      <c r="G839" s="1774">
        <v>3667727.5</v>
      </c>
      <c r="H839">
        <v>8</v>
      </c>
      <c r="I839" t="s">
        <v>3458</v>
      </c>
      <c r="J839" s="1760">
        <f>J838-Notes!J90</f>
        <v>6789283.3800000008</v>
      </c>
    </row>
    <row r="840" spans="1:10" hidden="1">
      <c r="A840" s="1772" t="s">
        <v>1756</v>
      </c>
      <c r="B840" s="1793"/>
      <c r="C840" s="1794">
        <v>1611463.88</v>
      </c>
      <c r="D840" s="1795">
        <v>2412600</v>
      </c>
      <c r="E840" s="1796">
        <v>2186512.62</v>
      </c>
      <c r="F840" s="95"/>
      <c r="G840" s="1794">
        <v>1385376.5</v>
      </c>
      <c r="H840">
        <v>8</v>
      </c>
      <c r="I840" t="s">
        <v>3458</v>
      </c>
    </row>
    <row r="841" spans="1:10" hidden="1">
      <c r="A841" s="1772" t="s">
        <v>1757</v>
      </c>
      <c r="B841" s="1793"/>
      <c r="C841" s="1794">
        <v>345891.13</v>
      </c>
      <c r="D841" s="1795">
        <v>1261226</v>
      </c>
      <c r="E841" s="1796">
        <v>1115300.5900000001</v>
      </c>
      <c r="F841" s="95"/>
      <c r="G841" s="1794">
        <v>199965.72</v>
      </c>
      <c r="H841">
        <v>8</v>
      </c>
      <c r="I841" t="s">
        <v>3458</v>
      </c>
    </row>
    <row r="842" spans="1:10" hidden="1">
      <c r="A842" s="1772" t="s">
        <v>1758</v>
      </c>
      <c r="B842" s="1793"/>
      <c r="C842" s="1794">
        <v>262664.13</v>
      </c>
      <c r="D842" s="1795">
        <v>1276321</v>
      </c>
      <c r="E842" s="1796">
        <v>1115300.5900000001</v>
      </c>
      <c r="F842" s="95"/>
      <c r="G842" s="1794">
        <v>101643.72</v>
      </c>
      <c r="H842">
        <v>8</v>
      </c>
      <c r="I842" t="s">
        <v>3458</v>
      </c>
    </row>
    <row r="843" spans="1:10" hidden="1">
      <c r="A843" s="1812" t="s">
        <v>1754</v>
      </c>
      <c r="B843" s="1798">
        <v>41631236</v>
      </c>
      <c r="C843" s="1797"/>
      <c r="D843" s="1795">
        <v>18369675</v>
      </c>
      <c r="E843" s="1799"/>
      <c r="F843" s="112">
        <v>60000911</v>
      </c>
      <c r="G843" s="1797"/>
      <c r="H843">
        <v>8</v>
      </c>
      <c r="I843" t="s">
        <v>3458</v>
      </c>
    </row>
    <row r="844" spans="1:10" hidden="1">
      <c r="A844" s="1772" t="s">
        <v>1759</v>
      </c>
      <c r="B844" s="1793"/>
      <c r="C844" s="1794">
        <v>4764980.45</v>
      </c>
      <c r="D844" s="1795">
        <v>2532943</v>
      </c>
      <c r="E844" s="1796">
        <v>3020627.97</v>
      </c>
      <c r="F844" s="95"/>
      <c r="G844" s="1794">
        <v>5252665.42</v>
      </c>
      <c r="H844">
        <v>8</v>
      </c>
      <c r="I844" t="s">
        <v>3458</v>
      </c>
    </row>
    <row r="845" spans="1:10" hidden="1">
      <c r="A845" s="1772" t="s">
        <v>1760</v>
      </c>
      <c r="B845" s="1793"/>
      <c r="C845" s="1794">
        <v>4517586.7699999996</v>
      </c>
      <c r="D845" s="1795">
        <v>2542669</v>
      </c>
      <c r="E845" s="1796">
        <v>3020627.97</v>
      </c>
      <c r="F845" s="95"/>
      <c r="G845" s="1794">
        <v>4995545.74</v>
      </c>
      <c r="H845">
        <v>8</v>
      </c>
      <c r="I845" t="s">
        <v>3458</v>
      </c>
    </row>
    <row r="846" spans="1:10" hidden="1">
      <c r="A846" s="1772" t="s">
        <v>2728</v>
      </c>
      <c r="B846" s="1793"/>
      <c r="C846" s="1797"/>
      <c r="D846" s="1795">
        <v>2251651.86</v>
      </c>
      <c r="E846" s="1796">
        <v>4113855.09</v>
      </c>
      <c r="F846" s="95"/>
      <c r="G846" s="1794">
        <v>1862203.23</v>
      </c>
      <c r="H846">
        <v>8</v>
      </c>
      <c r="I846" t="s">
        <v>3458</v>
      </c>
    </row>
    <row r="847" spans="1:10" hidden="1">
      <c r="A847" s="1772" t="s">
        <v>2729</v>
      </c>
      <c r="B847" s="1793"/>
      <c r="C847" s="1797"/>
      <c r="D847" s="1795">
        <v>1257821.8400000001</v>
      </c>
      <c r="E847" s="1796">
        <v>4113855.09</v>
      </c>
      <c r="F847" s="95"/>
      <c r="G847" s="1794">
        <v>2856033.25</v>
      </c>
      <c r="H847">
        <v>8</v>
      </c>
      <c r="I847" t="s">
        <v>3458</v>
      </c>
    </row>
    <row r="848" spans="1:10" hidden="1">
      <c r="A848" s="1772" t="s">
        <v>1761</v>
      </c>
      <c r="B848" s="1793"/>
      <c r="C848" s="1794">
        <v>1591245.42</v>
      </c>
      <c r="D848" s="1795">
        <v>3714186</v>
      </c>
      <c r="E848" s="1796">
        <v>4473337.49</v>
      </c>
      <c r="F848" s="95"/>
      <c r="G848" s="1794">
        <v>2350396.91</v>
      </c>
      <c r="H848">
        <v>8</v>
      </c>
      <c r="I848" t="s">
        <v>3458</v>
      </c>
    </row>
    <row r="849" spans="1:9" hidden="1">
      <c r="A849" s="1772" t="s">
        <v>1762</v>
      </c>
      <c r="B849" s="1793"/>
      <c r="C849" s="1794">
        <v>1725807.42</v>
      </c>
      <c r="D849" s="1795">
        <v>4424604</v>
      </c>
      <c r="E849" s="1796">
        <v>4473337.49</v>
      </c>
      <c r="F849" s="95"/>
      <c r="G849" s="1794">
        <v>1774540.91</v>
      </c>
      <c r="H849">
        <v>8</v>
      </c>
      <c r="I849" t="s">
        <v>3458</v>
      </c>
    </row>
    <row r="850" spans="1:9" hidden="1">
      <c r="A850" s="1772" t="s">
        <v>1763</v>
      </c>
      <c r="B850" s="1793"/>
      <c r="C850" s="1794">
        <v>1064151.2</v>
      </c>
      <c r="D850" s="1795">
        <v>865760</v>
      </c>
      <c r="E850" s="1796">
        <v>973848.95</v>
      </c>
      <c r="F850" s="95"/>
      <c r="G850" s="1794">
        <v>1172240.1499999999</v>
      </c>
      <c r="H850">
        <v>8</v>
      </c>
      <c r="I850" t="s">
        <v>3458</v>
      </c>
    </row>
    <row r="851" spans="1:9" hidden="1">
      <c r="A851" s="1772" t="s">
        <v>1764</v>
      </c>
      <c r="B851" s="1793"/>
      <c r="C851" s="1794">
        <v>984291.2</v>
      </c>
      <c r="D851" s="1795">
        <v>1063146</v>
      </c>
      <c r="E851" s="1796">
        <v>973848.95</v>
      </c>
      <c r="F851" s="95"/>
      <c r="G851" s="1794">
        <v>894994.15</v>
      </c>
      <c r="H851">
        <v>8</v>
      </c>
      <c r="I851" t="s">
        <v>3458</v>
      </c>
    </row>
    <row r="852" spans="1:9" hidden="1">
      <c r="A852" s="1772" t="s">
        <v>1765</v>
      </c>
      <c r="B852" s="1793"/>
      <c r="C852" s="1794">
        <v>279269.46999999997</v>
      </c>
      <c r="D852" s="1795">
        <v>105950.25</v>
      </c>
      <c r="E852" s="1796">
        <v>102129.75</v>
      </c>
      <c r="F852" s="95"/>
      <c r="G852" s="1794">
        <v>275448.96999999997</v>
      </c>
      <c r="H852">
        <v>8</v>
      </c>
      <c r="I852" t="s">
        <v>3458</v>
      </c>
    </row>
    <row r="853" spans="1:9" hidden="1">
      <c r="A853" s="1772" t="s">
        <v>1766</v>
      </c>
      <c r="B853" s="1793"/>
      <c r="C853" s="1794">
        <v>165466.47</v>
      </c>
      <c r="D853" s="1795">
        <v>97310.25</v>
      </c>
      <c r="E853" s="1796">
        <v>102129.75</v>
      </c>
      <c r="F853" s="95"/>
      <c r="G853" s="1794">
        <v>170285.97</v>
      </c>
      <c r="H853">
        <v>8</v>
      </c>
      <c r="I853" t="s">
        <v>3458</v>
      </c>
    </row>
    <row r="854" spans="1:9" hidden="1">
      <c r="A854" s="1772" t="s">
        <v>1767</v>
      </c>
      <c r="B854" s="1793"/>
      <c r="C854" s="1794">
        <v>901207.22</v>
      </c>
      <c r="D854" s="1795">
        <v>2011639</v>
      </c>
      <c r="E854" s="1796">
        <v>2434266.63</v>
      </c>
      <c r="F854" s="95"/>
      <c r="G854" s="1794">
        <v>1323834.8500000001</v>
      </c>
      <c r="H854">
        <v>8</v>
      </c>
      <c r="I854" t="s">
        <v>3458</v>
      </c>
    </row>
    <row r="855" spans="1:9" hidden="1">
      <c r="A855" s="1772" t="s">
        <v>1768</v>
      </c>
      <c r="B855" s="1793"/>
      <c r="C855" s="1794">
        <v>650572.22</v>
      </c>
      <c r="D855" s="1795">
        <v>2134425</v>
      </c>
      <c r="E855" s="1796">
        <v>2434266.63</v>
      </c>
      <c r="F855" s="95"/>
      <c r="G855" s="1794">
        <v>950413.85</v>
      </c>
      <c r="H855">
        <v>8</v>
      </c>
      <c r="I855" t="s">
        <v>3458</v>
      </c>
    </row>
    <row r="856" spans="1:9" hidden="1">
      <c r="A856" s="1772" t="s">
        <v>2638</v>
      </c>
      <c r="B856" s="1793"/>
      <c r="C856" s="1794">
        <v>372817.42</v>
      </c>
      <c r="D856" s="1795">
        <v>670976</v>
      </c>
      <c r="E856" s="1796">
        <v>1814923.53</v>
      </c>
      <c r="F856" s="95"/>
      <c r="G856" s="1794">
        <v>1516764.95</v>
      </c>
      <c r="H856">
        <v>8</v>
      </c>
      <c r="I856" t="s">
        <v>3458</v>
      </c>
    </row>
    <row r="857" spans="1:9" hidden="1">
      <c r="A857" s="1772" t="s">
        <v>2639</v>
      </c>
      <c r="B857" s="1793"/>
      <c r="C857" s="1794">
        <v>519470.42</v>
      </c>
      <c r="D857" s="1795">
        <v>699975</v>
      </c>
      <c r="E857" s="1796">
        <v>1814923.53</v>
      </c>
      <c r="F857" s="95"/>
      <c r="G857" s="1794">
        <v>1634418.95</v>
      </c>
      <c r="H857">
        <v>8</v>
      </c>
      <c r="I857" t="s">
        <v>3458</v>
      </c>
    </row>
    <row r="858" spans="1:9" hidden="1">
      <c r="A858" s="1772" t="s">
        <v>1769</v>
      </c>
      <c r="B858" s="1793"/>
      <c r="C858" s="1794">
        <v>307632.08</v>
      </c>
      <c r="D858" s="1795">
        <v>2334718</v>
      </c>
      <c r="E858" s="1796">
        <v>3112850.04</v>
      </c>
      <c r="F858" s="95"/>
      <c r="G858" s="1794">
        <v>1085764.1200000001</v>
      </c>
      <c r="H858">
        <v>8</v>
      </c>
      <c r="I858" t="s">
        <v>3458</v>
      </c>
    </row>
    <row r="859" spans="1:9" hidden="1">
      <c r="A859" s="1772" t="s">
        <v>1770</v>
      </c>
      <c r="B859" s="1793"/>
      <c r="C859" s="1794">
        <v>262850.08</v>
      </c>
      <c r="D859" s="1795">
        <v>2320257</v>
      </c>
      <c r="E859" s="1796">
        <v>3112850.04</v>
      </c>
      <c r="F859" s="95"/>
      <c r="G859" s="1794">
        <v>1055443.1200000001</v>
      </c>
      <c r="H859">
        <v>8</v>
      </c>
      <c r="I859" t="s">
        <v>3458</v>
      </c>
    </row>
    <row r="860" spans="1:9" hidden="1">
      <c r="A860" s="1772" t="s">
        <v>1771</v>
      </c>
      <c r="B860" s="1793"/>
      <c r="C860" s="1794">
        <v>3446592.84</v>
      </c>
      <c r="D860" s="1795">
        <v>1280989</v>
      </c>
      <c r="E860" s="1796">
        <v>2331617.5</v>
      </c>
      <c r="F860" s="95"/>
      <c r="G860" s="1794">
        <v>4497221.34</v>
      </c>
      <c r="H860">
        <v>8</v>
      </c>
      <c r="I860" t="s">
        <v>3458</v>
      </c>
    </row>
    <row r="861" spans="1:9" hidden="1">
      <c r="A861" s="1772" t="s">
        <v>1772</v>
      </c>
      <c r="B861" s="1793"/>
      <c r="C861" s="1794">
        <v>3232180.84</v>
      </c>
      <c r="D861" s="1795">
        <v>1488481</v>
      </c>
      <c r="E861" s="1796">
        <v>2331617.5</v>
      </c>
      <c r="F861" s="95"/>
      <c r="G861" s="1794">
        <v>4075317.34</v>
      </c>
      <c r="H861">
        <v>8</v>
      </c>
      <c r="I861" t="s">
        <v>3458</v>
      </c>
    </row>
    <row r="862" spans="1:9" hidden="1">
      <c r="A862" s="1772" t="s">
        <v>1773</v>
      </c>
      <c r="B862" s="1793"/>
      <c r="C862" s="1794">
        <v>8818306.1799999997</v>
      </c>
      <c r="D862" s="1795">
        <v>2380546.5</v>
      </c>
      <c r="E862" s="1796">
        <v>3282442.69</v>
      </c>
      <c r="F862" s="95"/>
      <c r="G862" s="1794">
        <v>9720202.3699999992</v>
      </c>
      <c r="H862">
        <v>8</v>
      </c>
      <c r="I862" t="s">
        <v>3458</v>
      </c>
    </row>
    <row r="863" spans="1:9" hidden="1">
      <c r="A863" s="1772" t="s">
        <v>1774</v>
      </c>
      <c r="B863" s="1793"/>
      <c r="C863" s="1794">
        <v>9556111.9399999995</v>
      </c>
      <c r="D863" s="1795">
        <v>2893149.5</v>
      </c>
      <c r="E863" s="1796">
        <v>3282442.69</v>
      </c>
      <c r="F863" s="95"/>
      <c r="G863" s="1794">
        <v>9945405.1300000008</v>
      </c>
      <c r="H863">
        <v>8</v>
      </c>
      <c r="I863" t="s">
        <v>3458</v>
      </c>
    </row>
    <row r="864" spans="1:9" hidden="1">
      <c r="A864" s="1772" t="s">
        <v>1775</v>
      </c>
      <c r="B864" s="1793"/>
      <c r="C864" s="1794">
        <v>257645.64</v>
      </c>
      <c r="D864" s="1795">
        <v>1814658</v>
      </c>
      <c r="E864" s="1796">
        <v>2271315.58</v>
      </c>
      <c r="F864" s="95"/>
      <c r="G864" s="1794">
        <v>714303.22</v>
      </c>
      <c r="H864">
        <v>8</v>
      </c>
      <c r="I864" t="s">
        <v>3458</v>
      </c>
    </row>
    <row r="865" spans="1:9" hidden="1">
      <c r="A865" s="1772" t="s">
        <v>1776</v>
      </c>
      <c r="B865" s="1793"/>
      <c r="C865" s="1794">
        <v>184756.64</v>
      </c>
      <c r="D865" s="1795">
        <v>1964203</v>
      </c>
      <c r="E865" s="1796">
        <v>2271315.58</v>
      </c>
      <c r="F865" s="95"/>
      <c r="G865" s="1794">
        <v>491869.22</v>
      </c>
      <c r="H865">
        <v>8</v>
      </c>
      <c r="I865" t="s">
        <v>3458</v>
      </c>
    </row>
    <row r="866" spans="1:9" hidden="1">
      <c r="A866" s="1772" t="s">
        <v>2737</v>
      </c>
      <c r="B866" s="1793"/>
      <c r="C866" s="1797"/>
      <c r="D866" s="1795">
        <v>276199</v>
      </c>
      <c r="E866" s="1796">
        <v>307800</v>
      </c>
      <c r="F866" s="95"/>
      <c r="G866" s="1794">
        <v>31601</v>
      </c>
      <c r="H866">
        <v>8</v>
      </c>
      <c r="I866" t="s">
        <v>3458</v>
      </c>
    </row>
    <row r="867" spans="1:9" hidden="1">
      <c r="A867" s="1772" t="s">
        <v>2739</v>
      </c>
      <c r="B867" s="1793"/>
      <c r="C867" s="1797"/>
      <c r="D867" s="1795">
        <v>275929</v>
      </c>
      <c r="E867" s="1796">
        <v>307800</v>
      </c>
      <c r="F867" s="95"/>
      <c r="G867" s="1794">
        <v>31871</v>
      </c>
      <c r="H867">
        <v>8</v>
      </c>
      <c r="I867" t="s">
        <v>3458</v>
      </c>
    </row>
    <row r="868" spans="1:9" hidden="1">
      <c r="A868" s="1772" t="s">
        <v>2741</v>
      </c>
      <c r="B868" s="1793"/>
      <c r="C868" s="1797"/>
      <c r="D868" s="1795">
        <v>294936</v>
      </c>
      <c r="E868" s="1796">
        <v>315900</v>
      </c>
      <c r="F868" s="95"/>
      <c r="G868" s="1794">
        <v>20964</v>
      </c>
      <c r="H868">
        <v>8</v>
      </c>
      <c r="I868" t="s">
        <v>3458</v>
      </c>
    </row>
    <row r="869" spans="1:9" hidden="1">
      <c r="A869" s="1772" t="s">
        <v>2742</v>
      </c>
      <c r="B869" s="1793"/>
      <c r="C869" s="1797"/>
      <c r="D869" s="1795">
        <v>310567</v>
      </c>
      <c r="E869" s="1796">
        <v>315900</v>
      </c>
      <c r="F869" s="95"/>
      <c r="G869" s="1794">
        <v>5333</v>
      </c>
      <c r="H869">
        <v>8</v>
      </c>
      <c r="I869" t="s">
        <v>3458</v>
      </c>
    </row>
    <row r="870" spans="1:9" hidden="1">
      <c r="A870" s="1767" t="s">
        <v>137</v>
      </c>
      <c r="B870" s="1778">
        <v>73452157.170000002</v>
      </c>
      <c r="C870" s="1806"/>
      <c r="D870" s="1780">
        <v>35721740.229999997</v>
      </c>
      <c r="E870" s="1781">
        <v>22638708</v>
      </c>
      <c r="F870" s="204">
        <v>86535189.400000006</v>
      </c>
      <c r="G870" s="1806"/>
    </row>
    <row r="871" spans="1:9" hidden="1">
      <c r="A871" s="1782" t="s">
        <v>29</v>
      </c>
      <c r="B871" s="1784">
        <v>57582213.609999999</v>
      </c>
      <c r="C871" s="242"/>
      <c r="D871" s="1784">
        <v>20879869.039999999</v>
      </c>
      <c r="E871" s="1785">
        <v>9673279</v>
      </c>
      <c r="F871" s="107">
        <v>68788803.650000006</v>
      </c>
      <c r="G871" s="242"/>
    </row>
    <row r="872" spans="1:9" hidden="1">
      <c r="A872" s="1772" t="s">
        <v>906</v>
      </c>
      <c r="B872" s="1802">
        <v>57582213.609999999</v>
      </c>
      <c r="C872" s="1776"/>
      <c r="D872" s="1787">
        <v>20879869.039999999</v>
      </c>
      <c r="E872" s="1774">
        <v>9673279</v>
      </c>
      <c r="F872" s="1808">
        <v>68788803.650000006</v>
      </c>
      <c r="G872" s="1776"/>
      <c r="H872">
        <v>13</v>
      </c>
      <c r="I872" t="s">
        <v>243</v>
      </c>
    </row>
    <row r="873" spans="1:9" hidden="1">
      <c r="A873" s="1782" t="s">
        <v>138</v>
      </c>
      <c r="B873" s="1788">
        <v>6877338.21</v>
      </c>
      <c r="C873" s="240"/>
      <c r="D873" s="1788">
        <v>7752161.1900000004</v>
      </c>
      <c r="E873" s="233">
        <v>4508027</v>
      </c>
      <c r="F873" s="93">
        <v>10121472.4</v>
      </c>
      <c r="G873" s="240"/>
    </row>
    <row r="874" spans="1:9" hidden="1">
      <c r="A874" s="1772" t="s">
        <v>921</v>
      </c>
      <c r="B874" s="1802">
        <v>6877338.21</v>
      </c>
      <c r="C874" s="1776"/>
      <c r="D874" s="1787">
        <v>7752161.1900000004</v>
      </c>
      <c r="E874" s="1774">
        <v>4508027</v>
      </c>
      <c r="F874" s="1808">
        <v>10121472.4</v>
      </c>
      <c r="G874" s="1776"/>
      <c r="H874">
        <v>17</v>
      </c>
      <c r="I874" t="s">
        <v>1878</v>
      </c>
    </row>
    <row r="875" spans="1:9" hidden="1">
      <c r="A875" s="1772" t="s">
        <v>139</v>
      </c>
      <c r="B875" s="1798">
        <v>4654000</v>
      </c>
      <c r="C875" s="1797"/>
      <c r="D875" s="1795">
        <v>3616000</v>
      </c>
      <c r="E875" s="1796">
        <v>4654000</v>
      </c>
      <c r="F875" s="112">
        <v>3616000</v>
      </c>
      <c r="G875" s="1797"/>
      <c r="H875">
        <v>17</v>
      </c>
      <c r="I875" t="s">
        <v>230</v>
      </c>
    </row>
    <row r="876" spans="1:9" hidden="1">
      <c r="A876" s="1772" t="s">
        <v>140</v>
      </c>
      <c r="B876" s="1798">
        <v>40000</v>
      </c>
      <c r="C876" s="1797"/>
      <c r="D876" s="1805"/>
      <c r="E876" s="1799"/>
      <c r="F876" s="112">
        <v>40000</v>
      </c>
      <c r="G876" s="1797"/>
      <c r="H876">
        <v>13</v>
      </c>
      <c r="I876" t="s">
        <v>243</v>
      </c>
    </row>
    <row r="877" spans="1:9" hidden="1">
      <c r="A877" s="1772" t="s">
        <v>923</v>
      </c>
      <c r="B877" s="1798">
        <v>48000</v>
      </c>
      <c r="C877" s="1797"/>
      <c r="D877" s="1805"/>
      <c r="E877" s="1799"/>
      <c r="F877" s="112">
        <v>48000</v>
      </c>
      <c r="G877" s="1797"/>
      <c r="H877">
        <v>13</v>
      </c>
      <c r="I877" t="s">
        <v>243</v>
      </c>
    </row>
    <row r="878" spans="1:9" hidden="1">
      <c r="A878" s="1772" t="s">
        <v>141</v>
      </c>
      <c r="B878" s="1798">
        <v>1410700</v>
      </c>
      <c r="C878" s="1797"/>
      <c r="D878" s="1795">
        <v>1025000</v>
      </c>
      <c r="E878" s="1796">
        <v>550000</v>
      </c>
      <c r="F878" s="112">
        <v>1885700</v>
      </c>
      <c r="G878" s="1797"/>
      <c r="H878">
        <v>13</v>
      </c>
      <c r="I878" t="s">
        <v>243</v>
      </c>
    </row>
    <row r="879" spans="1:9" hidden="1">
      <c r="A879" s="1772" t="s">
        <v>142</v>
      </c>
      <c r="B879" s="1798">
        <v>9530</v>
      </c>
      <c r="C879" s="1797"/>
      <c r="D879" s="1805"/>
      <c r="E879" s="1799"/>
      <c r="F879" s="112">
        <v>9530</v>
      </c>
      <c r="G879" s="1797"/>
      <c r="H879">
        <v>13</v>
      </c>
      <c r="I879" t="s">
        <v>243</v>
      </c>
    </row>
    <row r="880" spans="1:9" hidden="1">
      <c r="A880" s="1772" t="s">
        <v>143</v>
      </c>
      <c r="B880" s="1798">
        <v>1073566</v>
      </c>
      <c r="C880" s="1797"/>
      <c r="D880" s="1795">
        <v>212400</v>
      </c>
      <c r="E880" s="1796">
        <v>519222</v>
      </c>
      <c r="F880" s="112">
        <v>766744</v>
      </c>
      <c r="G880" s="1797"/>
      <c r="H880">
        <v>13</v>
      </c>
      <c r="I880" t="s">
        <v>243</v>
      </c>
    </row>
    <row r="881" spans="1:12" hidden="1">
      <c r="A881" s="1772" t="s">
        <v>144</v>
      </c>
      <c r="B881" s="1798">
        <v>5500</v>
      </c>
      <c r="C881" s="1797"/>
      <c r="D881" s="1805"/>
      <c r="E881" s="1799"/>
      <c r="F881" s="112">
        <v>5500</v>
      </c>
      <c r="G881" s="1797"/>
      <c r="H881">
        <v>13</v>
      </c>
      <c r="I881" t="s">
        <v>243</v>
      </c>
    </row>
    <row r="882" spans="1:12" hidden="1">
      <c r="A882" s="1772" t="s">
        <v>145</v>
      </c>
      <c r="B882" s="1798">
        <v>315113</v>
      </c>
      <c r="C882" s="1797"/>
      <c r="D882" s="1805"/>
      <c r="E882" s="1796">
        <v>18900</v>
      </c>
      <c r="F882" s="112">
        <v>296213</v>
      </c>
      <c r="G882" s="1797"/>
      <c r="H882">
        <v>13</v>
      </c>
      <c r="I882" t="s">
        <v>243</v>
      </c>
    </row>
    <row r="883" spans="1:12" hidden="1">
      <c r="A883" s="1772" t="s">
        <v>146</v>
      </c>
      <c r="B883" s="1798">
        <v>13150</v>
      </c>
      <c r="C883" s="1797"/>
      <c r="D883" s="1805"/>
      <c r="E883" s="1799"/>
      <c r="F883" s="112">
        <v>13150</v>
      </c>
      <c r="G883" s="1797"/>
      <c r="H883">
        <v>13</v>
      </c>
      <c r="I883" t="s">
        <v>243</v>
      </c>
    </row>
    <row r="884" spans="1:12" hidden="1">
      <c r="A884" s="1772" t="s">
        <v>147</v>
      </c>
      <c r="B884" s="1798">
        <v>676487</v>
      </c>
      <c r="C884" s="1797"/>
      <c r="D884" s="1795">
        <v>437500</v>
      </c>
      <c r="E884" s="1796">
        <v>460400</v>
      </c>
      <c r="F884" s="112">
        <v>653587</v>
      </c>
      <c r="G884" s="1797"/>
      <c r="H884">
        <v>13</v>
      </c>
      <c r="I884" t="s">
        <v>243</v>
      </c>
    </row>
    <row r="885" spans="1:12" hidden="1">
      <c r="A885" s="1772" t="s">
        <v>148</v>
      </c>
      <c r="B885" s="1798">
        <v>258600.35</v>
      </c>
      <c r="C885" s="1797"/>
      <c r="D885" s="1805"/>
      <c r="E885" s="1799"/>
      <c r="F885" s="112">
        <v>258600.35</v>
      </c>
      <c r="G885" s="1797"/>
      <c r="H885">
        <v>13</v>
      </c>
      <c r="I885" t="s">
        <v>243</v>
      </c>
    </row>
    <row r="886" spans="1:12" hidden="1">
      <c r="A886" s="1772" t="s">
        <v>149</v>
      </c>
      <c r="B886" s="1798">
        <v>459377</v>
      </c>
      <c r="C886" s="1797"/>
      <c r="D886" s="1795">
        <v>1798810</v>
      </c>
      <c r="E886" s="1796">
        <v>2254880</v>
      </c>
      <c r="F886" s="112">
        <v>3307</v>
      </c>
      <c r="G886" s="1797"/>
      <c r="H886">
        <v>17</v>
      </c>
      <c r="I886" t="s">
        <v>541</v>
      </c>
    </row>
    <row r="887" spans="1:12" hidden="1">
      <c r="A887" s="1772" t="s">
        <v>150</v>
      </c>
      <c r="B887" s="1798">
        <v>28582</v>
      </c>
      <c r="C887" s="1797"/>
      <c r="D887" s="1805"/>
      <c r="E887" s="1799"/>
      <c r="F887" s="112">
        <v>28582</v>
      </c>
      <c r="G887" s="1797"/>
      <c r="H887">
        <v>13</v>
      </c>
      <c r="I887" t="s">
        <v>243</v>
      </c>
    </row>
    <row r="888" spans="1:12">
      <c r="A888" s="1767" t="s">
        <v>3433</v>
      </c>
      <c r="B888" s="1811"/>
      <c r="C888" s="1806"/>
      <c r="D888" s="1814"/>
      <c r="E888" s="1781">
        <v>3535276.72</v>
      </c>
      <c r="F888" s="343"/>
      <c r="G888" s="1779">
        <v>3535276.72</v>
      </c>
    </row>
    <row r="889" spans="1:12">
      <c r="A889" s="1772" t="s">
        <v>3434</v>
      </c>
      <c r="B889" s="1773"/>
      <c r="C889" s="1804"/>
      <c r="D889" s="1775"/>
      <c r="E889" s="1803">
        <v>3535276.72</v>
      </c>
      <c r="F889" s="1777"/>
      <c r="G889" s="1774">
        <v>3535276.72</v>
      </c>
      <c r="H889">
        <v>20</v>
      </c>
      <c r="I889" t="s">
        <v>46</v>
      </c>
    </row>
    <row r="890" spans="1:12">
      <c r="A890" s="1767" t="s">
        <v>3435</v>
      </c>
      <c r="B890" s="1811"/>
      <c r="C890" s="1806"/>
      <c r="D890" s="1780">
        <v>443401</v>
      </c>
      <c r="E890" s="1810"/>
      <c r="F890" s="204">
        <v>443401</v>
      </c>
      <c r="G890" s="1806"/>
    </row>
    <row r="891" spans="1:12">
      <c r="A891" s="1772" t="s">
        <v>3436</v>
      </c>
      <c r="B891" s="1773"/>
      <c r="C891" s="1804"/>
      <c r="D891" s="1802">
        <v>443401</v>
      </c>
      <c r="E891" s="1776"/>
      <c r="F891" s="1807">
        <v>443401</v>
      </c>
      <c r="G891" s="1804"/>
      <c r="H891">
        <v>24</v>
      </c>
      <c r="I891" t="s">
        <v>1639</v>
      </c>
    </row>
    <row r="892" spans="1:12" hidden="1">
      <c r="A892" s="1767" t="s">
        <v>151</v>
      </c>
      <c r="B892" s="1778">
        <v>127381694</v>
      </c>
      <c r="C892" s="1779">
        <v>397613852.06</v>
      </c>
      <c r="D892" s="1780">
        <v>7147460</v>
      </c>
      <c r="E892" s="1810"/>
      <c r="F892" s="204">
        <v>134529154</v>
      </c>
      <c r="G892" s="1779">
        <v>397613852.06</v>
      </c>
    </row>
    <row r="893" spans="1:12" hidden="1">
      <c r="A893" s="1827" t="s">
        <v>152</v>
      </c>
      <c r="B893" s="1828">
        <v>108998765</v>
      </c>
      <c r="C893" s="1829"/>
      <c r="D893" s="1845">
        <v>7147460</v>
      </c>
      <c r="E893" s="1831"/>
      <c r="F893" s="1832">
        <v>116146225</v>
      </c>
      <c r="G893" s="1829"/>
    </row>
    <row r="894" spans="1:12" hidden="1">
      <c r="A894" s="1827" t="s">
        <v>153</v>
      </c>
      <c r="B894" s="1837">
        <v>18382929</v>
      </c>
      <c r="C894" s="1834"/>
      <c r="D894" s="1847"/>
      <c r="E894" s="1836"/>
      <c r="F894" s="124">
        <v>18382929</v>
      </c>
      <c r="G894" s="1834"/>
    </row>
    <row r="895" spans="1:12" hidden="1">
      <c r="A895" s="1827" t="s">
        <v>154</v>
      </c>
      <c r="B895" s="1833"/>
      <c r="C895" s="1848">
        <v>55153377.420000002</v>
      </c>
      <c r="D895" s="1847"/>
      <c r="E895" s="1836"/>
      <c r="F895" s="1849"/>
      <c r="G895" s="1848">
        <v>55153377.420000002</v>
      </c>
      <c r="J895" s="1850"/>
    </row>
    <row r="896" spans="1:12" hidden="1">
      <c r="A896" s="1827" t="s">
        <v>155</v>
      </c>
      <c r="B896" s="1833"/>
      <c r="C896" s="1848">
        <v>342460474.63999999</v>
      </c>
      <c r="D896" s="1847"/>
      <c r="E896" s="1836"/>
      <c r="F896" s="1849"/>
      <c r="G896" s="1848">
        <v>342460474.63999999</v>
      </c>
      <c r="I896" s="100"/>
      <c r="K896" s="100"/>
      <c r="L896" s="1850"/>
    </row>
    <row r="897" spans="1:9" hidden="1">
      <c r="A897" s="1767" t="s">
        <v>158</v>
      </c>
      <c r="B897" s="1811"/>
      <c r="C897" s="1806"/>
      <c r="D897" s="1780">
        <v>30000000</v>
      </c>
      <c r="E897" s="1781">
        <v>17500000</v>
      </c>
      <c r="F897" s="204">
        <v>12500000</v>
      </c>
      <c r="G897" s="1806"/>
    </row>
    <row r="898" spans="1:9" hidden="1">
      <c r="A898" s="1812" t="s">
        <v>158</v>
      </c>
      <c r="B898" s="1773"/>
      <c r="C898" s="1804"/>
      <c r="D898" s="1802">
        <v>30000000</v>
      </c>
      <c r="E898" s="1803">
        <v>17500000</v>
      </c>
      <c r="F898" s="1807">
        <v>12500000</v>
      </c>
      <c r="G898" s="1804"/>
      <c r="I898" s="100"/>
    </row>
    <row r="899" spans="1:9" hidden="1">
      <c r="A899" s="1767" t="s">
        <v>159</v>
      </c>
      <c r="B899" s="1778">
        <v>30000000</v>
      </c>
      <c r="C899" s="1806"/>
      <c r="D899" s="1780">
        <v>17500000</v>
      </c>
      <c r="E899" s="1781">
        <v>30000000</v>
      </c>
      <c r="F899" s="204">
        <v>17500000</v>
      </c>
      <c r="G899" s="1806"/>
    </row>
    <row r="900" spans="1:9" hidden="1">
      <c r="A900" s="1772" t="s">
        <v>1223</v>
      </c>
      <c r="B900" s="1787">
        <v>30000000</v>
      </c>
      <c r="C900" s="1804"/>
      <c r="D900" s="1802">
        <v>17500000</v>
      </c>
      <c r="E900" s="1803">
        <v>30000000</v>
      </c>
      <c r="F900" s="1807">
        <v>17500000</v>
      </c>
      <c r="G900" s="1804"/>
    </row>
    <row r="901" spans="1:9" hidden="1">
      <c r="A901" s="1851" t="s">
        <v>74</v>
      </c>
      <c r="B901" s="1835">
        <v>268029741.22999999</v>
      </c>
      <c r="C901" s="1838">
        <v>268029747.31</v>
      </c>
      <c r="D901" s="1833"/>
      <c r="E901" s="1834"/>
      <c r="F901" s="123">
        <v>268029741.22999999</v>
      </c>
      <c r="G901" s="1838">
        <v>268029747.31</v>
      </c>
      <c r="I901" s="136"/>
    </row>
    <row r="902" spans="1:9" ht="15" hidden="1" thickBot="1">
      <c r="A902" s="1815" t="s">
        <v>75</v>
      </c>
      <c r="B902" s="1816">
        <v>1034485296.4400001</v>
      </c>
      <c r="C902" s="1817">
        <v>1034485296.4400001</v>
      </c>
      <c r="D902" s="1818">
        <v>2209686465.5500002</v>
      </c>
      <c r="E902" s="1819">
        <v>2209686465.5500002</v>
      </c>
      <c r="F902" s="1820">
        <v>1431819700.05</v>
      </c>
      <c r="G902" s="1817">
        <v>1431819700.05</v>
      </c>
    </row>
    <row r="912" spans="1:9">
      <c r="I912" s="2147"/>
    </row>
  </sheetData>
  <autoFilter ref="A6:I902" xr:uid="{00000000-0009-0000-0000-00001F000000}">
    <filterColumn colId="0">
      <filters>
        <filter val="DEPRECIATION"/>
        <filter val="Preliminary Expenses  (Income)"/>
        <filter val="Preliminary Expenses (Income)"/>
        <filter val="Preliminary Expenses Written Off (Expenses)"/>
        <filter val="Preliminary Expenses Written Off Exp"/>
        <filter val="Sri Karupagambigai Pre Casting (Dalmia Sattur)"/>
        <filter val="The Young Entrepreneurs"/>
      </filters>
    </filterColumn>
  </autoFilter>
  <mergeCells count="10">
    <mergeCell ref="B5:C5"/>
    <mergeCell ref="D5:E5"/>
    <mergeCell ref="F5:G5"/>
    <mergeCell ref="A1:C1"/>
    <mergeCell ref="B3:C3"/>
    <mergeCell ref="D3:E3"/>
    <mergeCell ref="F3:G3"/>
    <mergeCell ref="B4:C4"/>
    <mergeCell ref="D4:E4"/>
    <mergeCell ref="F4:G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05"/>
  <sheetViews>
    <sheetView topLeftCell="A70" workbookViewId="0">
      <selection activeCell="H93" sqref="H93"/>
    </sheetView>
  </sheetViews>
  <sheetFormatPr defaultColWidth="8.77734375" defaultRowHeight="15.6"/>
  <cols>
    <col min="1" max="1" width="33.5546875" style="2149" bestFit="1" customWidth="1"/>
    <col min="2" max="2" width="15.5546875" style="2149" bestFit="1" customWidth="1"/>
    <col min="3" max="4" width="11.44140625" style="2149" bestFit="1" customWidth="1"/>
    <col min="5" max="5" width="13.44140625" style="2149" bestFit="1" customWidth="1"/>
    <col min="6" max="7" width="8.77734375" style="2149"/>
    <col min="8" max="8" width="15.44140625" style="2149" bestFit="1" customWidth="1"/>
    <col min="9" max="9" width="8.77734375" style="2149"/>
    <col min="10" max="10" width="15.44140625" style="2149" bestFit="1" customWidth="1"/>
    <col min="11" max="16384" width="8.77734375" style="2149"/>
  </cols>
  <sheetData>
    <row r="1" spans="1:10">
      <c r="A1" s="3211" t="s">
        <v>3821</v>
      </c>
      <c r="B1" s="3211"/>
      <c r="C1" s="3211"/>
      <c r="D1" s="2148"/>
      <c r="E1" s="2148"/>
    </row>
    <row r="2" spans="1:10">
      <c r="A2" s="3212" t="s">
        <v>3822</v>
      </c>
      <c r="B2" s="3212"/>
      <c r="C2" s="3212"/>
      <c r="D2" s="2148"/>
      <c r="E2" s="2148"/>
    </row>
    <row r="3" spans="1:10">
      <c r="A3" s="3212" t="s">
        <v>1663</v>
      </c>
      <c r="B3" s="3212"/>
      <c r="C3" s="3212"/>
      <c r="D3" s="2148"/>
      <c r="E3" s="2148"/>
    </row>
    <row r="4" spans="1:10">
      <c r="A4" s="3212" t="s">
        <v>1664</v>
      </c>
      <c r="B4" s="3212"/>
      <c r="C4" s="3212"/>
      <c r="D4" s="2148"/>
      <c r="E4" s="2148"/>
    </row>
    <row r="5" spans="1:10">
      <c r="A5" s="3213" t="s">
        <v>1665</v>
      </c>
      <c r="B5" s="3213"/>
      <c r="C5" s="3213"/>
      <c r="D5" s="2148"/>
      <c r="E5" s="2148"/>
    </row>
    <row r="6" spans="1:10">
      <c r="A6" s="3214" t="s">
        <v>100</v>
      </c>
      <c r="B6" s="3214"/>
      <c r="C6" s="3214"/>
      <c r="D6" s="2148"/>
      <c r="E6" s="2148"/>
    </row>
    <row r="7" spans="1:10">
      <c r="A7" s="3212" t="s">
        <v>1329</v>
      </c>
      <c r="B7" s="3212"/>
      <c r="C7" s="3212"/>
      <c r="D7" s="2148"/>
      <c r="E7" s="2148"/>
    </row>
    <row r="8" spans="1:10">
      <c r="A8" s="3213" t="s">
        <v>3823</v>
      </c>
      <c r="B8" s="3213"/>
      <c r="C8" s="3213"/>
      <c r="D8" s="2148"/>
      <c r="E8" s="2148"/>
    </row>
    <row r="9" spans="1:10" ht="15.6" customHeight="1">
      <c r="A9" s="2150" t="s">
        <v>82</v>
      </c>
      <c r="B9" s="3215" t="s">
        <v>100</v>
      </c>
      <c r="C9" s="3215"/>
      <c r="D9" s="3215"/>
      <c r="E9" s="3215"/>
    </row>
    <row r="10" spans="1:10" ht="15.6" customHeight="1">
      <c r="A10" s="2151" t="s">
        <v>82</v>
      </c>
      <c r="B10" s="3216" t="s">
        <v>3821</v>
      </c>
      <c r="C10" s="3217"/>
      <c r="D10" s="3217"/>
      <c r="E10" s="3217"/>
      <c r="H10" s="2152">
        <v>192384.75</v>
      </c>
    </row>
    <row r="11" spans="1:10" ht="15.6" customHeight="1">
      <c r="A11" s="2153" t="s">
        <v>1</v>
      </c>
      <c r="B11" s="3218" t="s">
        <v>3823</v>
      </c>
      <c r="C11" s="3219"/>
      <c r="D11" s="3219"/>
      <c r="E11" s="3219"/>
      <c r="H11" s="2152">
        <f>278135343.81-20000</f>
        <v>278115343.81</v>
      </c>
      <c r="J11" s="2152">
        <v>389667.75</v>
      </c>
    </row>
    <row r="12" spans="1:10">
      <c r="A12" s="2153" t="s">
        <v>82</v>
      </c>
      <c r="B12" s="2154" t="s">
        <v>1331</v>
      </c>
      <c r="C12" s="3209" t="s">
        <v>1332</v>
      </c>
      <c r="D12" s="3210"/>
      <c r="E12" s="2154" t="s">
        <v>1333</v>
      </c>
      <c r="H12" s="2155">
        <f>H11-H10</f>
        <v>277922959.06</v>
      </c>
      <c r="J12" s="2152">
        <v>278920414.44999999</v>
      </c>
    </row>
    <row r="13" spans="1:10">
      <c r="A13" s="2156" t="s">
        <v>82</v>
      </c>
      <c r="B13" s="2157" t="s">
        <v>1196</v>
      </c>
      <c r="C13" s="2158" t="s">
        <v>66</v>
      </c>
      <c r="D13" s="2158" t="s">
        <v>67</v>
      </c>
      <c r="E13" s="2157" t="s">
        <v>1196</v>
      </c>
      <c r="J13" s="2155">
        <f>J12-J11</f>
        <v>278530746.69999999</v>
      </c>
    </row>
    <row r="14" spans="1:10">
      <c r="A14" s="2159" t="s">
        <v>822</v>
      </c>
      <c r="B14" s="2160">
        <v>201</v>
      </c>
      <c r="C14" s="2161"/>
      <c r="D14" s="2161"/>
      <c r="E14" s="2160">
        <v>201</v>
      </c>
      <c r="J14" s="2149">
        <v>7279645.3500000238</v>
      </c>
    </row>
    <row r="15" spans="1:10">
      <c r="A15" s="2159" t="s">
        <v>1246</v>
      </c>
      <c r="B15" s="2160">
        <v>34050</v>
      </c>
      <c r="C15" s="2161"/>
      <c r="D15" s="2161"/>
      <c r="E15" s="2160">
        <v>34050</v>
      </c>
      <c r="J15" s="2155">
        <f>J13-J14</f>
        <v>271251101.34999996</v>
      </c>
    </row>
    <row r="16" spans="1:10">
      <c r="A16" s="2159" t="s">
        <v>3411</v>
      </c>
      <c r="B16" s="2162">
        <v>13505</v>
      </c>
      <c r="C16" s="2163">
        <v>34594057</v>
      </c>
      <c r="D16" s="2163">
        <v>34154560</v>
      </c>
      <c r="E16" s="2162">
        <v>453002</v>
      </c>
    </row>
    <row r="17" spans="1:5">
      <c r="A17" s="2159" t="s">
        <v>1245</v>
      </c>
      <c r="B17" s="2160">
        <v>1544</v>
      </c>
      <c r="C17" s="2161"/>
      <c r="D17" s="2161"/>
      <c r="E17" s="2160">
        <v>1544</v>
      </c>
    </row>
    <row r="18" spans="1:5">
      <c r="A18" s="2159" t="s">
        <v>2038</v>
      </c>
      <c r="B18" s="2162">
        <v>2500</v>
      </c>
      <c r="C18" s="2161"/>
      <c r="D18" s="2161"/>
      <c r="E18" s="2162">
        <v>2500</v>
      </c>
    </row>
    <row r="19" spans="1:5">
      <c r="A19" s="2159" t="s">
        <v>2040</v>
      </c>
      <c r="B19" s="2162">
        <v>1300</v>
      </c>
      <c r="C19" s="2161"/>
      <c r="D19" s="2161"/>
      <c r="E19" s="2162">
        <v>1300</v>
      </c>
    </row>
    <row r="20" spans="1:5">
      <c r="A20" s="2159" t="s">
        <v>2747</v>
      </c>
      <c r="B20" s="2162">
        <v>15866</v>
      </c>
      <c r="C20" s="2163">
        <v>34425</v>
      </c>
      <c r="D20" s="2163">
        <v>50291</v>
      </c>
      <c r="E20" s="2164"/>
    </row>
    <row r="21" spans="1:5">
      <c r="A21" s="2159" t="s">
        <v>824</v>
      </c>
      <c r="B21" s="2160">
        <v>800</v>
      </c>
      <c r="C21" s="2161"/>
      <c r="D21" s="2161"/>
      <c r="E21" s="2160">
        <v>800</v>
      </c>
    </row>
    <row r="22" spans="1:5">
      <c r="A22" s="2159" t="s">
        <v>825</v>
      </c>
      <c r="B22" s="2162">
        <v>2727</v>
      </c>
      <c r="C22" s="2161"/>
      <c r="D22" s="2161"/>
      <c r="E22" s="2162">
        <v>2727</v>
      </c>
    </row>
    <row r="23" spans="1:5">
      <c r="A23" s="2159" t="s">
        <v>1078</v>
      </c>
      <c r="B23" s="2162">
        <v>45000</v>
      </c>
      <c r="C23" s="2161"/>
      <c r="D23" s="2161"/>
      <c r="E23" s="2162">
        <v>45000</v>
      </c>
    </row>
    <row r="24" spans="1:5">
      <c r="A24" s="2159" t="s">
        <v>3412</v>
      </c>
      <c r="B24" s="2162">
        <v>79213</v>
      </c>
      <c r="C24" s="2163">
        <v>1052704</v>
      </c>
      <c r="D24" s="2163">
        <v>1131917</v>
      </c>
      <c r="E24" s="2164"/>
    </row>
    <row r="25" spans="1:5">
      <c r="A25" s="2159" t="s">
        <v>3826</v>
      </c>
      <c r="B25" s="2164"/>
      <c r="C25" s="2163">
        <v>343500</v>
      </c>
      <c r="D25" s="2163">
        <v>222039</v>
      </c>
      <c r="E25" s="2162">
        <v>121461</v>
      </c>
    </row>
    <row r="26" spans="1:5">
      <c r="A26" s="2159" t="s">
        <v>2178</v>
      </c>
      <c r="B26" s="2162">
        <v>66072</v>
      </c>
      <c r="C26" s="2163">
        <v>136183</v>
      </c>
      <c r="D26" s="2163">
        <v>200755</v>
      </c>
      <c r="E26" s="2162">
        <v>1500</v>
      </c>
    </row>
    <row r="27" spans="1:5">
      <c r="A27" s="2159" t="s">
        <v>830</v>
      </c>
      <c r="B27" s="2160">
        <v>18245.75</v>
      </c>
      <c r="C27" s="2163">
        <v>1816396</v>
      </c>
      <c r="D27" s="2163">
        <v>1855993</v>
      </c>
      <c r="E27" s="2160">
        <v>57842.75</v>
      </c>
    </row>
    <row r="28" spans="1:5">
      <c r="A28" s="2159" t="s">
        <v>3827</v>
      </c>
      <c r="B28" s="2164"/>
      <c r="C28" s="2163">
        <v>45500</v>
      </c>
      <c r="D28" s="2163">
        <v>45500</v>
      </c>
      <c r="E28" s="2164"/>
    </row>
    <row r="29" spans="1:5">
      <c r="A29" s="2159" t="s">
        <v>2180</v>
      </c>
      <c r="B29" s="2162">
        <v>330487</v>
      </c>
      <c r="C29" s="2163">
        <v>115160</v>
      </c>
      <c r="D29" s="2163">
        <v>244260</v>
      </c>
      <c r="E29" s="2162">
        <v>201387</v>
      </c>
    </row>
    <row r="30" spans="1:5">
      <c r="A30" s="2159" t="s">
        <v>3413</v>
      </c>
      <c r="B30" s="2162">
        <v>199744</v>
      </c>
      <c r="C30" s="2163">
        <v>16690303.359999999</v>
      </c>
      <c r="D30" s="2163">
        <v>16402133</v>
      </c>
      <c r="E30" s="2162">
        <v>487914.36</v>
      </c>
    </row>
    <row r="31" spans="1:5">
      <c r="A31" s="2159" t="s">
        <v>835</v>
      </c>
      <c r="B31" s="2160">
        <v>2000</v>
      </c>
      <c r="C31" s="2161"/>
      <c r="D31" s="2161"/>
      <c r="E31" s="2160">
        <v>2000</v>
      </c>
    </row>
    <row r="32" spans="1:5">
      <c r="A32" s="2159" t="s">
        <v>1737</v>
      </c>
      <c r="B32" s="2160">
        <v>65855</v>
      </c>
      <c r="C32" s="2161"/>
      <c r="D32" s="2161"/>
      <c r="E32" s="2160">
        <v>65855</v>
      </c>
    </row>
    <row r="33" spans="1:5">
      <c r="A33" s="2159" t="s">
        <v>2627</v>
      </c>
      <c r="B33" s="2162">
        <v>9355</v>
      </c>
      <c r="C33" s="2163">
        <v>18741</v>
      </c>
      <c r="D33" s="2163">
        <v>28096</v>
      </c>
      <c r="E33" s="2164"/>
    </row>
    <row r="34" spans="1:5">
      <c r="A34" s="2159" t="s">
        <v>3828</v>
      </c>
      <c r="B34" s="2164"/>
      <c r="C34" s="2163">
        <v>2279900</v>
      </c>
      <c r="D34" s="2163">
        <v>1839233</v>
      </c>
      <c r="E34" s="2162">
        <v>440667</v>
      </c>
    </row>
    <row r="35" spans="1:5">
      <c r="A35" s="2159" t="s">
        <v>2047</v>
      </c>
      <c r="B35" s="2162">
        <v>9995</v>
      </c>
      <c r="C35" s="2163">
        <v>7000</v>
      </c>
      <c r="D35" s="2163">
        <v>16995</v>
      </c>
      <c r="E35" s="2164"/>
    </row>
    <row r="36" spans="1:5">
      <c r="A36" s="2159" t="s">
        <v>2628</v>
      </c>
      <c r="B36" s="2162">
        <v>445328</v>
      </c>
      <c r="C36" s="2163">
        <v>2289458</v>
      </c>
      <c r="D36" s="2163">
        <v>2734786</v>
      </c>
      <c r="E36" s="2164"/>
    </row>
    <row r="37" spans="1:5">
      <c r="A37" s="2159" t="s">
        <v>2181</v>
      </c>
      <c r="B37" s="2162">
        <v>13000</v>
      </c>
      <c r="C37" s="2161"/>
      <c r="D37" s="2161"/>
      <c r="E37" s="2162">
        <v>13000</v>
      </c>
    </row>
    <row r="38" spans="1:5">
      <c r="A38" s="2159" t="s">
        <v>836</v>
      </c>
      <c r="B38" s="2162">
        <v>88647</v>
      </c>
      <c r="C38" s="2161"/>
      <c r="D38" s="2161"/>
      <c r="E38" s="2162">
        <v>88647</v>
      </c>
    </row>
    <row r="39" spans="1:5">
      <c r="A39" s="2159" t="s">
        <v>1243</v>
      </c>
      <c r="B39" s="2162">
        <v>32269</v>
      </c>
      <c r="C39" s="2161"/>
      <c r="D39" s="2161"/>
      <c r="E39" s="2162">
        <v>32269</v>
      </c>
    </row>
    <row r="40" spans="1:5">
      <c r="A40" s="2159" t="s">
        <v>3414</v>
      </c>
      <c r="B40" s="2162">
        <v>846985</v>
      </c>
      <c r="C40" s="2163">
        <v>6783611</v>
      </c>
      <c r="D40" s="2163">
        <v>7588084</v>
      </c>
      <c r="E40" s="2162">
        <v>42512</v>
      </c>
    </row>
    <row r="41" spans="1:5">
      <c r="A41" s="2159" t="s">
        <v>2048</v>
      </c>
      <c r="B41" s="2160">
        <v>3000</v>
      </c>
      <c r="C41" s="2161"/>
      <c r="D41" s="2161"/>
      <c r="E41" s="2160">
        <v>3000</v>
      </c>
    </row>
    <row r="42" spans="1:5">
      <c r="A42" s="2159" t="s">
        <v>837</v>
      </c>
      <c r="B42" s="2162">
        <v>75</v>
      </c>
      <c r="C42" s="2161"/>
      <c r="D42" s="2161"/>
      <c r="E42" s="2162">
        <v>75</v>
      </c>
    </row>
    <row r="43" spans="1:5">
      <c r="A43" s="2159" t="s">
        <v>838</v>
      </c>
      <c r="B43" s="2162">
        <v>5578</v>
      </c>
      <c r="C43" s="2161"/>
      <c r="D43" s="2161"/>
      <c r="E43" s="2162">
        <v>5578</v>
      </c>
    </row>
    <row r="44" spans="1:5">
      <c r="A44" s="2159" t="s">
        <v>839</v>
      </c>
      <c r="B44" s="2162">
        <v>22244</v>
      </c>
      <c r="C44" s="2161"/>
      <c r="D44" s="2161"/>
      <c r="E44" s="2162">
        <v>22244</v>
      </c>
    </row>
    <row r="45" spans="1:5">
      <c r="A45" s="2159" t="s">
        <v>840</v>
      </c>
      <c r="B45" s="2162">
        <v>18095</v>
      </c>
      <c r="C45" s="2161"/>
      <c r="D45" s="2161"/>
      <c r="E45" s="2162">
        <v>18095</v>
      </c>
    </row>
    <row r="46" spans="1:5">
      <c r="A46" s="2159" t="s">
        <v>841</v>
      </c>
      <c r="B46" s="2162">
        <v>31056</v>
      </c>
      <c r="C46" s="2161"/>
      <c r="D46" s="2161"/>
      <c r="E46" s="2162">
        <v>31056</v>
      </c>
    </row>
    <row r="47" spans="1:5">
      <c r="A47" s="2159" t="s">
        <v>842</v>
      </c>
      <c r="B47" s="2162">
        <v>27512</v>
      </c>
      <c r="C47" s="2161"/>
      <c r="D47" s="2161"/>
      <c r="E47" s="2162">
        <v>27512</v>
      </c>
    </row>
    <row r="48" spans="1:5">
      <c r="A48" s="2159" t="s">
        <v>843</v>
      </c>
      <c r="B48" s="2160">
        <v>2000</v>
      </c>
      <c r="C48" s="2161"/>
      <c r="D48" s="2161"/>
      <c r="E48" s="2160">
        <v>2000</v>
      </c>
    </row>
    <row r="49" spans="1:5">
      <c r="A49" s="2159" t="s">
        <v>3829</v>
      </c>
      <c r="B49" s="2164"/>
      <c r="C49" s="2163">
        <v>879585</v>
      </c>
      <c r="D49" s="2163">
        <v>639418</v>
      </c>
      <c r="E49" s="2162">
        <v>240167</v>
      </c>
    </row>
    <row r="50" spans="1:5">
      <c r="A50" s="2159" t="s">
        <v>2798</v>
      </c>
      <c r="B50" s="2162">
        <v>30323</v>
      </c>
      <c r="C50" s="2163">
        <v>293788</v>
      </c>
      <c r="D50" s="2163">
        <v>324111</v>
      </c>
      <c r="E50" s="2164"/>
    </row>
    <row r="51" spans="1:5">
      <c r="A51" s="2159" t="s">
        <v>3830</v>
      </c>
      <c r="B51" s="2164"/>
      <c r="C51" s="2163">
        <v>650743</v>
      </c>
      <c r="D51" s="2163">
        <v>646743</v>
      </c>
      <c r="E51" s="2162">
        <v>4000</v>
      </c>
    </row>
    <row r="52" spans="1:5">
      <c r="A52" s="2159" t="s">
        <v>3416</v>
      </c>
      <c r="B52" s="2160">
        <v>92749</v>
      </c>
      <c r="C52" s="2163">
        <v>308669</v>
      </c>
      <c r="D52" s="2163">
        <v>215920</v>
      </c>
      <c r="E52" s="2164"/>
    </row>
    <row r="53" spans="1:5">
      <c r="A53" s="2159" t="s">
        <v>3417</v>
      </c>
      <c r="B53" s="2162">
        <v>754437</v>
      </c>
      <c r="C53" s="2163">
        <v>6496380</v>
      </c>
      <c r="D53" s="2163">
        <v>7250817</v>
      </c>
      <c r="E53" s="2164"/>
    </row>
    <row r="54" spans="1:5">
      <c r="A54" s="2159" t="s">
        <v>844</v>
      </c>
      <c r="B54" s="2160">
        <v>2100</v>
      </c>
      <c r="C54" s="2161"/>
      <c r="D54" s="2161"/>
      <c r="E54" s="2160">
        <v>2100</v>
      </c>
    </row>
    <row r="55" spans="1:5">
      <c r="A55" s="2159" t="s">
        <v>845</v>
      </c>
      <c r="B55" s="2160">
        <v>5745</v>
      </c>
      <c r="C55" s="2161"/>
      <c r="D55" s="2161"/>
      <c r="E55" s="2160">
        <v>5745</v>
      </c>
    </row>
    <row r="56" spans="1:5">
      <c r="A56" s="2159" t="s">
        <v>846</v>
      </c>
      <c r="B56" s="2162">
        <v>3188</v>
      </c>
      <c r="C56" s="2161"/>
      <c r="D56" s="2161"/>
      <c r="E56" s="2162">
        <v>3188</v>
      </c>
    </row>
    <row r="57" spans="1:5">
      <c r="A57" s="2159" t="s">
        <v>2832</v>
      </c>
      <c r="B57" s="2162">
        <v>1293971</v>
      </c>
      <c r="C57" s="2163">
        <v>17858011</v>
      </c>
      <c r="D57" s="2163">
        <v>18926209</v>
      </c>
      <c r="E57" s="2162">
        <v>225773</v>
      </c>
    </row>
    <row r="58" spans="1:5">
      <c r="A58" s="2159" t="s">
        <v>2182</v>
      </c>
      <c r="B58" s="2162">
        <v>53725.55</v>
      </c>
      <c r="C58" s="2161"/>
      <c r="D58" s="2161"/>
      <c r="E58" s="2162">
        <v>53725.55</v>
      </c>
    </row>
    <row r="59" spans="1:5">
      <c r="A59" s="2159" t="s">
        <v>849</v>
      </c>
      <c r="B59" s="2160">
        <v>1000</v>
      </c>
      <c r="C59" s="2161"/>
      <c r="D59" s="2161"/>
      <c r="E59" s="2160">
        <v>1000</v>
      </c>
    </row>
    <row r="60" spans="1:5">
      <c r="A60" s="2159" t="s">
        <v>850</v>
      </c>
      <c r="B60" s="2162">
        <v>2950</v>
      </c>
      <c r="C60" s="2161"/>
      <c r="D60" s="2161"/>
      <c r="E60" s="2162">
        <v>2950</v>
      </c>
    </row>
    <row r="61" spans="1:5">
      <c r="A61" s="2159" t="s">
        <v>1739</v>
      </c>
      <c r="B61" s="2162">
        <v>5501</v>
      </c>
      <c r="C61" s="2161"/>
      <c r="D61" s="2161"/>
      <c r="E61" s="2162">
        <v>5501</v>
      </c>
    </row>
    <row r="62" spans="1:5">
      <c r="A62" s="2159" t="s">
        <v>3831</v>
      </c>
      <c r="B62" s="2164"/>
      <c r="C62" s="2163">
        <v>1856203</v>
      </c>
      <c r="D62" s="2163">
        <v>1805519</v>
      </c>
      <c r="E62" s="2162">
        <v>50684</v>
      </c>
    </row>
    <row r="63" spans="1:5">
      <c r="A63" s="2159" t="s">
        <v>2184</v>
      </c>
      <c r="B63" s="2162">
        <v>2000</v>
      </c>
      <c r="C63" s="2161"/>
      <c r="D63" s="2161"/>
      <c r="E63" s="2162">
        <v>2000</v>
      </c>
    </row>
    <row r="64" spans="1:5">
      <c r="A64" s="2159" t="s">
        <v>2185</v>
      </c>
      <c r="B64" s="2162">
        <v>313974.3</v>
      </c>
      <c r="C64" s="2161"/>
      <c r="D64" s="2161"/>
      <c r="E64" s="2162">
        <v>313974.3</v>
      </c>
    </row>
    <row r="65" spans="1:5">
      <c r="A65" s="2159" t="s">
        <v>2186</v>
      </c>
      <c r="B65" s="2164"/>
      <c r="C65" s="2163">
        <v>50000</v>
      </c>
      <c r="D65" s="2163">
        <v>50000</v>
      </c>
      <c r="E65" s="2164"/>
    </row>
    <row r="66" spans="1:5">
      <c r="A66" s="2159" t="s">
        <v>854</v>
      </c>
      <c r="B66" s="2160">
        <v>2494</v>
      </c>
      <c r="C66" s="2161"/>
      <c r="D66" s="2161"/>
      <c r="E66" s="2160">
        <v>2494</v>
      </c>
    </row>
    <row r="67" spans="1:5">
      <c r="A67" s="2159" t="s">
        <v>2187</v>
      </c>
      <c r="B67" s="2162">
        <v>14117</v>
      </c>
      <c r="C67" s="2161"/>
      <c r="D67" s="2161"/>
      <c r="E67" s="2162">
        <v>14117</v>
      </c>
    </row>
    <row r="68" spans="1:5">
      <c r="A68" s="2159" t="s">
        <v>1521</v>
      </c>
      <c r="B68" s="2160">
        <v>1577</v>
      </c>
      <c r="C68" s="2161"/>
      <c r="D68" s="2161"/>
      <c r="E68" s="2160">
        <v>1577</v>
      </c>
    </row>
    <row r="69" spans="1:5">
      <c r="A69" s="2159" t="s">
        <v>2188</v>
      </c>
      <c r="B69" s="2162">
        <v>800</v>
      </c>
      <c r="C69" s="2161"/>
      <c r="D69" s="2161"/>
      <c r="E69" s="2162">
        <v>800</v>
      </c>
    </row>
    <row r="70" spans="1:5">
      <c r="A70" s="2159" t="s">
        <v>3418</v>
      </c>
      <c r="B70" s="2162">
        <v>46141</v>
      </c>
      <c r="C70" s="2163">
        <v>11655205</v>
      </c>
      <c r="D70" s="2163">
        <v>11623212</v>
      </c>
      <c r="E70" s="2162">
        <v>78134</v>
      </c>
    </row>
    <row r="71" spans="1:5">
      <c r="A71" s="2159" t="s">
        <v>3419</v>
      </c>
      <c r="B71" s="2162">
        <v>65970</v>
      </c>
      <c r="C71" s="2163">
        <v>1219765</v>
      </c>
      <c r="D71" s="2163">
        <v>1285735</v>
      </c>
      <c r="E71" s="2164"/>
    </row>
    <row r="72" spans="1:5">
      <c r="A72" s="2159" t="s">
        <v>2189</v>
      </c>
      <c r="B72" s="2162">
        <v>500</v>
      </c>
      <c r="C72" s="2161"/>
      <c r="D72" s="2161"/>
      <c r="E72" s="2162">
        <v>500</v>
      </c>
    </row>
    <row r="73" spans="1:5">
      <c r="A73" s="2159" t="s">
        <v>3832</v>
      </c>
      <c r="B73" s="2164"/>
      <c r="C73" s="2163">
        <v>1805732</v>
      </c>
      <c r="D73" s="2163">
        <v>1484925</v>
      </c>
      <c r="E73" s="2162">
        <v>320807</v>
      </c>
    </row>
    <row r="74" spans="1:5">
      <c r="A74" s="2159" t="s">
        <v>3420</v>
      </c>
      <c r="B74" s="2162">
        <v>277575</v>
      </c>
      <c r="C74" s="2163">
        <v>6463886</v>
      </c>
      <c r="D74" s="2163">
        <v>6622185</v>
      </c>
      <c r="E74" s="2162">
        <v>119276</v>
      </c>
    </row>
    <row r="75" spans="1:5">
      <c r="A75" s="2159" t="s">
        <v>3421</v>
      </c>
      <c r="B75" s="2162">
        <v>356440</v>
      </c>
      <c r="C75" s="2163">
        <v>2314211</v>
      </c>
      <c r="D75" s="2163">
        <v>2530651</v>
      </c>
      <c r="E75" s="2162">
        <v>140000</v>
      </c>
    </row>
    <row r="76" spans="1:5">
      <c r="A76" s="2159" t="s">
        <v>2632</v>
      </c>
      <c r="B76" s="2162">
        <v>195400</v>
      </c>
      <c r="C76" s="2163">
        <v>424668</v>
      </c>
      <c r="D76" s="2163">
        <v>430068</v>
      </c>
      <c r="E76" s="2162">
        <v>190000</v>
      </c>
    </row>
    <row r="77" spans="1:5">
      <c r="A77" s="2159" t="s">
        <v>3833</v>
      </c>
      <c r="B77" s="2164"/>
      <c r="C77" s="2163">
        <v>28000</v>
      </c>
      <c r="D77" s="2161"/>
      <c r="E77" s="2162">
        <v>28000</v>
      </c>
    </row>
    <row r="78" spans="1:5">
      <c r="A78" s="2159" t="s">
        <v>1743</v>
      </c>
      <c r="B78" s="2162">
        <v>3530</v>
      </c>
      <c r="C78" s="2161"/>
      <c r="D78" s="2161"/>
      <c r="E78" s="2162">
        <v>3530</v>
      </c>
    </row>
    <row r="79" spans="1:5">
      <c r="A79" s="2159" t="s">
        <v>2191</v>
      </c>
      <c r="B79" s="2160">
        <v>1000</v>
      </c>
      <c r="C79" s="2161"/>
      <c r="D79" s="2161"/>
      <c r="E79" s="2160">
        <v>1000</v>
      </c>
    </row>
    <row r="80" spans="1:5">
      <c r="A80" s="2159" t="s">
        <v>855</v>
      </c>
      <c r="B80" s="2162">
        <v>1518150.7</v>
      </c>
      <c r="C80" s="2161"/>
      <c r="D80" s="2161"/>
      <c r="E80" s="2162">
        <v>1518150.7</v>
      </c>
    </row>
    <row r="81" spans="1:5">
      <c r="A81" s="2159" t="s">
        <v>1239</v>
      </c>
      <c r="B81" s="2162">
        <v>1500</v>
      </c>
      <c r="C81" s="2161"/>
      <c r="D81" s="2161"/>
      <c r="E81" s="2162">
        <v>1500</v>
      </c>
    </row>
    <row r="82" spans="1:5">
      <c r="A82" s="2159" t="s">
        <v>256</v>
      </c>
      <c r="B82" s="2162">
        <v>271231100.89999998</v>
      </c>
      <c r="C82" s="2163">
        <v>40000</v>
      </c>
      <c r="D82" s="2161"/>
      <c r="E82" s="2162">
        <v>271271100.89999998</v>
      </c>
    </row>
    <row r="83" spans="1:5">
      <c r="A83" s="2159" t="s">
        <v>3834</v>
      </c>
      <c r="B83" s="2164"/>
      <c r="C83" s="2163">
        <v>8340179</v>
      </c>
      <c r="D83" s="2163">
        <v>7797737</v>
      </c>
      <c r="E83" s="2162">
        <v>542442</v>
      </c>
    </row>
    <row r="84" spans="1:5">
      <c r="A84" s="2159" t="s">
        <v>859</v>
      </c>
      <c r="B84" s="2162">
        <v>10812</v>
      </c>
      <c r="C84" s="2161"/>
      <c r="D84" s="2161"/>
      <c r="E84" s="2162">
        <v>10812</v>
      </c>
    </row>
    <row r="85" spans="1:5">
      <c r="A85" s="2159" t="s">
        <v>860</v>
      </c>
      <c r="B85" s="2162">
        <v>6042</v>
      </c>
      <c r="C85" s="2161"/>
      <c r="D85" s="2161"/>
      <c r="E85" s="2162">
        <v>6042</v>
      </c>
    </row>
    <row r="86" spans="1:5">
      <c r="A86" s="2159" t="s">
        <v>861</v>
      </c>
      <c r="B86" s="2160">
        <v>6589</v>
      </c>
      <c r="C86" s="2161"/>
      <c r="D86" s="2161"/>
      <c r="E86" s="2160">
        <v>6589</v>
      </c>
    </row>
    <row r="87" spans="1:5">
      <c r="A87" s="2159" t="s">
        <v>3835</v>
      </c>
      <c r="B87" s="2164"/>
      <c r="C87" s="2163">
        <v>4771785</v>
      </c>
      <c r="D87" s="2163">
        <v>4764685</v>
      </c>
      <c r="E87" s="2162">
        <v>7100</v>
      </c>
    </row>
    <row r="88" spans="1:5">
      <c r="A88" s="2159" t="s">
        <v>3422</v>
      </c>
      <c r="B88" s="2162">
        <v>391272</v>
      </c>
      <c r="C88" s="2163">
        <v>7820903</v>
      </c>
      <c r="D88" s="2163">
        <v>8090688</v>
      </c>
      <c r="E88" s="2162">
        <v>121487</v>
      </c>
    </row>
    <row r="89" spans="1:5">
      <c r="A89" s="2159" t="s">
        <v>3423</v>
      </c>
      <c r="B89" s="2160">
        <v>144131</v>
      </c>
      <c r="C89" s="2163">
        <v>4608026</v>
      </c>
      <c r="D89" s="2163">
        <v>4463895</v>
      </c>
      <c r="E89" s="2164"/>
    </row>
    <row r="90" spans="1:5">
      <c r="A90" s="2159" t="s">
        <v>2193</v>
      </c>
      <c r="B90" s="2160">
        <v>1300</v>
      </c>
      <c r="C90" s="2161"/>
      <c r="D90" s="2161"/>
      <c r="E90" s="2160">
        <v>1300</v>
      </c>
    </row>
    <row r="91" spans="1:5">
      <c r="A91" s="2159" t="s">
        <v>3836</v>
      </c>
      <c r="B91" s="2164"/>
      <c r="C91" s="2163">
        <v>3309812</v>
      </c>
      <c r="D91" s="2163">
        <v>3116377</v>
      </c>
      <c r="E91" s="2162">
        <v>193435</v>
      </c>
    </row>
    <row r="92" spans="1:5">
      <c r="A92" s="2159" t="s">
        <v>3837</v>
      </c>
      <c r="B92" s="2164"/>
      <c r="C92" s="2163">
        <v>2532669</v>
      </c>
      <c r="D92" s="2163">
        <v>2226681</v>
      </c>
      <c r="E92" s="2162">
        <v>305988</v>
      </c>
    </row>
    <row r="93" spans="1:5">
      <c r="A93" s="2159" t="s">
        <v>3424</v>
      </c>
      <c r="B93" s="2164"/>
      <c r="C93" s="2163">
        <v>47320</v>
      </c>
      <c r="D93" s="2163">
        <v>47320</v>
      </c>
      <c r="E93" s="2164"/>
    </row>
    <row r="94" spans="1:5">
      <c r="A94" s="2159" t="s">
        <v>1235</v>
      </c>
      <c r="B94" s="2160">
        <v>2987</v>
      </c>
      <c r="C94" s="2161"/>
      <c r="D94" s="2161"/>
      <c r="E94" s="2160">
        <v>2987</v>
      </c>
    </row>
    <row r="95" spans="1:5">
      <c r="A95" s="2159" t="s">
        <v>864</v>
      </c>
      <c r="B95" s="2162">
        <v>19090</v>
      </c>
      <c r="C95" s="2161"/>
      <c r="D95" s="2161"/>
      <c r="E95" s="2162">
        <v>19090</v>
      </c>
    </row>
    <row r="96" spans="1:5">
      <c r="A96" s="2159" t="s">
        <v>865</v>
      </c>
      <c r="B96" s="2162">
        <v>6188</v>
      </c>
      <c r="C96" s="2161"/>
      <c r="D96" s="2161"/>
      <c r="E96" s="2162">
        <v>6188</v>
      </c>
    </row>
    <row r="97" spans="1:5">
      <c r="A97" s="2159" t="s">
        <v>866</v>
      </c>
      <c r="B97" s="2162">
        <v>6576</v>
      </c>
      <c r="C97" s="2161"/>
      <c r="D97" s="2161"/>
      <c r="E97" s="2162">
        <v>6576</v>
      </c>
    </row>
    <row r="98" spans="1:5">
      <c r="A98" s="2159" t="s">
        <v>867</v>
      </c>
      <c r="B98" s="2162">
        <v>486</v>
      </c>
      <c r="C98" s="2161"/>
      <c r="D98" s="2161"/>
      <c r="E98" s="2162">
        <v>486</v>
      </c>
    </row>
    <row r="99" spans="1:5">
      <c r="A99" s="2159" t="s">
        <v>868</v>
      </c>
      <c r="B99" s="2162">
        <v>2101</v>
      </c>
      <c r="C99" s="2161"/>
      <c r="D99" s="2161"/>
      <c r="E99" s="2162">
        <v>2101</v>
      </c>
    </row>
    <row r="100" spans="1:5">
      <c r="A100" s="2159" t="s">
        <v>869</v>
      </c>
      <c r="B100" s="2160">
        <v>300</v>
      </c>
      <c r="C100" s="2161"/>
      <c r="D100" s="2161"/>
      <c r="E100" s="2160">
        <v>300</v>
      </c>
    </row>
    <row r="101" spans="1:5">
      <c r="A101" s="2159" t="s">
        <v>3838</v>
      </c>
      <c r="B101" s="2164"/>
      <c r="C101" s="2163">
        <v>1920105</v>
      </c>
      <c r="D101" s="2163">
        <v>1632833</v>
      </c>
      <c r="E101" s="2162">
        <v>287272</v>
      </c>
    </row>
    <row r="102" spans="1:5">
      <c r="A102" s="2165" t="s">
        <v>75</v>
      </c>
      <c r="B102" s="2166">
        <v>278530746.69999999</v>
      </c>
      <c r="C102" s="2167">
        <v>151902583.36000001</v>
      </c>
      <c r="D102" s="2167">
        <v>152490371</v>
      </c>
      <c r="E102" s="2166">
        <v>277942959.06</v>
      </c>
    </row>
    <row r="103" spans="1:5">
      <c r="B103" s="2344">
        <v>278530746.69999999</v>
      </c>
    </row>
    <row r="104" spans="1:5">
      <c r="B104" s="2344">
        <f>B82</f>
        <v>271231100.89999998</v>
      </c>
    </row>
    <row r="105" spans="1:5">
      <c r="B105" s="2149">
        <v>-40000</v>
      </c>
    </row>
  </sheetData>
  <autoFilter ref="A13:E102" xr:uid="{00000000-0009-0000-0000-000020000000}"/>
  <mergeCells count="12">
    <mergeCell ref="C12:D12"/>
    <mergeCell ref="A1:C1"/>
    <mergeCell ref="A2:C2"/>
    <mergeCell ref="A3:C3"/>
    <mergeCell ref="A4:C4"/>
    <mergeCell ref="A5:C5"/>
    <mergeCell ref="A6:C6"/>
    <mergeCell ref="A7:C7"/>
    <mergeCell ref="A8:C8"/>
    <mergeCell ref="B9:E9"/>
    <mergeCell ref="B10:E10"/>
    <mergeCell ref="B11:E1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filterMode="1"/>
  <dimension ref="A1:G338"/>
  <sheetViews>
    <sheetView topLeftCell="A13" workbookViewId="0">
      <selection activeCell="A13" sqref="A13"/>
    </sheetView>
  </sheetViews>
  <sheetFormatPr defaultColWidth="8.77734375" defaultRowHeight="15.6"/>
  <cols>
    <col min="1" max="1" width="46.5546875" style="2122" bestFit="1" customWidth="1"/>
    <col min="2" max="2" width="12.44140625" style="2122" bestFit="1" customWidth="1"/>
    <col min="3" max="4" width="11.44140625" style="2122" bestFit="1" customWidth="1"/>
    <col min="5" max="5" width="12.44140625" style="2122" bestFit="1" customWidth="1"/>
    <col min="6" max="6" width="10.44140625" style="2122" bestFit="1" customWidth="1"/>
    <col min="7" max="16384" width="8.77734375" style="2122"/>
  </cols>
  <sheetData>
    <row r="1" spans="1:7">
      <c r="A1" s="3222" t="s">
        <v>3821</v>
      </c>
      <c r="B1" s="3222"/>
      <c r="C1" s="3222"/>
      <c r="D1" s="2121"/>
      <c r="E1" s="2121"/>
    </row>
    <row r="2" spans="1:7">
      <c r="A2" s="3223" t="s">
        <v>3822</v>
      </c>
      <c r="B2" s="3223"/>
      <c r="C2" s="3223"/>
      <c r="D2" s="2121"/>
      <c r="E2" s="2121"/>
    </row>
    <row r="3" spans="1:7">
      <c r="A3" s="3223" t="s">
        <v>1663</v>
      </c>
      <c r="B3" s="3223"/>
      <c r="C3" s="3223"/>
      <c r="D3" s="2121"/>
      <c r="E3" s="2121"/>
    </row>
    <row r="4" spans="1:7">
      <c r="A4" s="3223" t="s">
        <v>1664</v>
      </c>
      <c r="B4" s="3223"/>
      <c r="C4" s="3223"/>
      <c r="D4" s="2121"/>
      <c r="E4" s="2121"/>
    </row>
    <row r="5" spans="1:7">
      <c r="A5" s="3224" t="s">
        <v>1665</v>
      </c>
      <c r="B5" s="3224"/>
      <c r="C5" s="3224"/>
      <c r="D5" s="2121"/>
      <c r="E5" s="2121"/>
    </row>
    <row r="6" spans="1:7">
      <c r="A6" s="3225" t="s">
        <v>89</v>
      </c>
      <c r="B6" s="3225"/>
      <c r="C6" s="3225"/>
      <c r="D6" s="2121"/>
      <c r="E6" s="2121"/>
    </row>
    <row r="7" spans="1:7">
      <c r="A7" s="3223" t="s">
        <v>1329</v>
      </c>
      <c r="B7" s="3223"/>
      <c r="C7" s="3223"/>
      <c r="D7" s="2121"/>
      <c r="E7" s="2121"/>
    </row>
    <row r="8" spans="1:7">
      <c r="A8" s="3223" t="s">
        <v>3823</v>
      </c>
      <c r="B8" s="3223"/>
      <c r="C8" s="3223"/>
      <c r="D8" s="2121"/>
      <c r="E8" s="2121"/>
    </row>
    <row r="9" spans="1:7">
      <c r="A9" s="2123" t="s">
        <v>82</v>
      </c>
      <c r="B9" s="3226" t="s">
        <v>89</v>
      </c>
      <c r="C9" s="3226"/>
      <c r="D9" s="3226"/>
      <c r="E9" s="3226"/>
    </row>
    <row r="10" spans="1:7">
      <c r="A10" s="2124" t="s">
        <v>82</v>
      </c>
      <c r="B10" s="3227" t="s">
        <v>3821</v>
      </c>
      <c r="C10" s="3228"/>
      <c r="D10" s="3228"/>
      <c r="E10" s="3228"/>
    </row>
    <row r="11" spans="1:7">
      <c r="A11" s="2125" t="s">
        <v>1</v>
      </c>
      <c r="B11" s="3229" t="s">
        <v>3823</v>
      </c>
      <c r="C11" s="3230"/>
      <c r="D11" s="3230"/>
      <c r="E11" s="3230"/>
    </row>
    <row r="12" spans="1:7">
      <c r="A12" s="2125" t="s">
        <v>82</v>
      </c>
      <c r="B12" s="2126" t="s">
        <v>1331</v>
      </c>
      <c r="C12" s="3220" t="s">
        <v>1332</v>
      </c>
      <c r="D12" s="3221"/>
      <c r="E12" s="2126" t="s">
        <v>1333</v>
      </c>
    </row>
    <row r="13" spans="1:7">
      <c r="A13" s="2127" t="s">
        <v>82</v>
      </c>
      <c r="B13" s="2128" t="s">
        <v>1196</v>
      </c>
      <c r="C13" s="2129" t="s">
        <v>66</v>
      </c>
      <c r="D13" s="2129" t="s">
        <v>67</v>
      </c>
      <c r="E13" s="2128" t="s">
        <v>1196</v>
      </c>
    </row>
    <row r="14" spans="1:7" hidden="1">
      <c r="A14" s="2130" t="s">
        <v>1295</v>
      </c>
      <c r="B14" s="2131">
        <v>8934784.9299999997</v>
      </c>
      <c r="C14" s="2132">
        <v>82961456</v>
      </c>
      <c r="D14" s="2132">
        <v>78610154</v>
      </c>
      <c r="E14" s="2131">
        <v>4583482.93</v>
      </c>
    </row>
    <row r="15" spans="1:7" hidden="1">
      <c r="A15" s="2133" t="s">
        <v>557</v>
      </c>
      <c r="B15" s="2134">
        <v>2131848.9300000002</v>
      </c>
      <c r="C15" s="2135"/>
      <c r="D15" s="2136">
        <v>412000</v>
      </c>
      <c r="E15" s="2175">
        <v>2543848.9300000002</v>
      </c>
      <c r="G15" s="2122" t="s">
        <v>951</v>
      </c>
    </row>
    <row r="16" spans="1:7">
      <c r="A16" s="2133" t="s">
        <v>3866</v>
      </c>
      <c r="B16" s="2137"/>
      <c r="C16" s="2136">
        <v>4261945</v>
      </c>
      <c r="D16" s="2136">
        <v>3587841</v>
      </c>
      <c r="E16" s="2145">
        <v>674104</v>
      </c>
      <c r="G16" s="2122" t="s">
        <v>1120</v>
      </c>
    </row>
    <row r="17" spans="1:7" hidden="1">
      <c r="A17" s="2133" t="s">
        <v>3867</v>
      </c>
      <c r="B17" s="2137"/>
      <c r="C17" s="2136">
        <v>12685</v>
      </c>
      <c r="D17" s="2136">
        <v>12685</v>
      </c>
      <c r="E17" s="2137"/>
    </row>
    <row r="18" spans="1:7" hidden="1">
      <c r="A18" s="2133" t="s">
        <v>1889</v>
      </c>
      <c r="B18" s="2137"/>
      <c r="C18" s="2136">
        <v>367753</v>
      </c>
      <c r="D18" s="2136">
        <v>367753</v>
      </c>
      <c r="E18" s="2137"/>
    </row>
    <row r="19" spans="1:7" hidden="1">
      <c r="A19" s="2133" t="s">
        <v>1890</v>
      </c>
      <c r="B19" s="2138">
        <v>120000</v>
      </c>
      <c r="C19" s="2136">
        <v>1062171</v>
      </c>
      <c r="D19" s="2136">
        <v>1182171</v>
      </c>
      <c r="E19" s="2137"/>
    </row>
    <row r="20" spans="1:7">
      <c r="A20" s="2133" t="s">
        <v>3220</v>
      </c>
      <c r="B20" s="2134">
        <v>115652</v>
      </c>
      <c r="C20" s="2136">
        <v>610652</v>
      </c>
      <c r="D20" s="2135"/>
      <c r="E20" s="2145">
        <v>495000</v>
      </c>
      <c r="G20" s="2122" t="s">
        <v>1120</v>
      </c>
    </row>
    <row r="21" spans="1:7" hidden="1">
      <c r="A21" s="2133" t="s">
        <v>3868</v>
      </c>
      <c r="B21" s="2137"/>
      <c r="C21" s="2136">
        <v>72546</v>
      </c>
      <c r="D21" s="2136">
        <v>72546</v>
      </c>
      <c r="E21" s="2137"/>
    </row>
    <row r="22" spans="1:7" hidden="1">
      <c r="A22" s="2133" t="s">
        <v>3869</v>
      </c>
      <c r="B22" s="2137"/>
      <c r="C22" s="2135"/>
      <c r="D22" s="2136">
        <v>68483</v>
      </c>
      <c r="E22" s="2175">
        <v>68483</v>
      </c>
      <c r="F22" s="2308">
        <f>E22*1/4</f>
        <v>17120.75</v>
      </c>
      <c r="G22" s="2178" t="s">
        <v>4014</v>
      </c>
    </row>
    <row r="23" spans="1:7" hidden="1">
      <c r="A23" s="2133" t="s">
        <v>3870</v>
      </c>
      <c r="B23" s="2137"/>
      <c r="C23" s="2136">
        <v>38291</v>
      </c>
      <c r="D23" s="2136">
        <v>38291</v>
      </c>
      <c r="E23" s="2137"/>
    </row>
    <row r="24" spans="1:7" hidden="1">
      <c r="A24" s="2133" t="s">
        <v>3871</v>
      </c>
      <c r="B24" s="2137"/>
      <c r="C24" s="2136">
        <v>1000000</v>
      </c>
      <c r="D24" s="2136">
        <v>1000000</v>
      </c>
      <c r="E24" s="2137"/>
    </row>
    <row r="25" spans="1:7">
      <c r="A25" s="2133" t="s">
        <v>1892</v>
      </c>
      <c r="B25" s="2134">
        <v>105736</v>
      </c>
      <c r="C25" s="2136">
        <v>5714532</v>
      </c>
      <c r="D25" s="2136">
        <v>3883722</v>
      </c>
      <c r="E25" s="2145">
        <v>1725074</v>
      </c>
      <c r="G25" s="2122" t="s">
        <v>1120</v>
      </c>
    </row>
    <row r="26" spans="1:7" hidden="1">
      <c r="A26" s="2133" t="s">
        <v>3872</v>
      </c>
      <c r="B26" s="2137"/>
      <c r="C26" s="2136">
        <v>3540</v>
      </c>
      <c r="D26" s="2136">
        <v>3540</v>
      </c>
      <c r="E26" s="2137"/>
    </row>
    <row r="27" spans="1:7">
      <c r="A27" s="2133" t="s">
        <v>1379</v>
      </c>
      <c r="B27" s="2137"/>
      <c r="C27" s="2136">
        <v>16000</v>
      </c>
      <c r="D27" s="2135"/>
      <c r="E27" s="2145">
        <v>16000</v>
      </c>
      <c r="G27" s="2122" t="s">
        <v>1120</v>
      </c>
    </row>
    <row r="28" spans="1:7" hidden="1">
      <c r="A28" s="2133" t="s">
        <v>1670</v>
      </c>
      <c r="B28" s="2137"/>
      <c r="C28" s="2136">
        <v>135132</v>
      </c>
      <c r="D28" s="2136">
        <v>139786</v>
      </c>
      <c r="E28" s="2175">
        <v>4654</v>
      </c>
      <c r="G28" s="2179" t="s">
        <v>2951</v>
      </c>
    </row>
    <row r="29" spans="1:7" hidden="1">
      <c r="A29" s="2133" t="s">
        <v>3224</v>
      </c>
      <c r="B29" s="2134">
        <v>234515</v>
      </c>
      <c r="C29" s="2136">
        <v>234515</v>
      </c>
      <c r="D29" s="2135"/>
      <c r="E29" s="2137"/>
    </row>
    <row r="30" spans="1:7">
      <c r="A30" s="2133" t="s">
        <v>3873</v>
      </c>
      <c r="B30" s="2137"/>
      <c r="C30" s="2136">
        <v>1422200</v>
      </c>
      <c r="D30" s="2136">
        <v>1227200</v>
      </c>
      <c r="E30" s="2145">
        <v>195000</v>
      </c>
      <c r="G30" s="2122" t="s">
        <v>1120</v>
      </c>
    </row>
    <row r="31" spans="1:7" hidden="1">
      <c r="A31" s="2133" t="s">
        <v>3225</v>
      </c>
      <c r="B31" s="2137"/>
      <c r="C31" s="2136">
        <v>30000</v>
      </c>
      <c r="D31" s="2136">
        <v>30000</v>
      </c>
      <c r="E31" s="2137"/>
    </row>
    <row r="32" spans="1:7" hidden="1">
      <c r="A32" s="2139" t="s">
        <v>563</v>
      </c>
      <c r="B32" s="2138">
        <v>57500</v>
      </c>
      <c r="C32" s="2136">
        <v>264000</v>
      </c>
      <c r="D32" s="2136">
        <v>385000</v>
      </c>
      <c r="E32" s="2175">
        <v>63500</v>
      </c>
      <c r="G32" s="2179" t="s">
        <v>2951</v>
      </c>
    </row>
    <row r="33" spans="1:7" hidden="1">
      <c r="A33" s="2133" t="s">
        <v>3874</v>
      </c>
      <c r="B33" s="2137"/>
      <c r="C33" s="2136">
        <v>100000</v>
      </c>
      <c r="D33" s="2136">
        <v>100000</v>
      </c>
      <c r="E33" s="2137"/>
    </row>
    <row r="34" spans="1:7" hidden="1">
      <c r="A34" s="2133" t="s">
        <v>3875</v>
      </c>
      <c r="B34" s="2137"/>
      <c r="C34" s="2136">
        <v>99980</v>
      </c>
      <c r="D34" s="2136">
        <v>99980</v>
      </c>
      <c r="E34" s="2137"/>
    </row>
    <row r="35" spans="1:7" hidden="1">
      <c r="A35" s="2133" t="s">
        <v>3876</v>
      </c>
      <c r="B35" s="2137"/>
      <c r="C35" s="2135"/>
      <c r="D35" s="2136">
        <v>35636</v>
      </c>
      <c r="E35" s="2175">
        <v>35636</v>
      </c>
      <c r="G35" s="2179" t="s">
        <v>2951</v>
      </c>
    </row>
    <row r="36" spans="1:7" hidden="1">
      <c r="A36" s="2133" t="s">
        <v>1292</v>
      </c>
      <c r="B36" s="2138">
        <v>545000</v>
      </c>
      <c r="C36" s="2135"/>
      <c r="D36" s="2135"/>
      <c r="E36" s="2145">
        <v>545000</v>
      </c>
      <c r="G36" s="2122" t="s">
        <v>1121</v>
      </c>
    </row>
    <row r="37" spans="1:7" hidden="1">
      <c r="A37" s="2133" t="s">
        <v>564</v>
      </c>
      <c r="B37" s="2134">
        <v>270929</v>
      </c>
      <c r="C37" s="2136">
        <v>3453101</v>
      </c>
      <c r="D37" s="2136">
        <v>3780018</v>
      </c>
      <c r="E37" s="2175">
        <v>597846</v>
      </c>
      <c r="G37" s="2122" t="s">
        <v>2447</v>
      </c>
    </row>
    <row r="38" spans="1:7" hidden="1">
      <c r="A38" s="2133" t="s">
        <v>1896</v>
      </c>
      <c r="B38" s="2137"/>
      <c r="C38" s="2136">
        <v>23373</v>
      </c>
      <c r="D38" s="2136">
        <v>23373</v>
      </c>
      <c r="E38" s="2137"/>
    </row>
    <row r="39" spans="1:7" hidden="1">
      <c r="A39" s="2133" t="s">
        <v>565</v>
      </c>
      <c r="B39" s="2134">
        <v>421387</v>
      </c>
      <c r="C39" s="2136">
        <v>5443980</v>
      </c>
      <c r="D39" s="2136">
        <v>5469459</v>
      </c>
      <c r="E39" s="2175">
        <v>446866</v>
      </c>
      <c r="G39" s="2122" t="s">
        <v>950</v>
      </c>
    </row>
    <row r="40" spans="1:7" hidden="1">
      <c r="A40" s="2133" t="s">
        <v>971</v>
      </c>
      <c r="B40" s="2137"/>
      <c r="C40" s="2135"/>
      <c r="D40" s="2136">
        <v>495041</v>
      </c>
      <c r="E40" s="2175">
        <v>495041</v>
      </c>
      <c r="G40" s="2122" t="s">
        <v>950</v>
      </c>
    </row>
    <row r="41" spans="1:7" hidden="1">
      <c r="A41" s="2133" t="s">
        <v>3877</v>
      </c>
      <c r="B41" s="2137"/>
      <c r="C41" s="2136">
        <v>19116</v>
      </c>
      <c r="D41" s="2136">
        <v>19116</v>
      </c>
      <c r="E41" s="2137"/>
    </row>
    <row r="42" spans="1:7" hidden="1">
      <c r="A42" s="2133" t="s">
        <v>3878</v>
      </c>
      <c r="B42" s="2137"/>
      <c r="C42" s="2136">
        <v>214160</v>
      </c>
      <c r="D42" s="2136">
        <v>214160</v>
      </c>
      <c r="E42" s="2137"/>
    </row>
    <row r="43" spans="1:7" hidden="1">
      <c r="A43" s="2139" t="s">
        <v>566</v>
      </c>
      <c r="B43" s="2134">
        <v>8260</v>
      </c>
      <c r="C43" s="2136">
        <v>74581</v>
      </c>
      <c r="D43" s="2136">
        <v>66321</v>
      </c>
      <c r="E43" s="2137"/>
    </row>
    <row r="44" spans="1:7" hidden="1">
      <c r="A44" s="2133" t="s">
        <v>567</v>
      </c>
      <c r="B44" s="2134">
        <v>107694</v>
      </c>
      <c r="C44" s="2135"/>
      <c r="D44" s="2135"/>
      <c r="E44" s="2175">
        <v>107694</v>
      </c>
      <c r="G44" s="2122" t="s">
        <v>2395</v>
      </c>
    </row>
    <row r="45" spans="1:7" hidden="1">
      <c r="A45" s="2133" t="s">
        <v>1897</v>
      </c>
      <c r="B45" s="2134">
        <v>2027</v>
      </c>
      <c r="C45" s="2136">
        <v>23267</v>
      </c>
      <c r="D45" s="2136">
        <v>21240</v>
      </c>
      <c r="E45" s="2137"/>
    </row>
    <row r="46" spans="1:7" hidden="1">
      <c r="A46" s="2133" t="s">
        <v>569</v>
      </c>
      <c r="B46" s="2134">
        <v>6004261</v>
      </c>
      <c r="C46" s="2136">
        <v>53849398</v>
      </c>
      <c r="D46" s="2136">
        <v>50848041</v>
      </c>
      <c r="E46" s="2175">
        <v>3002904</v>
      </c>
      <c r="G46" s="2122" t="s">
        <v>2447</v>
      </c>
    </row>
    <row r="47" spans="1:7" hidden="1">
      <c r="A47" s="2133" t="s">
        <v>3879</v>
      </c>
      <c r="B47" s="2137"/>
      <c r="C47" s="2136">
        <v>36580</v>
      </c>
      <c r="D47" s="2136">
        <v>36580</v>
      </c>
      <c r="E47" s="2137"/>
    </row>
    <row r="48" spans="1:7" hidden="1">
      <c r="A48" s="2133" t="s">
        <v>3230</v>
      </c>
      <c r="B48" s="2134">
        <v>81000</v>
      </c>
      <c r="C48" s="2136">
        <v>891000</v>
      </c>
      <c r="D48" s="2136">
        <v>972000</v>
      </c>
      <c r="E48" s="2175">
        <v>162000</v>
      </c>
      <c r="G48" s="2122" t="s">
        <v>2395</v>
      </c>
    </row>
    <row r="49" spans="1:7" hidden="1">
      <c r="A49" s="2133" t="s">
        <v>3880</v>
      </c>
      <c r="B49" s="2137"/>
      <c r="C49" s="2136">
        <v>33040</v>
      </c>
      <c r="D49" s="2136">
        <v>33040</v>
      </c>
      <c r="E49" s="2137"/>
    </row>
    <row r="50" spans="1:7" hidden="1">
      <c r="A50" s="2133" t="s">
        <v>3881</v>
      </c>
      <c r="B50" s="2137"/>
      <c r="C50" s="2136">
        <v>177000</v>
      </c>
      <c r="D50" s="2136">
        <v>177000</v>
      </c>
      <c r="E50" s="2137"/>
    </row>
    <row r="51" spans="1:7" hidden="1">
      <c r="A51" s="2133" t="s">
        <v>3882</v>
      </c>
      <c r="B51" s="2137"/>
      <c r="C51" s="2136">
        <v>14750</v>
      </c>
      <c r="D51" s="2136">
        <v>14750</v>
      </c>
      <c r="E51" s="2137"/>
    </row>
    <row r="52" spans="1:7" hidden="1">
      <c r="A52" s="2133" t="s">
        <v>1383</v>
      </c>
      <c r="B52" s="2134">
        <v>30820</v>
      </c>
      <c r="C52" s="2136">
        <v>1145196</v>
      </c>
      <c r="D52" s="2136">
        <v>1139376</v>
      </c>
      <c r="E52" s="2175">
        <v>25000</v>
      </c>
      <c r="G52" s="2179" t="s">
        <v>2951</v>
      </c>
    </row>
    <row r="53" spans="1:7" hidden="1">
      <c r="A53" s="2133" t="s">
        <v>3883</v>
      </c>
      <c r="B53" s="2137"/>
      <c r="C53" s="2136">
        <v>57085</v>
      </c>
      <c r="D53" s="2136">
        <v>57085</v>
      </c>
      <c r="E53" s="2137"/>
    </row>
    <row r="54" spans="1:7" hidden="1">
      <c r="A54" s="2133" t="s">
        <v>3884</v>
      </c>
      <c r="B54" s="2137"/>
      <c r="C54" s="2136">
        <v>16000</v>
      </c>
      <c r="D54" s="2136">
        <v>16000</v>
      </c>
      <c r="E54" s="2137"/>
    </row>
    <row r="55" spans="1:7" hidden="1">
      <c r="A55" s="2133" t="s">
        <v>68</v>
      </c>
      <c r="B55" s="2134">
        <v>143155</v>
      </c>
      <c r="C55" s="2136">
        <v>1617227</v>
      </c>
      <c r="D55" s="2136">
        <v>2138504</v>
      </c>
      <c r="E55" s="2175">
        <v>664432</v>
      </c>
    </row>
    <row r="56" spans="1:7" hidden="1">
      <c r="A56" s="2133" t="s">
        <v>3885</v>
      </c>
      <c r="B56" s="2137"/>
      <c r="C56" s="2136">
        <v>7182</v>
      </c>
      <c r="D56" s="2136">
        <v>12613</v>
      </c>
      <c r="E56" s="2175">
        <v>5431</v>
      </c>
    </row>
    <row r="57" spans="1:7" hidden="1">
      <c r="A57" s="2133" t="s">
        <v>3886</v>
      </c>
      <c r="B57" s="2137"/>
      <c r="C57" s="2136">
        <v>75000</v>
      </c>
      <c r="D57" s="2136">
        <v>75000</v>
      </c>
      <c r="E57" s="2137"/>
    </row>
    <row r="58" spans="1:7" hidden="1">
      <c r="A58" s="2133" t="s">
        <v>1903</v>
      </c>
      <c r="B58" s="2137"/>
      <c r="C58" s="2136">
        <v>12160</v>
      </c>
      <c r="D58" s="2136">
        <v>12160</v>
      </c>
      <c r="E58" s="2137"/>
    </row>
    <row r="59" spans="1:7" hidden="1">
      <c r="A59" s="2133" t="s">
        <v>573</v>
      </c>
      <c r="B59" s="2137"/>
      <c r="C59" s="2136">
        <v>332318</v>
      </c>
      <c r="D59" s="2136">
        <v>342643</v>
      </c>
      <c r="E59" s="2175">
        <v>10325</v>
      </c>
      <c r="G59" s="2179" t="s">
        <v>2951</v>
      </c>
    </row>
    <row r="60" spans="1:7" hidden="1">
      <c r="A60" s="2130" t="s">
        <v>1291</v>
      </c>
      <c r="B60" s="2140">
        <v>2358708.86</v>
      </c>
      <c r="C60" s="2141">
        <v>159622356.16</v>
      </c>
      <c r="D60" s="2141">
        <v>165208412.16</v>
      </c>
      <c r="E60" s="2140">
        <v>7944764.8600000003</v>
      </c>
    </row>
    <row r="61" spans="1:7" hidden="1">
      <c r="A61" s="2133" t="s">
        <v>3887</v>
      </c>
      <c r="B61" s="2137"/>
      <c r="C61" s="2136">
        <v>95400</v>
      </c>
      <c r="D61" s="2136">
        <v>95400</v>
      </c>
      <c r="E61" s="2137"/>
    </row>
    <row r="62" spans="1:7" hidden="1">
      <c r="A62" s="2133" t="s">
        <v>3888</v>
      </c>
      <c r="B62" s="2137"/>
      <c r="C62" s="2136">
        <v>161332</v>
      </c>
      <c r="D62" s="2136">
        <v>161332</v>
      </c>
      <c r="E62" s="2137"/>
    </row>
    <row r="63" spans="1:7" hidden="1">
      <c r="A63" s="2133" t="s">
        <v>1290</v>
      </c>
      <c r="B63" s="2137"/>
      <c r="C63" s="2136">
        <v>187570</v>
      </c>
      <c r="D63" s="2136">
        <v>204828</v>
      </c>
      <c r="E63" s="2175">
        <v>17258</v>
      </c>
      <c r="G63" s="2179" t="s">
        <v>2951</v>
      </c>
    </row>
    <row r="64" spans="1:7" hidden="1">
      <c r="A64" s="2133" t="s">
        <v>1289</v>
      </c>
      <c r="B64" s="2134">
        <v>31916.13</v>
      </c>
      <c r="C64" s="2136">
        <v>747285</v>
      </c>
      <c r="D64" s="2136">
        <v>961409</v>
      </c>
      <c r="E64" s="2175">
        <v>246040.13</v>
      </c>
      <c r="G64" s="2179" t="s">
        <v>2951</v>
      </c>
    </row>
    <row r="65" spans="1:7" hidden="1">
      <c r="A65" s="2133" t="s">
        <v>3889</v>
      </c>
      <c r="B65" s="2137"/>
      <c r="C65" s="2136">
        <v>84110</v>
      </c>
      <c r="D65" s="2136">
        <v>84110</v>
      </c>
      <c r="E65" s="2137"/>
    </row>
    <row r="66" spans="1:7" hidden="1">
      <c r="A66" s="2133" t="s">
        <v>3239</v>
      </c>
      <c r="B66" s="2138">
        <v>28726</v>
      </c>
      <c r="C66" s="2135"/>
      <c r="D66" s="2136">
        <v>28726</v>
      </c>
      <c r="E66" s="2137"/>
    </row>
    <row r="67" spans="1:7" hidden="1">
      <c r="A67" s="2133" t="s">
        <v>3890</v>
      </c>
      <c r="B67" s="2137"/>
      <c r="C67" s="2136">
        <v>18000</v>
      </c>
      <c r="D67" s="2136">
        <v>18000</v>
      </c>
      <c r="E67" s="2137"/>
    </row>
    <row r="68" spans="1:7" hidden="1">
      <c r="A68" s="2133" t="s">
        <v>3891</v>
      </c>
      <c r="B68" s="2137"/>
      <c r="C68" s="2136">
        <v>299358</v>
      </c>
      <c r="D68" s="2136">
        <v>299358</v>
      </c>
      <c r="E68" s="2137"/>
    </row>
    <row r="69" spans="1:7" hidden="1">
      <c r="A69" s="2133" t="s">
        <v>3892</v>
      </c>
      <c r="B69" s="2137"/>
      <c r="C69" s="2136">
        <v>2572400</v>
      </c>
      <c r="D69" s="2136">
        <v>2572400</v>
      </c>
      <c r="E69" s="2137"/>
    </row>
    <row r="70" spans="1:7" hidden="1">
      <c r="A70" s="2133" t="s">
        <v>3240</v>
      </c>
      <c r="B70" s="2138">
        <v>262295</v>
      </c>
      <c r="C70" s="2135"/>
      <c r="D70" s="2136">
        <v>262295</v>
      </c>
      <c r="E70" s="2137"/>
    </row>
    <row r="71" spans="1:7">
      <c r="A71" s="2133" t="s">
        <v>1969</v>
      </c>
      <c r="B71" s="2138">
        <v>201.36</v>
      </c>
      <c r="C71" s="2136">
        <v>174776</v>
      </c>
      <c r="D71" s="2136">
        <v>167572</v>
      </c>
      <c r="E71" s="2145">
        <v>7405.36</v>
      </c>
      <c r="G71" s="2122" t="s">
        <v>1120</v>
      </c>
    </row>
    <row r="72" spans="1:7" hidden="1">
      <c r="A72" s="2133" t="s">
        <v>2522</v>
      </c>
      <c r="B72" s="2134">
        <v>14868</v>
      </c>
      <c r="C72" s="2136">
        <v>193379</v>
      </c>
      <c r="D72" s="2136">
        <v>178511</v>
      </c>
      <c r="E72" s="2137"/>
    </row>
    <row r="73" spans="1:7" hidden="1">
      <c r="A73" s="2133" t="s">
        <v>3893</v>
      </c>
      <c r="B73" s="2137"/>
      <c r="C73" s="2136">
        <v>52062</v>
      </c>
      <c r="D73" s="2136">
        <v>52062</v>
      </c>
      <c r="E73" s="2137"/>
    </row>
    <row r="74" spans="1:7" hidden="1">
      <c r="A74" s="2133" t="s">
        <v>3894</v>
      </c>
      <c r="B74" s="2137"/>
      <c r="C74" s="2136">
        <v>36016</v>
      </c>
      <c r="D74" s="2136">
        <v>42506</v>
      </c>
      <c r="E74" s="2175">
        <v>6490</v>
      </c>
      <c r="G74" s="2179" t="s">
        <v>2951</v>
      </c>
    </row>
    <row r="75" spans="1:7" hidden="1">
      <c r="A75" s="2133" t="s">
        <v>3241</v>
      </c>
      <c r="B75" s="2137"/>
      <c r="C75" s="2136">
        <v>136679</v>
      </c>
      <c r="D75" s="2136">
        <v>136679</v>
      </c>
      <c r="E75" s="2137"/>
    </row>
    <row r="76" spans="1:7" hidden="1">
      <c r="A76" s="2133" t="s">
        <v>1387</v>
      </c>
      <c r="B76" s="2137"/>
      <c r="C76" s="2136">
        <v>366919</v>
      </c>
      <c r="D76" s="2136">
        <v>366919</v>
      </c>
      <c r="E76" s="2137"/>
    </row>
    <row r="77" spans="1:7" hidden="1">
      <c r="A77" s="2133" t="s">
        <v>3895</v>
      </c>
      <c r="B77" s="2137"/>
      <c r="C77" s="2136">
        <v>149800</v>
      </c>
      <c r="D77" s="2136">
        <v>149800</v>
      </c>
      <c r="E77" s="2137"/>
    </row>
    <row r="78" spans="1:7" hidden="1">
      <c r="A78" s="2133" t="s">
        <v>3244</v>
      </c>
      <c r="B78" s="2138">
        <v>38940</v>
      </c>
      <c r="C78" s="2135"/>
      <c r="D78" s="2136">
        <v>38940</v>
      </c>
      <c r="E78" s="2137"/>
    </row>
    <row r="79" spans="1:7" hidden="1">
      <c r="A79" s="2133" t="s">
        <v>3896</v>
      </c>
      <c r="B79" s="2137"/>
      <c r="C79" s="2136">
        <v>151453</v>
      </c>
      <c r="D79" s="2136">
        <v>151453</v>
      </c>
      <c r="E79" s="2137"/>
    </row>
    <row r="80" spans="1:7" hidden="1">
      <c r="A80" s="2133" t="s">
        <v>3897</v>
      </c>
      <c r="B80" s="2137"/>
      <c r="C80" s="2136">
        <v>12573117</v>
      </c>
      <c r="D80" s="2136">
        <v>12573117</v>
      </c>
      <c r="E80" s="2137"/>
    </row>
    <row r="81" spans="1:7" hidden="1">
      <c r="A81" s="2133" t="s">
        <v>3245</v>
      </c>
      <c r="B81" s="2137"/>
      <c r="C81" s="2136">
        <v>305638</v>
      </c>
      <c r="D81" s="2136">
        <v>305638</v>
      </c>
      <c r="E81" s="2137"/>
    </row>
    <row r="82" spans="1:7" hidden="1">
      <c r="A82" s="2133" t="s">
        <v>3898</v>
      </c>
      <c r="B82" s="2137"/>
      <c r="C82" s="2135"/>
      <c r="D82" s="2136">
        <v>19657</v>
      </c>
      <c r="E82" s="2175">
        <v>19657</v>
      </c>
      <c r="G82" s="2179" t="s">
        <v>2951</v>
      </c>
    </row>
    <row r="83" spans="1:7" hidden="1">
      <c r="A83" s="2133" t="s">
        <v>2231</v>
      </c>
      <c r="B83" s="2137"/>
      <c r="C83" s="2136">
        <v>474950</v>
      </c>
      <c r="D83" s="2136">
        <v>474950</v>
      </c>
      <c r="E83" s="2137"/>
    </row>
    <row r="84" spans="1:7">
      <c r="A84" s="2133" t="s">
        <v>3899</v>
      </c>
      <c r="B84" s="2137"/>
      <c r="C84" s="2136">
        <v>72806</v>
      </c>
      <c r="D84" s="2135"/>
      <c r="E84" s="2145">
        <v>72806</v>
      </c>
      <c r="G84" s="2122" t="s">
        <v>1120</v>
      </c>
    </row>
    <row r="85" spans="1:7" hidden="1">
      <c r="A85" s="2133" t="s">
        <v>3900</v>
      </c>
      <c r="B85" s="2137"/>
      <c r="C85" s="2136">
        <v>22479</v>
      </c>
      <c r="D85" s="2136">
        <v>22479</v>
      </c>
      <c r="E85" s="2137"/>
    </row>
    <row r="86" spans="1:7" hidden="1">
      <c r="A86" s="2133" t="s">
        <v>2233</v>
      </c>
      <c r="B86" s="2137"/>
      <c r="C86" s="2136">
        <v>7185</v>
      </c>
      <c r="D86" s="2136">
        <v>7185</v>
      </c>
      <c r="E86" s="2137"/>
    </row>
    <row r="87" spans="1:7" hidden="1">
      <c r="A87" s="2133" t="s">
        <v>3901</v>
      </c>
      <c r="B87" s="2137"/>
      <c r="C87" s="2136">
        <v>310412</v>
      </c>
      <c r="D87" s="2136">
        <v>310412</v>
      </c>
      <c r="E87" s="2137"/>
    </row>
    <row r="88" spans="1:7" hidden="1">
      <c r="A88" s="2133" t="s">
        <v>3247</v>
      </c>
      <c r="B88" s="2138">
        <v>56345</v>
      </c>
      <c r="C88" s="2135"/>
      <c r="D88" s="2136">
        <v>56345</v>
      </c>
      <c r="E88" s="2137"/>
    </row>
    <row r="89" spans="1:7" hidden="1">
      <c r="A89" s="2133" t="s">
        <v>3902</v>
      </c>
      <c r="B89" s="2137"/>
      <c r="C89" s="2136">
        <v>18054</v>
      </c>
      <c r="D89" s="2136">
        <v>18054</v>
      </c>
      <c r="E89" s="2137"/>
    </row>
    <row r="90" spans="1:7" hidden="1">
      <c r="A90" s="2133" t="s">
        <v>2528</v>
      </c>
      <c r="B90" s="2134">
        <v>196012</v>
      </c>
      <c r="C90" s="2136">
        <v>1410225</v>
      </c>
      <c r="D90" s="2136">
        <v>1214213</v>
      </c>
      <c r="E90" s="2137"/>
    </row>
    <row r="91" spans="1:7" hidden="1">
      <c r="A91" s="2133" t="s">
        <v>1390</v>
      </c>
      <c r="B91" s="2134">
        <v>4025.28</v>
      </c>
      <c r="C91" s="2136">
        <v>2827258</v>
      </c>
      <c r="D91" s="2136">
        <v>3761049</v>
      </c>
      <c r="E91" s="2175">
        <v>937816.28</v>
      </c>
      <c r="G91" s="2179" t="s">
        <v>2951</v>
      </c>
    </row>
    <row r="92" spans="1:7" hidden="1">
      <c r="A92" s="2133" t="s">
        <v>1912</v>
      </c>
      <c r="B92" s="2137"/>
      <c r="C92" s="2136">
        <v>852708</v>
      </c>
      <c r="D92" s="2136">
        <v>904368</v>
      </c>
      <c r="E92" s="2175">
        <v>51660</v>
      </c>
      <c r="G92" s="2179" t="s">
        <v>2951</v>
      </c>
    </row>
    <row r="93" spans="1:7" hidden="1">
      <c r="A93" s="2133" t="s">
        <v>3903</v>
      </c>
      <c r="B93" s="2137"/>
      <c r="C93" s="2136">
        <v>24866</v>
      </c>
      <c r="D93" s="2136">
        <v>24866</v>
      </c>
      <c r="E93" s="2137"/>
    </row>
    <row r="94" spans="1:7" hidden="1">
      <c r="A94" s="2133" t="s">
        <v>3904</v>
      </c>
      <c r="B94" s="2137"/>
      <c r="C94" s="2136">
        <v>313005</v>
      </c>
      <c r="D94" s="2136">
        <v>313005</v>
      </c>
      <c r="E94" s="2137"/>
    </row>
    <row r="95" spans="1:7" hidden="1">
      <c r="A95" s="2133" t="s">
        <v>3248</v>
      </c>
      <c r="B95" s="2138">
        <v>150000</v>
      </c>
      <c r="C95" s="2136">
        <v>113214.16</v>
      </c>
      <c r="D95" s="2136">
        <v>263214.15999999997</v>
      </c>
      <c r="E95" s="2137"/>
    </row>
    <row r="96" spans="1:7" hidden="1">
      <c r="A96" s="2133" t="s">
        <v>3905</v>
      </c>
      <c r="B96" s="2137"/>
      <c r="C96" s="2136">
        <v>717440</v>
      </c>
      <c r="D96" s="2136">
        <v>717440</v>
      </c>
      <c r="E96" s="2137"/>
    </row>
    <row r="97" spans="1:7" hidden="1">
      <c r="A97" s="2133" t="s">
        <v>3906</v>
      </c>
      <c r="B97" s="2137"/>
      <c r="C97" s="2135"/>
      <c r="D97" s="2136">
        <v>40045</v>
      </c>
      <c r="E97" s="2175">
        <v>40045</v>
      </c>
      <c r="G97" s="2179" t="s">
        <v>2951</v>
      </c>
    </row>
    <row r="98" spans="1:7" hidden="1">
      <c r="A98" s="2133" t="s">
        <v>3907</v>
      </c>
      <c r="B98" s="2137"/>
      <c r="C98" s="2136">
        <v>68171</v>
      </c>
      <c r="D98" s="2136">
        <v>175646</v>
      </c>
      <c r="E98" s="2175">
        <v>107475</v>
      </c>
      <c r="G98" s="2179" t="s">
        <v>2951</v>
      </c>
    </row>
    <row r="99" spans="1:7" hidden="1">
      <c r="A99" s="2133" t="s">
        <v>2529</v>
      </c>
      <c r="B99" s="2138">
        <v>40627</v>
      </c>
      <c r="C99" s="2136">
        <v>66211</v>
      </c>
      <c r="D99" s="2136">
        <v>106838</v>
      </c>
      <c r="E99" s="2137"/>
    </row>
    <row r="100" spans="1:7" hidden="1">
      <c r="A100" s="2133" t="s">
        <v>3908</v>
      </c>
      <c r="B100" s="2137"/>
      <c r="C100" s="2136">
        <v>49883</v>
      </c>
      <c r="D100" s="2136">
        <v>80653</v>
      </c>
      <c r="E100" s="2175">
        <v>30770</v>
      </c>
      <c r="G100" s="2179" t="s">
        <v>2951</v>
      </c>
    </row>
    <row r="101" spans="1:7" hidden="1">
      <c r="A101" s="2133" t="s">
        <v>579</v>
      </c>
      <c r="B101" s="2134">
        <v>82190.559999999998</v>
      </c>
      <c r="C101" s="2136">
        <v>216386</v>
      </c>
      <c r="D101" s="2136">
        <v>159573</v>
      </c>
      <c r="E101" s="2175">
        <v>25377.56</v>
      </c>
      <c r="G101" s="2179" t="s">
        <v>2951</v>
      </c>
    </row>
    <row r="102" spans="1:7" hidden="1">
      <c r="A102" s="2133" t="s">
        <v>580</v>
      </c>
      <c r="B102" s="2137"/>
      <c r="C102" s="2136">
        <v>782812</v>
      </c>
      <c r="D102" s="2136">
        <v>782812</v>
      </c>
      <c r="E102" s="2137"/>
    </row>
    <row r="103" spans="1:7" hidden="1">
      <c r="A103" s="2133" t="s">
        <v>581</v>
      </c>
      <c r="B103" s="2137"/>
      <c r="C103" s="2136">
        <v>55342</v>
      </c>
      <c r="D103" s="2136">
        <v>55342</v>
      </c>
      <c r="E103" s="2137"/>
    </row>
    <row r="104" spans="1:7" hidden="1">
      <c r="A104" s="2133" t="s">
        <v>3909</v>
      </c>
      <c r="B104" s="2137"/>
      <c r="C104" s="2136">
        <v>561600</v>
      </c>
      <c r="D104" s="2136">
        <v>691600</v>
      </c>
      <c r="E104" s="2175">
        <v>130000</v>
      </c>
      <c r="G104" s="2179" t="s">
        <v>2951</v>
      </c>
    </row>
    <row r="105" spans="1:7" hidden="1">
      <c r="A105" s="2133" t="s">
        <v>3253</v>
      </c>
      <c r="B105" s="2134">
        <v>27419</v>
      </c>
      <c r="C105" s="2136">
        <v>27419</v>
      </c>
      <c r="D105" s="2135"/>
      <c r="E105" s="2137"/>
    </row>
    <row r="106" spans="1:7" hidden="1">
      <c r="A106" s="2133" t="s">
        <v>3910</v>
      </c>
      <c r="B106" s="2137"/>
      <c r="C106" s="2136">
        <v>306800</v>
      </c>
      <c r="D106" s="2136">
        <v>306800</v>
      </c>
      <c r="E106" s="2137"/>
    </row>
    <row r="107" spans="1:7" hidden="1">
      <c r="A107" s="2133" t="s">
        <v>1398</v>
      </c>
      <c r="B107" s="2137"/>
      <c r="C107" s="2136">
        <v>8012</v>
      </c>
      <c r="D107" s="2136">
        <v>8012</v>
      </c>
      <c r="E107" s="2137"/>
    </row>
    <row r="108" spans="1:7" hidden="1">
      <c r="A108" s="2133" t="s">
        <v>259</v>
      </c>
      <c r="B108" s="2134">
        <v>1007443.78</v>
      </c>
      <c r="C108" s="2136">
        <v>1900949</v>
      </c>
      <c r="D108" s="2136">
        <v>2317457</v>
      </c>
      <c r="E108" s="2175">
        <v>1423951.78</v>
      </c>
      <c r="G108" s="2179" t="s">
        <v>2951</v>
      </c>
    </row>
    <row r="109" spans="1:7" hidden="1">
      <c r="A109" s="2133" t="s">
        <v>3911</v>
      </c>
      <c r="B109" s="2137"/>
      <c r="C109" s="2136">
        <v>77816</v>
      </c>
      <c r="D109" s="2136">
        <v>77816</v>
      </c>
      <c r="E109" s="2137"/>
    </row>
    <row r="110" spans="1:7" hidden="1">
      <c r="A110" s="2133" t="s">
        <v>3912</v>
      </c>
      <c r="B110" s="2137"/>
      <c r="C110" s="2136">
        <v>30000</v>
      </c>
      <c r="D110" s="2136">
        <v>76676</v>
      </c>
      <c r="E110" s="2175">
        <v>46676</v>
      </c>
      <c r="G110" s="2179" t="s">
        <v>2951</v>
      </c>
    </row>
    <row r="111" spans="1:7" hidden="1">
      <c r="A111" s="2133" t="s">
        <v>2533</v>
      </c>
      <c r="B111" s="2134">
        <v>10856</v>
      </c>
      <c r="C111" s="2136">
        <v>112406</v>
      </c>
      <c r="D111" s="2136">
        <v>126932</v>
      </c>
      <c r="E111" s="2175">
        <v>25382</v>
      </c>
      <c r="G111" s="2179" t="s">
        <v>2951</v>
      </c>
    </row>
    <row r="112" spans="1:7" hidden="1">
      <c r="A112" s="2133" t="s">
        <v>3913</v>
      </c>
      <c r="B112" s="2137"/>
      <c r="C112" s="2136">
        <v>42622</v>
      </c>
      <c r="D112" s="2136">
        <v>42622</v>
      </c>
      <c r="E112" s="2137"/>
    </row>
    <row r="113" spans="1:7" hidden="1">
      <c r="A113" s="2133" t="s">
        <v>257</v>
      </c>
      <c r="B113" s="2134">
        <v>161056.78</v>
      </c>
      <c r="C113" s="2136">
        <v>3375379</v>
      </c>
      <c r="D113" s="2136">
        <v>4131776</v>
      </c>
      <c r="E113" s="2175">
        <v>917453.78</v>
      </c>
      <c r="G113" s="2179" t="s">
        <v>2951</v>
      </c>
    </row>
    <row r="114" spans="1:7" hidden="1">
      <c r="A114" s="2133" t="s">
        <v>3914</v>
      </c>
      <c r="B114" s="2137"/>
      <c r="C114" s="2136">
        <v>31860</v>
      </c>
      <c r="D114" s="2136">
        <v>31860</v>
      </c>
      <c r="E114" s="2137"/>
    </row>
    <row r="115" spans="1:7" hidden="1">
      <c r="A115" s="2133" t="s">
        <v>3256</v>
      </c>
      <c r="B115" s="2134">
        <v>49077</v>
      </c>
      <c r="C115" s="2136">
        <v>49077</v>
      </c>
      <c r="D115" s="2135"/>
      <c r="E115" s="2137"/>
    </row>
    <row r="116" spans="1:7" hidden="1">
      <c r="A116" s="2133" t="s">
        <v>3915</v>
      </c>
      <c r="B116" s="2137"/>
      <c r="C116" s="2136">
        <v>905957</v>
      </c>
      <c r="D116" s="2136">
        <v>905957</v>
      </c>
      <c r="E116" s="2137"/>
    </row>
    <row r="117" spans="1:7" hidden="1">
      <c r="A117" s="2133" t="s">
        <v>1399</v>
      </c>
      <c r="B117" s="2137"/>
      <c r="C117" s="2136">
        <v>30149</v>
      </c>
      <c r="D117" s="2136">
        <v>30149</v>
      </c>
      <c r="E117" s="2137"/>
    </row>
    <row r="118" spans="1:7" hidden="1">
      <c r="A118" s="2133" t="s">
        <v>3916</v>
      </c>
      <c r="B118" s="2137"/>
      <c r="C118" s="2136">
        <v>137379</v>
      </c>
      <c r="D118" s="2136">
        <v>151166</v>
      </c>
      <c r="E118" s="2175">
        <v>13787</v>
      </c>
      <c r="G118" s="2179" t="s">
        <v>2951</v>
      </c>
    </row>
    <row r="119" spans="1:7" hidden="1">
      <c r="A119" s="2133" t="s">
        <v>3257</v>
      </c>
      <c r="B119" s="2134">
        <v>30149</v>
      </c>
      <c r="C119" s="2136">
        <v>39766</v>
      </c>
      <c r="D119" s="2136">
        <v>9617</v>
      </c>
      <c r="E119" s="2137"/>
    </row>
    <row r="120" spans="1:7" hidden="1">
      <c r="A120" s="2133" t="s">
        <v>2535</v>
      </c>
      <c r="B120" s="2137"/>
      <c r="C120" s="2136">
        <v>24638</v>
      </c>
      <c r="D120" s="2136">
        <v>24638</v>
      </c>
      <c r="E120" s="2137"/>
    </row>
    <row r="121" spans="1:7">
      <c r="A121" s="2133" t="s">
        <v>3917</v>
      </c>
      <c r="B121" s="2137"/>
      <c r="C121" s="2136">
        <v>67545</v>
      </c>
      <c r="D121" s="2136">
        <v>15268</v>
      </c>
      <c r="E121" s="2145">
        <v>52277</v>
      </c>
      <c r="G121" s="2122" t="s">
        <v>1120</v>
      </c>
    </row>
    <row r="122" spans="1:7" hidden="1">
      <c r="A122" s="2133" t="s">
        <v>3918</v>
      </c>
      <c r="B122" s="2137"/>
      <c r="C122" s="2136">
        <v>21000</v>
      </c>
      <c r="D122" s="2136">
        <v>21000</v>
      </c>
      <c r="E122" s="2137"/>
    </row>
    <row r="123" spans="1:7" hidden="1">
      <c r="A123" s="2133" t="s">
        <v>1680</v>
      </c>
      <c r="B123" s="2137"/>
      <c r="C123" s="2136">
        <v>585280</v>
      </c>
      <c r="D123" s="2136">
        <v>585280</v>
      </c>
      <c r="E123" s="2137"/>
    </row>
    <row r="124" spans="1:7" hidden="1">
      <c r="A124" s="2133" t="s">
        <v>3919</v>
      </c>
      <c r="B124" s="2137"/>
      <c r="C124" s="2136">
        <v>16400850</v>
      </c>
      <c r="D124" s="2136">
        <v>16400850</v>
      </c>
      <c r="E124" s="2137"/>
    </row>
    <row r="125" spans="1:7" hidden="1">
      <c r="A125" s="2133" t="s">
        <v>2537</v>
      </c>
      <c r="B125" s="2137"/>
      <c r="C125" s="2136">
        <v>9794</v>
      </c>
      <c r="D125" s="2136">
        <v>9794</v>
      </c>
      <c r="E125" s="2137"/>
    </row>
    <row r="126" spans="1:7" hidden="1">
      <c r="A126" s="2133" t="s">
        <v>3920</v>
      </c>
      <c r="B126" s="2137"/>
      <c r="C126" s="2136">
        <v>15500</v>
      </c>
      <c r="D126" s="2136">
        <v>15500</v>
      </c>
      <c r="E126" s="2137"/>
    </row>
    <row r="127" spans="1:7" hidden="1">
      <c r="A127" s="2133" t="s">
        <v>1925</v>
      </c>
      <c r="B127" s="2137"/>
      <c r="C127" s="2136">
        <v>69440</v>
      </c>
      <c r="D127" s="2136">
        <v>69440</v>
      </c>
      <c r="E127" s="2137"/>
    </row>
    <row r="128" spans="1:7" hidden="1">
      <c r="A128" s="2133" t="s">
        <v>3921</v>
      </c>
      <c r="B128" s="2137"/>
      <c r="C128" s="2136">
        <v>196712</v>
      </c>
      <c r="D128" s="2136">
        <v>196712</v>
      </c>
      <c r="E128" s="2137"/>
    </row>
    <row r="129" spans="1:7" hidden="1">
      <c r="A129" s="2133" t="s">
        <v>3263</v>
      </c>
      <c r="B129" s="2134">
        <v>57089.03</v>
      </c>
      <c r="C129" s="2136">
        <v>149145</v>
      </c>
      <c r="D129" s="2136">
        <v>185429</v>
      </c>
      <c r="E129" s="2175">
        <v>93373.03</v>
      </c>
      <c r="G129" s="2179" t="s">
        <v>2951</v>
      </c>
    </row>
    <row r="130" spans="1:7" hidden="1">
      <c r="A130" s="2133" t="s">
        <v>3264</v>
      </c>
      <c r="B130" s="2134">
        <v>12680</v>
      </c>
      <c r="C130" s="2136">
        <v>12680</v>
      </c>
      <c r="D130" s="2135"/>
      <c r="E130" s="2137"/>
    </row>
    <row r="131" spans="1:7" hidden="1">
      <c r="A131" s="2133" t="s">
        <v>1926</v>
      </c>
      <c r="B131" s="2137"/>
      <c r="C131" s="2136">
        <v>1425092</v>
      </c>
      <c r="D131" s="2136">
        <v>1425092</v>
      </c>
      <c r="E131" s="2137"/>
    </row>
    <row r="132" spans="1:7" hidden="1">
      <c r="A132" s="2133" t="s">
        <v>1928</v>
      </c>
      <c r="B132" s="2137"/>
      <c r="C132" s="2136">
        <v>107965</v>
      </c>
      <c r="D132" s="2136">
        <v>107965</v>
      </c>
      <c r="E132" s="2137"/>
    </row>
    <row r="133" spans="1:7" hidden="1">
      <c r="A133" s="2133" t="s">
        <v>2106</v>
      </c>
      <c r="B133" s="2137"/>
      <c r="C133" s="2136">
        <v>241251</v>
      </c>
      <c r="D133" s="2136">
        <v>241251</v>
      </c>
      <c r="E133" s="2137"/>
    </row>
    <row r="134" spans="1:7" hidden="1">
      <c r="A134" s="2133" t="s">
        <v>3922</v>
      </c>
      <c r="B134" s="2137"/>
      <c r="C134" s="2136">
        <v>36344</v>
      </c>
      <c r="D134" s="2136">
        <v>36344</v>
      </c>
      <c r="E134" s="2137"/>
    </row>
    <row r="135" spans="1:7" hidden="1">
      <c r="A135" s="2133" t="s">
        <v>3268</v>
      </c>
      <c r="B135" s="2137"/>
      <c r="C135" s="2136">
        <v>28600</v>
      </c>
      <c r="D135" s="2136">
        <v>28600</v>
      </c>
      <c r="E135" s="2137"/>
    </row>
    <row r="136" spans="1:7" hidden="1">
      <c r="A136" s="2133" t="s">
        <v>3923</v>
      </c>
      <c r="B136" s="2137"/>
      <c r="C136" s="2136">
        <v>302675</v>
      </c>
      <c r="D136" s="2136">
        <v>302675</v>
      </c>
      <c r="E136" s="2137"/>
    </row>
    <row r="137" spans="1:7" hidden="1">
      <c r="A137" s="2133" t="s">
        <v>3924</v>
      </c>
      <c r="B137" s="2137"/>
      <c r="C137" s="2136">
        <v>457545</v>
      </c>
      <c r="D137" s="2136">
        <v>457545</v>
      </c>
      <c r="E137" s="2137"/>
    </row>
    <row r="138" spans="1:7" hidden="1">
      <c r="A138" s="2133" t="s">
        <v>1686</v>
      </c>
      <c r="B138" s="2137"/>
      <c r="C138" s="2136">
        <v>278468</v>
      </c>
      <c r="D138" s="2136">
        <v>278468</v>
      </c>
      <c r="E138" s="2137"/>
    </row>
    <row r="139" spans="1:7" hidden="1">
      <c r="A139" s="2133" t="s">
        <v>1931</v>
      </c>
      <c r="B139" s="2138">
        <v>75000</v>
      </c>
      <c r="C139" s="2136">
        <v>117340</v>
      </c>
      <c r="D139" s="2136">
        <v>192340</v>
      </c>
      <c r="E139" s="2137"/>
    </row>
    <row r="140" spans="1:7" hidden="1">
      <c r="A140" s="2133" t="s">
        <v>3925</v>
      </c>
      <c r="B140" s="2137"/>
      <c r="C140" s="2136">
        <v>70000</v>
      </c>
      <c r="D140" s="2136">
        <v>70000</v>
      </c>
      <c r="E140" s="2137"/>
    </row>
    <row r="141" spans="1:7" hidden="1">
      <c r="A141" s="2133" t="s">
        <v>3926</v>
      </c>
      <c r="B141" s="2137"/>
      <c r="C141" s="2136">
        <v>146263</v>
      </c>
      <c r="D141" s="2136">
        <v>146263</v>
      </c>
      <c r="E141" s="2137"/>
    </row>
    <row r="142" spans="1:7" hidden="1">
      <c r="A142" s="2133" t="s">
        <v>2249</v>
      </c>
      <c r="B142" s="2137"/>
      <c r="C142" s="2136">
        <v>129900</v>
      </c>
      <c r="D142" s="2136">
        <v>129900</v>
      </c>
      <c r="E142" s="2137"/>
    </row>
    <row r="143" spans="1:7" hidden="1">
      <c r="A143" s="2133" t="s">
        <v>3927</v>
      </c>
      <c r="B143" s="2137"/>
      <c r="C143" s="2136">
        <v>108560</v>
      </c>
      <c r="D143" s="2136">
        <v>108560</v>
      </c>
      <c r="E143" s="2137"/>
    </row>
    <row r="144" spans="1:7" hidden="1">
      <c r="A144" s="2133" t="s">
        <v>3928</v>
      </c>
      <c r="B144" s="2137"/>
      <c r="C144" s="2136">
        <v>268745</v>
      </c>
      <c r="D144" s="2136">
        <v>268745</v>
      </c>
      <c r="E144" s="2137"/>
    </row>
    <row r="145" spans="1:7" hidden="1">
      <c r="A145" s="2133" t="s">
        <v>3270</v>
      </c>
      <c r="B145" s="2134">
        <v>7576</v>
      </c>
      <c r="C145" s="2136">
        <v>7576</v>
      </c>
      <c r="D145" s="2135"/>
      <c r="E145" s="2137"/>
    </row>
    <row r="146" spans="1:7" hidden="1">
      <c r="A146" s="2133" t="s">
        <v>3929</v>
      </c>
      <c r="B146" s="2137"/>
      <c r="C146" s="2136">
        <v>143517</v>
      </c>
      <c r="D146" s="2136">
        <v>143517</v>
      </c>
      <c r="E146" s="2137"/>
    </row>
    <row r="147" spans="1:7">
      <c r="A147" s="2133" t="s">
        <v>1402</v>
      </c>
      <c r="B147" s="2137"/>
      <c r="C147" s="2136">
        <v>2722175</v>
      </c>
      <c r="D147" s="2136">
        <v>2482494</v>
      </c>
      <c r="E147" s="2145">
        <v>239681</v>
      </c>
      <c r="G147" s="2122" t="s">
        <v>1120</v>
      </c>
    </row>
    <row r="148" spans="1:7" hidden="1">
      <c r="A148" s="2133" t="s">
        <v>1795</v>
      </c>
      <c r="B148" s="2134">
        <v>17920</v>
      </c>
      <c r="C148" s="2136">
        <v>3354273</v>
      </c>
      <c r="D148" s="2136">
        <v>3836434</v>
      </c>
      <c r="E148" s="2175">
        <v>500081</v>
      </c>
      <c r="G148" s="2179" t="s">
        <v>2951</v>
      </c>
    </row>
    <row r="149" spans="1:7" hidden="1">
      <c r="A149" s="2133" t="s">
        <v>589</v>
      </c>
      <c r="B149" s="2138">
        <v>4142</v>
      </c>
      <c r="C149" s="2136">
        <v>73303</v>
      </c>
      <c r="D149" s="2136">
        <v>96325</v>
      </c>
      <c r="E149" s="2175">
        <v>18880</v>
      </c>
      <c r="G149" s="2179" t="s">
        <v>2951</v>
      </c>
    </row>
    <row r="150" spans="1:7">
      <c r="A150" s="2133" t="s">
        <v>3273</v>
      </c>
      <c r="B150" s="2137"/>
      <c r="C150" s="2136">
        <v>13570</v>
      </c>
      <c r="D150" s="2136">
        <v>3570</v>
      </c>
      <c r="E150" s="2145">
        <v>10000</v>
      </c>
      <c r="G150" s="2122" t="s">
        <v>1120</v>
      </c>
    </row>
    <row r="151" spans="1:7" hidden="1">
      <c r="A151" s="2133" t="s">
        <v>3930</v>
      </c>
      <c r="B151" s="2137"/>
      <c r="C151" s="2136">
        <v>50000</v>
      </c>
      <c r="D151" s="2136">
        <v>50000</v>
      </c>
      <c r="E151" s="2137"/>
    </row>
    <row r="152" spans="1:7" hidden="1">
      <c r="A152" s="2133" t="s">
        <v>3931</v>
      </c>
      <c r="B152" s="2137"/>
      <c r="C152" s="2136">
        <v>21246171</v>
      </c>
      <c r="D152" s="2136">
        <v>21246171</v>
      </c>
      <c r="E152" s="2137"/>
    </row>
    <row r="153" spans="1:7" hidden="1">
      <c r="A153" s="2133" t="s">
        <v>2252</v>
      </c>
      <c r="B153" s="2137"/>
      <c r="C153" s="2136">
        <v>629000</v>
      </c>
      <c r="D153" s="2136">
        <v>629000</v>
      </c>
      <c r="E153" s="2137"/>
    </row>
    <row r="154" spans="1:7" hidden="1">
      <c r="A154" s="2133" t="s">
        <v>3275</v>
      </c>
      <c r="B154" s="2134">
        <v>10882</v>
      </c>
      <c r="C154" s="2136">
        <v>10882</v>
      </c>
      <c r="D154" s="2135"/>
      <c r="E154" s="2137"/>
    </row>
    <row r="155" spans="1:7">
      <c r="A155" s="2133" t="s">
        <v>3276</v>
      </c>
      <c r="B155" s="2138">
        <v>141461</v>
      </c>
      <c r="C155" s="2136">
        <v>364842</v>
      </c>
      <c r="D155" s="2136">
        <v>487165</v>
      </c>
      <c r="E155" s="2145">
        <v>19138</v>
      </c>
      <c r="G155" s="2122" t="s">
        <v>1120</v>
      </c>
    </row>
    <row r="156" spans="1:7" hidden="1">
      <c r="A156" s="2133" t="s">
        <v>1934</v>
      </c>
      <c r="B156" s="2137"/>
      <c r="C156" s="2136">
        <v>77880</v>
      </c>
      <c r="D156" s="2136">
        <v>77880</v>
      </c>
      <c r="E156" s="2137"/>
    </row>
    <row r="157" spans="1:7" hidden="1">
      <c r="A157" s="2133" t="s">
        <v>3278</v>
      </c>
      <c r="B157" s="2134">
        <v>11788</v>
      </c>
      <c r="C157" s="2136">
        <v>11788</v>
      </c>
      <c r="D157" s="2135"/>
      <c r="E157" s="2137"/>
    </row>
    <row r="158" spans="1:7" hidden="1">
      <c r="A158" s="2133" t="s">
        <v>1936</v>
      </c>
      <c r="B158" s="2138">
        <v>25370</v>
      </c>
      <c r="C158" s="2136">
        <v>4012</v>
      </c>
      <c r="D158" s="2136">
        <v>29382</v>
      </c>
      <c r="E158" s="2137"/>
    </row>
    <row r="159" spans="1:7" hidden="1">
      <c r="A159" s="2133" t="s">
        <v>3932</v>
      </c>
      <c r="B159" s="2137"/>
      <c r="C159" s="2136">
        <v>12800</v>
      </c>
      <c r="D159" s="2136">
        <v>12800</v>
      </c>
      <c r="E159" s="2137"/>
    </row>
    <row r="160" spans="1:7">
      <c r="A160" s="2133" t="s">
        <v>3279</v>
      </c>
      <c r="B160" s="2134">
        <v>64853</v>
      </c>
      <c r="C160" s="2136">
        <v>259681</v>
      </c>
      <c r="D160" s="2136">
        <v>175528</v>
      </c>
      <c r="E160" s="2145">
        <v>19300</v>
      </c>
      <c r="G160" s="2122" t="s">
        <v>1120</v>
      </c>
    </row>
    <row r="161" spans="1:7">
      <c r="A161" s="2133" t="s">
        <v>2546</v>
      </c>
      <c r="B161" s="2138">
        <v>55522</v>
      </c>
      <c r="C161" s="2135"/>
      <c r="D161" s="2136">
        <v>35924</v>
      </c>
      <c r="E161" s="2145">
        <v>19598</v>
      </c>
      <c r="G161" s="2122" t="s">
        <v>1120</v>
      </c>
    </row>
    <row r="162" spans="1:7" hidden="1">
      <c r="A162" s="2133" t="s">
        <v>3280</v>
      </c>
      <c r="B162" s="2137"/>
      <c r="C162" s="2136">
        <v>1290133</v>
      </c>
      <c r="D162" s="2136">
        <v>1290133</v>
      </c>
      <c r="E162" s="2137"/>
    </row>
    <row r="163" spans="1:7" hidden="1">
      <c r="A163" s="2133" t="s">
        <v>3933</v>
      </c>
      <c r="B163" s="2137"/>
      <c r="C163" s="2136">
        <v>326076</v>
      </c>
      <c r="D163" s="2136">
        <v>326076</v>
      </c>
      <c r="E163" s="2137"/>
    </row>
    <row r="164" spans="1:7" hidden="1">
      <c r="A164" s="2133" t="s">
        <v>3934</v>
      </c>
      <c r="B164" s="2137"/>
      <c r="C164" s="2136">
        <v>44899</v>
      </c>
      <c r="D164" s="2136">
        <v>44899</v>
      </c>
      <c r="E164" s="2137"/>
    </row>
    <row r="165" spans="1:7" hidden="1">
      <c r="A165" s="2133" t="s">
        <v>3282</v>
      </c>
      <c r="B165" s="2134">
        <v>35111</v>
      </c>
      <c r="C165" s="2136">
        <v>35111</v>
      </c>
      <c r="D165" s="2135"/>
      <c r="E165" s="2137"/>
    </row>
    <row r="166" spans="1:7" hidden="1">
      <c r="A166" s="2133" t="s">
        <v>1405</v>
      </c>
      <c r="B166" s="2137"/>
      <c r="C166" s="2136">
        <v>194700</v>
      </c>
      <c r="D166" s="2136">
        <v>194700</v>
      </c>
      <c r="E166" s="2137"/>
    </row>
    <row r="167" spans="1:7" hidden="1">
      <c r="A167" s="2133" t="s">
        <v>3284</v>
      </c>
      <c r="B167" s="2134">
        <v>708</v>
      </c>
      <c r="C167" s="2136">
        <v>19189</v>
      </c>
      <c r="D167" s="2136">
        <v>18481</v>
      </c>
      <c r="E167" s="2137"/>
    </row>
    <row r="168" spans="1:7" hidden="1">
      <c r="A168" s="2133" t="s">
        <v>3285</v>
      </c>
      <c r="B168" s="2134">
        <v>82600</v>
      </c>
      <c r="C168" s="2136">
        <v>82600</v>
      </c>
      <c r="D168" s="2135"/>
      <c r="E168" s="2137"/>
    </row>
    <row r="169" spans="1:7">
      <c r="A169" s="2133" t="s">
        <v>3935</v>
      </c>
      <c r="B169" s="2137"/>
      <c r="C169" s="2136">
        <v>104539</v>
      </c>
      <c r="D169" s="2136">
        <v>64734</v>
      </c>
      <c r="E169" s="2145">
        <v>39805</v>
      </c>
      <c r="G169" s="2122" t="s">
        <v>1120</v>
      </c>
    </row>
    <row r="170" spans="1:7" hidden="1">
      <c r="A170" s="2133" t="s">
        <v>1939</v>
      </c>
      <c r="B170" s="2137"/>
      <c r="C170" s="2136">
        <v>2686317</v>
      </c>
      <c r="D170" s="2136">
        <v>2686317</v>
      </c>
      <c r="E170" s="2137"/>
    </row>
    <row r="171" spans="1:7" hidden="1">
      <c r="A171" s="2133" t="s">
        <v>1942</v>
      </c>
      <c r="B171" s="2138">
        <v>704648</v>
      </c>
      <c r="C171" s="2136">
        <v>2368471</v>
      </c>
      <c r="D171" s="2136">
        <v>3156225</v>
      </c>
      <c r="E171" s="2175">
        <v>83106</v>
      </c>
      <c r="G171" s="2179" t="s">
        <v>2951</v>
      </c>
    </row>
    <row r="172" spans="1:7" hidden="1">
      <c r="A172" s="2133" t="s">
        <v>3287</v>
      </c>
      <c r="B172" s="2137"/>
      <c r="C172" s="2136">
        <v>770858</v>
      </c>
      <c r="D172" s="2136">
        <v>843599</v>
      </c>
      <c r="E172" s="2175">
        <v>72741</v>
      </c>
      <c r="G172" s="2179" t="s">
        <v>2951</v>
      </c>
    </row>
    <row r="173" spans="1:7">
      <c r="A173" s="2133" t="s">
        <v>3936</v>
      </c>
      <c r="B173" s="2137"/>
      <c r="C173" s="2136">
        <v>105200</v>
      </c>
      <c r="D173" s="2135"/>
      <c r="E173" s="2145">
        <v>105200</v>
      </c>
      <c r="G173" s="2122" t="s">
        <v>1120</v>
      </c>
    </row>
    <row r="174" spans="1:7">
      <c r="A174" s="2133" t="s">
        <v>3288</v>
      </c>
      <c r="B174" s="2137"/>
      <c r="C174" s="2136">
        <v>752165</v>
      </c>
      <c r="D174" s="2136">
        <v>576301</v>
      </c>
      <c r="E174" s="2145">
        <v>175864</v>
      </c>
      <c r="G174" s="2122" t="s">
        <v>1120</v>
      </c>
    </row>
    <row r="175" spans="1:7" hidden="1">
      <c r="A175" s="2133" t="s">
        <v>3937</v>
      </c>
      <c r="B175" s="2137"/>
      <c r="C175" s="2136">
        <v>121450</v>
      </c>
      <c r="D175" s="2136">
        <v>121450</v>
      </c>
      <c r="E175" s="2137"/>
    </row>
    <row r="176" spans="1:7" hidden="1">
      <c r="A176" s="2133" t="s">
        <v>3938</v>
      </c>
      <c r="B176" s="2137"/>
      <c r="C176" s="2136">
        <v>95344</v>
      </c>
      <c r="D176" s="2136">
        <v>95344</v>
      </c>
      <c r="E176" s="2137"/>
    </row>
    <row r="177" spans="1:7" hidden="1">
      <c r="A177" s="2133" t="s">
        <v>3939</v>
      </c>
      <c r="B177" s="2137"/>
      <c r="C177" s="2136">
        <v>22000</v>
      </c>
      <c r="D177" s="2136">
        <v>22000</v>
      </c>
      <c r="E177" s="2137"/>
    </row>
    <row r="178" spans="1:7" hidden="1">
      <c r="A178" s="2133" t="s">
        <v>3940</v>
      </c>
      <c r="B178" s="2137"/>
      <c r="C178" s="2136">
        <v>178770</v>
      </c>
      <c r="D178" s="2136">
        <v>178770</v>
      </c>
      <c r="E178" s="2137"/>
    </row>
    <row r="179" spans="1:7" hidden="1">
      <c r="A179" s="2133" t="s">
        <v>3941</v>
      </c>
      <c r="B179" s="2137"/>
      <c r="C179" s="2136">
        <v>209950</v>
      </c>
      <c r="D179" s="2136">
        <v>209950</v>
      </c>
      <c r="E179" s="2137"/>
    </row>
    <row r="180" spans="1:7" hidden="1">
      <c r="A180" s="2133" t="s">
        <v>2555</v>
      </c>
      <c r="B180" s="2137"/>
      <c r="C180" s="2136">
        <v>48380</v>
      </c>
      <c r="D180" s="2136">
        <v>48380</v>
      </c>
      <c r="E180" s="2137"/>
    </row>
    <row r="181" spans="1:7" hidden="1">
      <c r="A181" s="2133" t="s">
        <v>1693</v>
      </c>
      <c r="B181" s="2138">
        <v>91673.62</v>
      </c>
      <c r="C181" s="2136">
        <v>1604026</v>
      </c>
      <c r="D181" s="2136">
        <v>1827264</v>
      </c>
      <c r="E181" s="2175">
        <v>131564.38</v>
      </c>
      <c r="G181" s="2179" t="s">
        <v>2951</v>
      </c>
    </row>
    <row r="182" spans="1:7" hidden="1">
      <c r="A182" s="2133" t="s">
        <v>3942</v>
      </c>
      <c r="B182" s="2137"/>
      <c r="C182" s="2136">
        <v>26400</v>
      </c>
      <c r="D182" s="2136">
        <v>26400</v>
      </c>
      <c r="E182" s="2137"/>
    </row>
    <row r="183" spans="1:7">
      <c r="A183" s="2133" t="s">
        <v>2260</v>
      </c>
      <c r="B183" s="2137"/>
      <c r="C183" s="2136">
        <v>81420</v>
      </c>
      <c r="D183" s="2135"/>
      <c r="E183" s="2145">
        <v>81420</v>
      </c>
      <c r="G183" s="2122" t="s">
        <v>1120</v>
      </c>
    </row>
    <row r="184" spans="1:7" hidden="1">
      <c r="A184" s="2133" t="s">
        <v>596</v>
      </c>
      <c r="B184" s="2137"/>
      <c r="C184" s="2136">
        <v>37717</v>
      </c>
      <c r="D184" s="2136">
        <v>225555</v>
      </c>
      <c r="E184" s="2175">
        <v>187838</v>
      </c>
      <c r="G184" s="2179" t="s">
        <v>2951</v>
      </c>
    </row>
    <row r="185" spans="1:7" hidden="1">
      <c r="A185" s="2133" t="s">
        <v>3943</v>
      </c>
      <c r="B185" s="2137"/>
      <c r="C185" s="2136">
        <v>80892</v>
      </c>
      <c r="D185" s="2136">
        <v>80892</v>
      </c>
      <c r="E185" s="2137"/>
    </row>
    <row r="186" spans="1:7" hidden="1">
      <c r="A186" s="2133" t="s">
        <v>1947</v>
      </c>
      <c r="B186" s="2134">
        <v>15741</v>
      </c>
      <c r="C186" s="2136">
        <v>2954621</v>
      </c>
      <c r="D186" s="2136">
        <v>2938880</v>
      </c>
      <c r="E186" s="2137"/>
    </row>
    <row r="187" spans="1:7" hidden="1">
      <c r="A187" s="2133" t="s">
        <v>3944</v>
      </c>
      <c r="B187" s="2137"/>
      <c r="C187" s="2135"/>
      <c r="D187" s="2136">
        <v>27612</v>
      </c>
      <c r="E187" s="2175">
        <v>27612</v>
      </c>
      <c r="G187" s="2179" t="s">
        <v>2951</v>
      </c>
    </row>
    <row r="188" spans="1:7" hidden="1">
      <c r="A188" s="2133" t="s">
        <v>3945</v>
      </c>
      <c r="B188" s="2137"/>
      <c r="C188" s="2136">
        <v>8918</v>
      </c>
      <c r="D188" s="2136">
        <v>8918</v>
      </c>
      <c r="E188" s="2137"/>
    </row>
    <row r="189" spans="1:7" hidden="1">
      <c r="A189" s="2133" t="s">
        <v>2262</v>
      </c>
      <c r="B189" s="2137"/>
      <c r="C189" s="2136">
        <v>944000</v>
      </c>
      <c r="D189" s="2136">
        <v>944000</v>
      </c>
      <c r="E189" s="2137"/>
    </row>
    <row r="190" spans="1:7" hidden="1">
      <c r="A190" s="2133" t="s">
        <v>3946</v>
      </c>
      <c r="B190" s="2137"/>
      <c r="C190" s="2136">
        <v>115846</v>
      </c>
      <c r="D190" s="2136">
        <v>115846</v>
      </c>
      <c r="E190" s="2137"/>
    </row>
    <row r="191" spans="1:7" hidden="1">
      <c r="A191" s="2133" t="s">
        <v>3947</v>
      </c>
      <c r="B191" s="2137"/>
      <c r="C191" s="2136">
        <v>206736</v>
      </c>
      <c r="D191" s="2136">
        <v>206736</v>
      </c>
      <c r="E191" s="2137"/>
    </row>
    <row r="192" spans="1:7" hidden="1">
      <c r="A192" s="2133" t="s">
        <v>3948</v>
      </c>
      <c r="B192" s="2137"/>
      <c r="C192" s="2136">
        <v>92601</v>
      </c>
      <c r="D192" s="2136">
        <v>92601</v>
      </c>
      <c r="E192" s="2137"/>
    </row>
    <row r="193" spans="1:7" hidden="1">
      <c r="A193" s="2133" t="s">
        <v>3295</v>
      </c>
      <c r="B193" s="2137"/>
      <c r="C193" s="2136">
        <v>40436</v>
      </c>
      <c r="D193" s="2136">
        <v>40436</v>
      </c>
      <c r="E193" s="2137"/>
    </row>
    <row r="194" spans="1:7" hidden="1">
      <c r="A194" s="2133" t="s">
        <v>3296</v>
      </c>
      <c r="B194" s="2134">
        <v>1496383</v>
      </c>
      <c r="C194" s="2136">
        <v>13472568</v>
      </c>
      <c r="D194" s="2136">
        <v>12143468</v>
      </c>
      <c r="E194" s="2175">
        <v>167283</v>
      </c>
      <c r="G194" s="2179" t="s">
        <v>2951</v>
      </c>
    </row>
    <row r="195" spans="1:7" hidden="1">
      <c r="A195" s="2133" t="s">
        <v>3297</v>
      </c>
      <c r="B195" s="2134">
        <v>23884</v>
      </c>
      <c r="C195" s="2136">
        <v>220600</v>
      </c>
      <c r="D195" s="2136">
        <v>196716</v>
      </c>
      <c r="E195" s="2137"/>
    </row>
    <row r="196" spans="1:7" hidden="1">
      <c r="A196" s="2133" t="s">
        <v>3302</v>
      </c>
      <c r="B196" s="2134">
        <v>12000</v>
      </c>
      <c r="C196" s="2136">
        <v>12000</v>
      </c>
      <c r="D196" s="2135"/>
      <c r="E196" s="2137"/>
    </row>
    <row r="197" spans="1:7" hidden="1">
      <c r="A197" s="2133" t="s">
        <v>3949</v>
      </c>
      <c r="B197" s="2137"/>
      <c r="C197" s="2136">
        <v>2643010</v>
      </c>
      <c r="D197" s="2136">
        <v>2643010</v>
      </c>
      <c r="E197" s="2137"/>
    </row>
    <row r="198" spans="1:7" hidden="1">
      <c r="A198" s="2133" t="s">
        <v>3950</v>
      </c>
      <c r="B198" s="2137"/>
      <c r="C198" s="2136">
        <v>142306</v>
      </c>
      <c r="D198" s="2136">
        <v>153597</v>
      </c>
      <c r="E198" s="2175">
        <v>11291</v>
      </c>
      <c r="G198" s="2179" t="s">
        <v>2951</v>
      </c>
    </row>
    <row r="199" spans="1:7" hidden="1">
      <c r="A199" s="2133" t="s">
        <v>3951</v>
      </c>
      <c r="B199" s="2137"/>
      <c r="C199" s="2136">
        <v>46431</v>
      </c>
      <c r="D199" s="2136">
        <v>56980</v>
      </c>
      <c r="E199" s="2175">
        <v>10549</v>
      </c>
      <c r="G199" s="2179" t="s">
        <v>2951</v>
      </c>
    </row>
    <row r="200" spans="1:7" hidden="1">
      <c r="A200" s="2133" t="s">
        <v>3952</v>
      </c>
      <c r="B200" s="2137"/>
      <c r="C200" s="2136">
        <v>529525</v>
      </c>
      <c r="D200" s="2136">
        <v>580019</v>
      </c>
      <c r="E200" s="2175">
        <v>50494</v>
      </c>
      <c r="G200" s="2179" t="s">
        <v>2951</v>
      </c>
    </row>
    <row r="201" spans="1:7" hidden="1">
      <c r="A201" s="2133" t="s">
        <v>3953</v>
      </c>
      <c r="B201" s="2137"/>
      <c r="C201" s="2136">
        <v>1046646</v>
      </c>
      <c r="D201" s="2136">
        <v>1072379</v>
      </c>
      <c r="E201" s="2175">
        <v>25733</v>
      </c>
      <c r="G201" s="2179" t="s">
        <v>2951</v>
      </c>
    </row>
    <row r="202" spans="1:7" hidden="1">
      <c r="A202" s="2133" t="s">
        <v>1954</v>
      </c>
      <c r="B202" s="2137"/>
      <c r="C202" s="2136">
        <v>6000</v>
      </c>
      <c r="D202" s="2136">
        <v>6000</v>
      </c>
      <c r="E202" s="2137"/>
    </row>
    <row r="203" spans="1:7" hidden="1">
      <c r="A203" s="2133" t="s">
        <v>3954</v>
      </c>
      <c r="B203" s="2137"/>
      <c r="C203" s="2136">
        <v>57621</v>
      </c>
      <c r="D203" s="2136">
        <v>57621</v>
      </c>
      <c r="E203" s="2137"/>
    </row>
    <row r="204" spans="1:7" hidden="1">
      <c r="A204" s="2133" t="s">
        <v>1696</v>
      </c>
      <c r="B204" s="2137"/>
      <c r="C204" s="2136">
        <v>1153438</v>
      </c>
      <c r="D204" s="2136">
        <v>1156919</v>
      </c>
      <c r="E204" s="2175">
        <v>3481</v>
      </c>
      <c r="G204" s="2179" t="s">
        <v>2951</v>
      </c>
    </row>
    <row r="205" spans="1:7" hidden="1">
      <c r="A205" s="2133" t="s">
        <v>3955</v>
      </c>
      <c r="B205" s="2137"/>
      <c r="C205" s="2136">
        <v>81567</v>
      </c>
      <c r="D205" s="2136">
        <v>81567</v>
      </c>
      <c r="E205" s="2137"/>
    </row>
    <row r="206" spans="1:7" hidden="1">
      <c r="A206" s="2133" t="s">
        <v>3956</v>
      </c>
      <c r="B206" s="2137"/>
      <c r="C206" s="2136">
        <v>590052</v>
      </c>
      <c r="D206" s="2136">
        <v>590052</v>
      </c>
      <c r="E206" s="2137"/>
    </row>
    <row r="207" spans="1:7" hidden="1">
      <c r="A207" s="2133" t="s">
        <v>2277</v>
      </c>
      <c r="B207" s="2137"/>
      <c r="C207" s="2136">
        <v>6472458</v>
      </c>
      <c r="D207" s="2136">
        <v>7155235</v>
      </c>
      <c r="E207" s="2175">
        <v>682777</v>
      </c>
      <c r="G207" s="2179" t="s">
        <v>2951</v>
      </c>
    </row>
    <row r="208" spans="1:7" hidden="1">
      <c r="A208" s="2133" t="s">
        <v>2563</v>
      </c>
      <c r="B208" s="2137"/>
      <c r="C208" s="2136">
        <v>39914</v>
      </c>
      <c r="D208" s="2136">
        <v>39914</v>
      </c>
      <c r="E208" s="2137"/>
    </row>
    <row r="209" spans="1:7" hidden="1">
      <c r="A209" s="2133" t="s">
        <v>3957</v>
      </c>
      <c r="B209" s="2137"/>
      <c r="C209" s="2136">
        <v>3725674</v>
      </c>
      <c r="D209" s="2136">
        <v>3779545</v>
      </c>
      <c r="E209" s="2175">
        <v>53871</v>
      </c>
      <c r="G209" s="2179" t="s">
        <v>2951</v>
      </c>
    </row>
    <row r="210" spans="1:7" hidden="1">
      <c r="A210" s="2133" t="s">
        <v>3958</v>
      </c>
      <c r="B210" s="2137"/>
      <c r="C210" s="2136">
        <v>2047500</v>
      </c>
      <c r="D210" s="2136">
        <v>2047500</v>
      </c>
      <c r="E210" s="2137"/>
    </row>
    <row r="211" spans="1:7" hidden="1">
      <c r="A211" s="2133" t="s">
        <v>3959</v>
      </c>
      <c r="B211" s="2137"/>
      <c r="C211" s="2136">
        <v>819769</v>
      </c>
      <c r="D211" s="2136">
        <v>819769</v>
      </c>
      <c r="E211" s="2137"/>
    </row>
    <row r="212" spans="1:7">
      <c r="A212" s="2139" t="s">
        <v>3960</v>
      </c>
      <c r="B212" s="2137"/>
      <c r="C212" s="2136">
        <v>7284063</v>
      </c>
      <c r="D212" s="2136">
        <v>7257985</v>
      </c>
      <c r="E212" s="2145">
        <v>26078</v>
      </c>
      <c r="G212" s="2122" t="s">
        <v>1120</v>
      </c>
    </row>
    <row r="213" spans="1:7" hidden="1">
      <c r="A213" s="2133" t="s">
        <v>2566</v>
      </c>
      <c r="B213" s="2137"/>
      <c r="C213" s="2136">
        <v>5792059</v>
      </c>
      <c r="D213" s="2136">
        <v>6187659</v>
      </c>
      <c r="E213" s="2175">
        <v>395600</v>
      </c>
      <c r="G213" s="2179" t="s">
        <v>2951</v>
      </c>
    </row>
    <row r="214" spans="1:7" hidden="1">
      <c r="A214" s="2133" t="s">
        <v>3961</v>
      </c>
      <c r="B214" s="2137"/>
      <c r="C214" s="2136">
        <v>59025</v>
      </c>
      <c r="D214" s="2136">
        <v>59025</v>
      </c>
      <c r="E214" s="2137"/>
    </row>
    <row r="215" spans="1:7" hidden="1">
      <c r="A215" s="2133" t="s">
        <v>3962</v>
      </c>
      <c r="B215" s="2137"/>
      <c r="C215" s="2136">
        <v>113389</v>
      </c>
      <c r="D215" s="2136">
        <v>127397</v>
      </c>
      <c r="E215" s="2175">
        <v>14008</v>
      </c>
      <c r="G215" s="2179" t="s">
        <v>2951</v>
      </c>
    </row>
    <row r="216" spans="1:7" hidden="1">
      <c r="A216" s="2133" t="s">
        <v>1958</v>
      </c>
      <c r="B216" s="2137"/>
      <c r="C216" s="2136">
        <v>103250</v>
      </c>
      <c r="D216" s="2136">
        <v>103250</v>
      </c>
      <c r="E216" s="2137"/>
    </row>
    <row r="217" spans="1:7" hidden="1">
      <c r="A217" s="2133" t="s">
        <v>3963</v>
      </c>
      <c r="B217" s="2137"/>
      <c r="C217" s="2136">
        <v>2155525</v>
      </c>
      <c r="D217" s="2136">
        <v>2155525</v>
      </c>
      <c r="E217" s="2137"/>
    </row>
    <row r="218" spans="1:7" hidden="1">
      <c r="A218" s="2133" t="s">
        <v>1970</v>
      </c>
      <c r="B218" s="2137"/>
      <c r="C218" s="2136">
        <v>431290</v>
      </c>
      <c r="D218" s="2136">
        <v>488520</v>
      </c>
      <c r="E218" s="2175">
        <v>57230</v>
      </c>
      <c r="G218" s="2179" t="s">
        <v>2951</v>
      </c>
    </row>
    <row r="219" spans="1:7" hidden="1">
      <c r="A219" s="2133" t="s">
        <v>3964</v>
      </c>
      <c r="B219" s="2137"/>
      <c r="C219" s="2136">
        <v>3252400</v>
      </c>
      <c r="D219" s="2136">
        <v>3252400</v>
      </c>
      <c r="E219" s="2137"/>
    </row>
    <row r="220" spans="1:7" hidden="1">
      <c r="A220" s="2133" t="s">
        <v>606</v>
      </c>
      <c r="B220" s="2134">
        <v>207275.28</v>
      </c>
      <c r="C220" s="2136">
        <v>1141943</v>
      </c>
      <c r="D220" s="2136">
        <v>963718</v>
      </c>
      <c r="E220" s="2175">
        <v>29050.28</v>
      </c>
      <c r="G220" s="2179" t="s">
        <v>2951</v>
      </c>
    </row>
    <row r="221" spans="1:7" hidden="1">
      <c r="A221" s="2133" t="s">
        <v>1962</v>
      </c>
      <c r="B221" s="2137"/>
      <c r="C221" s="2136">
        <v>127907</v>
      </c>
      <c r="D221" s="2136">
        <v>127907</v>
      </c>
      <c r="E221" s="2137"/>
    </row>
    <row r="222" spans="1:7" hidden="1">
      <c r="A222" s="2133" t="s">
        <v>3965</v>
      </c>
      <c r="B222" s="2137"/>
      <c r="C222" s="2136">
        <v>64872</v>
      </c>
      <c r="D222" s="2136">
        <v>64872</v>
      </c>
      <c r="E222" s="2137"/>
    </row>
    <row r="223" spans="1:7" hidden="1">
      <c r="A223" s="2133" t="s">
        <v>3966</v>
      </c>
      <c r="B223" s="2137"/>
      <c r="C223" s="2136">
        <v>768298</v>
      </c>
      <c r="D223" s="2136">
        <v>768298</v>
      </c>
      <c r="E223" s="2137"/>
    </row>
    <row r="224" spans="1:7" hidden="1">
      <c r="A224" s="2133" t="s">
        <v>3967</v>
      </c>
      <c r="B224" s="2137"/>
      <c r="C224" s="2136">
        <v>150136</v>
      </c>
      <c r="D224" s="2136">
        <v>150136</v>
      </c>
      <c r="E224" s="2137"/>
    </row>
    <row r="225" spans="1:7" hidden="1">
      <c r="A225" s="2133" t="s">
        <v>3968</v>
      </c>
      <c r="B225" s="2137"/>
      <c r="C225" s="2136">
        <v>223941</v>
      </c>
      <c r="D225" s="2136">
        <v>223941</v>
      </c>
      <c r="E225" s="2137"/>
    </row>
    <row r="226" spans="1:7" hidden="1">
      <c r="A226" s="2133" t="s">
        <v>1966</v>
      </c>
      <c r="B226" s="2137"/>
      <c r="C226" s="2136">
        <v>1986206</v>
      </c>
      <c r="D226" s="2136">
        <v>2116890</v>
      </c>
      <c r="E226" s="2175">
        <v>130684</v>
      </c>
      <c r="G226" s="2179" t="s">
        <v>2951</v>
      </c>
    </row>
    <row r="227" spans="1:7" hidden="1">
      <c r="A227" s="2133" t="s">
        <v>3969</v>
      </c>
      <c r="B227" s="2137"/>
      <c r="C227" s="2136">
        <v>51453</v>
      </c>
      <c r="D227" s="2136">
        <v>51453</v>
      </c>
      <c r="E227" s="2137"/>
    </row>
    <row r="228" spans="1:7" hidden="1">
      <c r="A228" s="2133" t="s">
        <v>3314</v>
      </c>
      <c r="B228" s="2134">
        <v>179181</v>
      </c>
      <c r="C228" s="2136">
        <v>623881</v>
      </c>
      <c r="D228" s="2136">
        <v>444700</v>
      </c>
      <c r="E228" s="2137"/>
    </row>
    <row r="229" spans="1:7" hidden="1">
      <c r="A229" s="2133" t="s">
        <v>3315</v>
      </c>
      <c r="B229" s="2134">
        <v>182975</v>
      </c>
      <c r="C229" s="2136">
        <v>1120013</v>
      </c>
      <c r="D229" s="2136">
        <v>2963289</v>
      </c>
      <c r="E229" s="2175">
        <v>2026251</v>
      </c>
      <c r="G229" s="2179" t="s">
        <v>2951</v>
      </c>
    </row>
    <row r="230" spans="1:7" hidden="1">
      <c r="A230" s="2133" t="s">
        <v>3970</v>
      </c>
      <c r="B230" s="2137"/>
      <c r="C230" s="2136">
        <v>102660</v>
      </c>
      <c r="D230" s="2136">
        <v>102660</v>
      </c>
      <c r="E230" s="2137"/>
    </row>
    <row r="231" spans="1:7" hidden="1">
      <c r="A231" s="2133" t="s">
        <v>608</v>
      </c>
      <c r="B231" s="2137"/>
      <c r="C231" s="2136">
        <v>44840</v>
      </c>
      <c r="D231" s="2136">
        <v>44840</v>
      </c>
      <c r="E231" s="2137"/>
    </row>
    <row r="232" spans="1:7" hidden="1">
      <c r="A232" s="2133" t="s">
        <v>2572</v>
      </c>
      <c r="B232" s="2137"/>
      <c r="C232" s="2136">
        <v>106200</v>
      </c>
      <c r="D232" s="2136">
        <v>106200</v>
      </c>
      <c r="E232" s="2137"/>
    </row>
    <row r="233" spans="1:7" hidden="1">
      <c r="A233" s="2133" t="s">
        <v>3971</v>
      </c>
      <c r="B233" s="2137"/>
      <c r="C233" s="2136">
        <v>563467</v>
      </c>
      <c r="D233" s="2136">
        <v>563467</v>
      </c>
      <c r="E233" s="2137"/>
    </row>
    <row r="234" spans="1:7" hidden="1">
      <c r="A234" s="2130" t="s">
        <v>1284</v>
      </c>
      <c r="B234" s="2142">
        <v>906866.82</v>
      </c>
      <c r="C234" s="2141">
        <v>68796271</v>
      </c>
      <c r="D234" s="2141">
        <v>65284162</v>
      </c>
      <c r="E234" s="2142">
        <v>4418975.82</v>
      </c>
    </row>
    <row r="235" spans="1:7" hidden="1">
      <c r="A235" s="2133" t="s">
        <v>3317</v>
      </c>
      <c r="B235" s="2134">
        <v>10224</v>
      </c>
      <c r="C235" s="2136">
        <v>10224</v>
      </c>
      <c r="D235" s="2135"/>
      <c r="E235" s="2137"/>
    </row>
    <row r="236" spans="1:7">
      <c r="A236" s="2133" t="s">
        <v>1420</v>
      </c>
      <c r="B236" s="2138">
        <v>103650</v>
      </c>
      <c r="C236" s="2136">
        <v>423501</v>
      </c>
      <c r="D236" s="2136">
        <v>461000</v>
      </c>
      <c r="E236" s="2145">
        <v>66151</v>
      </c>
      <c r="G236" s="2122" t="s">
        <v>1120</v>
      </c>
    </row>
    <row r="237" spans="1:7" hidden="1">
      <c r="A237" s="2133" t="s">
        <v>1421</v>
      </c>
      <c r="B237" s="2134">
        <v>9698</v>
      </c>
      <c r="C237" s="2136">
        <v>9698</v>
      </c>
      <c r="D237" s="2135"/>
      <c r="E237" s="2137"/>
    </row>
    <row r="238" spans="1:7" hidden="1">
      <c r="A238" s="2133" t="s">
        <v>1700</v>
      </c>
      <c r="B238" s="2138">
        <v>94681</v>
      </c>
      <c r="C238" s="2136">
        <v>2210490</v>
      </c>
      <c r="D238" s="2136">
        <v>2347546</v>
      </c>
      <c r="E238" s="2175">
        <v>42375</v>
      </c>
      <c r="G238" s="2179" t="s">
        <v>2951</v>
      </c>
    </row>
    <row r="239" spans="1:7" hidden="1">
      <c r="A239" s="2133" t="s">
        <v>3972</v>
      </c>
      <c r="B239" s="2137"/>
      <c r="C239" s="2136">
        <v>82827</v>
      </c>
      <c r="D239" s="2136">
        <v>82827</v>
      </c>
      <c r="E239" s="2137"/>
    </row>
    <row r="240" spans="1:7" hidden="1">
      <c r="A240" s="2133" t="s">
        <v>3973</v>
      </c>
      <c r="B240" s="2137"/>
      <c r="C240" s="2136">
        <v>9430</v>
      </c>
      <c r="D240" s="2136">
        <v>9430</v>
      </c>
      <c r="E240" s="2137"/>
    </row>
    <row r="241" spans="1:7" hidden="1">
      <c r="A241" s="2133" t="s">
        <v>3974</v>
      </c>
      <c r="B241" s="2137"/>
      <c r="C241" s="2136">
        <v>1189015</v>
      </c>
      <c r="D241" s="2136">
        <v>1189015</v>
      </c>
      <c r="E241" s="2137"/>
    </row>
    <row r="242" spans="1:7" hidden="1">
      <c r="A242" s="2133" t="s">
        <v>617</v>
      </c>
      <c r="B242" s="2138">
        <v>252828</v>
      </c>
      <c r="C242" s="2135"/>
      <c r="D242" s="2136">
        <v>252828</v>
      </c>
      <c r="E242" s="2137"/>
    </row>
    <row r="243" spans="1:7" hidden="1">
      <c r="A243" s="2133" t="s">
        <v>3319</v>
      </c>
      <c r="B243" s="2134">
        <v>337593</v>
      </c>
      <c r="C243" s="2136">
        <v>4474295</v>
      </c>
      <c r="D243" s="2136">
        <v>4508314</v>
      </c>
      <c r="E243" s="2175">
        <v>371612</v>
      </c>
      <c r="G243" s="2179" t="s">
        <v>2951</v>
      </c>
    </row>
    <row r="244" spans="1:7" hidden="1">
      <c r="A244" s="2133" t="s">
        <v>1428</v>
      </c>
      <c r="B244" s="2134">
        <v>7400</v>
      </c>
      <c r="C244" s="2136">
        <v>7400</v>
      </c>
      <c r="D244" s="2135"/>
      <c r="E244" s="2137"/>
    </row>
    <row r="245" spans="1:7" hidden="1">
      <c r="A245" s="2133" t="s">
        <v>3320</v>
      </c>
      <c r="B245" s="2134">
        <v>1435</v>
      </c>
      <c r="C245" s="2136">
        <v>1435</v>
      </c>
      <c r="D245" s="2135"/>
      <c r="E245" s="2137"/>
    </row>
    <row r="246" spans="1:7" hidden="1">
      <c r="A246" s="2133" t="s">
        <v>623</v>
      </c>
      <c r="B246" s="2137"/>
      <c r="C246" s="2136">
        <v>167732</v>
      </c>
      <c r="D246" s="2136">
        <v>167732</v>
      </c>
      <c r="E246" s="2137"/>
    </row>
    <row r="247" spans="1:7">
      <c r="A247" s="2133" t="s">
        <v>3975</v>
      </c>
      <c r="B247" s="2137"/>
      <c r="C247" s="2136">
        <v>4000000</v>
      </c>
      <c r="D247" s="2135"/>
      <c r="E247" s="2145">
        <v>4000000</v>
      </c>
      <c r="G247" s="2122" t="s">
        <v>1120</v>
      </c>
    </row>
    <row r="248" spans="1:7" hidden="1">
      <c r="A248" s="2133" t="s">
        <v>3976</v>
      </c>
      <c r="B248" s="2137"/>
      <c r="C248" s="2136">
        <v>1010544</v>
      </c>
      <c r="D248" s="2136">
        <v>1894479</v>
      </c>
      <c r="E248" s="2175">
        <v>883935</v>
      </c>
      <c r="G248" s="2179" t="s">
        <v>2951</v>
      </c>
    </row>
    <row r="249" spans="1:7" hidden="1">
      <c r="A249" s="2133" t="s">
        <v>3977</v>
      </c>
      <c r="B249" s="2137"/>
      <c r="C249" s="2136">
        <v>994536</v>
      </c>
      <c r="D249" s="2136">
        <v>994536</v>
      </c>
      <c r="E249" s="2137"/>
    </row>
    <row r="250" spans="1:7" hidden="1">
      <c r="A250" s="2133" t="s">
        <v>3978</v>
      </c>
      <c r="B250" s="2137"/>
      <c r="C250" s="2136">
        <v>630846</v>
      </c>
      <c r="D250" s="2136">
        <v>630846</v>
      </c>
      <c r="E250" s="2137"/>
    </row>
    <row r="251" spans="1:7" hidden="1">
      <c r="A251" s="2133" t="s">
        <v>2578</v>
      </c>
      <c r="B251" s="2134">
        <v>2697</v>
      </c>
      <c r="C251" s="2136">
        <v>2973795</v>
      </c>
      <c r="D251" s="2136">
        <v>3147394</v>
      </c>
      <c r="E251" s="2175">
        <v>176296</v>
      </c>
      <c r="G251" s="2179" t="s">
        <v>2951</v>
      </c>
    </row>
    <row r="252" spans="1:7">
      <c r="A252" s="2133" t="s">
        <v>3979</v>
      </c>
      <c r="B252" s="2137"/>
      <c r="C252" s="2136">
        <v>100000</v>
      </c>
      <c r="D252" s="2135"/>
      <c r="E252" s="2145">
        <v>100000</v>
      </c>
      <c r="G252" s="2122" t="s">
        <v>1120</v>
      </c>
    </row>
    <row r="253" spans="1:7" hidden="1">
      <c r="A253" s="2133" t="s">
        <v>3323</v>
      </c>
      <c r="B253" s="2138">
        <v>205750</v>
      </c>
      <c r="C253" s="2136">
        <v>1240024</v>
      </c>
      <c r="D253" s="2136">
        <v>1445774</v>
      </c>
      <c r="E253" s="2137"/>
    </row>
    <row r="254" spans="1:7" hidden="1">
      <c r="A254" s="2133" t="s">
        <v>3324</v>
      </c>
      <c r="B254" s="2138">
        <v>60000</v>
      </c>
      <c r="C254" s="2136">
        <v>1181000</v>
      </c>
      <c r="D254" s="2136">
        <v>1261611</v>
      </c>
      <c r="E254" s="2175">
        <v>20611</v>
      </c>
      <c r="G254" s="2179" t="s">
        <v>2951</v>
      </c>
    </row>
    <row r="255" spans="1:7" hidden="1">
      <c r="A255" s="2133" t="s">
        <v>3325</v>
      </c>
      <c r="B255" s="2134">
        <v>12600</v>
      </c>
      <c r="C255" s="2136">
        <v>12600</v>
      </c>
      <c r="D255" s="2135"/>
      <c r="E255" s="2137"/>
    </row>
    <row r="256" spans="1:7">
      <c r="A256" s="2133" t="s">
        <v>2292</v>
      </c>
      <c r="B256" s="2134">
        <v>19500</v>
      </c>
      <c r="C256" s="2136">
        <v>334740</v>
      </c>
      <c r="D256" s="2136">
        <v>234598</v>
      </c>
      <c r="E256" s="2145">
        <v>80642</v>
      </c>
      <c r="G256" s="2122" t="s">
        <v>1120</v>
      </c>
    </row>
    <row r="257" spans="1:7">
      <c r="A257" s="2133" t="s">
        <v>3980</v>
      </c>
      <c r="B257" s="2137"/>
      <c r="C257" s="2136">
        <v>1227200</v>
      </c>
      <c r="D257" s="2135"/>
      <c r="E257" s="2145">
        <v>1227200</v>
      </c>
      <c r="G257" s="2122" t="s">
        <v>1120</v>
      </c>
    </row>
    <row r="258" spans="1:7" hidden="1">
      <c r="A258" s="2133" t="s">
        <v>637</v>
      </c>
      <c r="B258" s="2138">
        <v>27974</v>
      </c>
      <c r="C258" s="2136">
        <v>876757</v>
      </c>
      <c r="D258" s="2136">
        <v>918908</v>
      </c>
      <c r="E258" s="2175">
        <v>14177</v>
      </c>
      <c r="G258" s="2179" t="s">
        <v>2951</v>
      </c>
    </row>
    <row r="259" spans="1:7" hidden="1">
      <c r="A259" s="2133" t="s">
        <v>1976</v>
      </c>
      <c r="B259" s="2137"/>
      <c r="C259" s="2136">
        <v>9000</v>
      </c>
      <c r="D259" s="2136">
        <v>9000</v>
      </c>
      <c r="E259" s="2137"/>
    </row>
    <row r="260" spans="1:7" hidden="1">
      <c r="A260" s="2133" t="s">
        <v>3328</v>
      </c>
      <c r="B260" s="2134">
        <v>57000</v>
      </c>
      <c r="C260" s="2136">
        <v>57000</v>
      </c>
      <c r="D260" s="2135"/>
      <c r="E260" s="2137"/>
    </row>
    <row r="261" spans="1:7">
      <c r="A261" s="2133" t="s">
        <v>645</v>
      </c>
      <c r="B261" s="2134">
        <v>13569</v>
      </c>
      <c r="C261" s="2136">
        <v>34000</v>
      </c>
      <c r="D261" s="2135"/>
      <c r="E261" s="2145">
        <v>20431</v>
      </c>
      <c r="G261" s="2122" t="s">
        <v>1120</v>
      </c>
    </row>
    <row r="262" spans="1:7">
      <c r="A262" s="2133" t="s">
        <v>2581</v>
      </c>
      <c r="B262" s="2134">
        <v>126389</v>
      </c>
      <c r="C262" s="2136">
        <v>2026298</v>
      </c>
      <c r="D262" s="2136">
        <v>1873297</v>
      </c>
      <c r="E262" s="2145">
        <v>26612</v>
      </c>
      <c r="G262" s="2122" t="s">
        <v>1120</v>
      </c>
    </row>
    <row r="263" spans="1:7">
      <c r="A263" s="2133" t="s">
        <v>3331</v>
      </c>
      <c r="B263" s="2134">
        <v>23885</v>
      </c>
      <c r="C263" s="2136">
        <v>83500</v>
      </c>
      <c r="D263" s="2136">
        <v>53443</v>
      </c>
      <c r="E263" s="2145">
        <v>6172</v>
      </c>
      <c r="G263" s="2122" t="s">
        <v>1120</v>
      </c>
    </row>
    <row r="264" spans="1:7" hidden="1">
      <c r="A264" s="2133" t="s">
        <v>3981</v>
      </c>
      <c r="B264" s="2137"/>
      <c r="C264" s="2136">
        <v>663801</v>
      </c>
      <c r="D264" s="2136">
        <v>730083</v>
      </c>
      <c r="E264" s="2175">
        <v>66282</v>
      </c>
      <c r="G264" s="2179" t="s">
        <v>2951</v>
      </c>
    </row>
    <row r="265" spans="1:7" hidden="1">
      <c r="A265" s="2133" t="s">
        <v>1703</v>
      </c>
      <c r="B265" s="2134">
        <v>45158</v>
      </c>
      <c r="C265" s="2136">
        <v>2822833</v>
      </c>
      <c r="D265" s="2136">
        <v>2983722</v>
      </c>
      <c r="E265" s="2175">
        <v>206047</v>
      </c>
      <c r="G265" s="2179" t="s">
        <v>2951</v>
      </c>
    </row>
    <row r="266" spans="1:7" hidden="1">
      <c r="A266" s="2133" t="s">
        <v>3333</v>
      </c>
      <c r="B266" s="2138">
        <v>264363</v>
      </c>
      <c r="C266" s="2136">
        <v>549663</v>
      </c>
      <c r="D266" s="2136">
        <v>814026</v>
      </c>
      <c r="E266" s="2137"/>
    </row>
    <row r="267" spans="1:7">
      <c r="A267" s="2133" t="s">
        <v>3335</v>
      </c>
      <c r="B267" s="2138">
        <v>373667</v>
      </c>
      <c r="C267" s="2136">
        <v>281718</v>
      </c>
      <c r="D267" s="2136">
        <v>247537</v>
      </c>
      <c r="E267" s="2145">
        <v>407848</v>
      </c>
      <c r="G267" s="2122" t="s">
        <v>1120</v>
      </c>
    </row>
    <row r="268" spans="1:7" hidden="1">
      <c r="A268" s="2133" t="s">
        <v>3982</v>
      </c>
      <c r="B268" s="2137"/>
      <c r="C268" s="2136">
        <v>63460</v>
      </c>
      <c r="D268" s="2136">
        <v>63460</v>
      </c>
      <c r="E268" s="2137"/>
    </row>
    <row r="269" spans="1:7">
      <c r="A269" s="2133" t="s">
        <v>1706</v>
      </c>
      <c r="B269" s="2138">
        <v>34133.82</v>
      </c>
      <c r="C269" s="2136">
        <v>8232355</v>
      </c>
      <c r="D269" s="2136">
        <v>7636517</v>
      </c>
      <c r="E269" s="2145">
        <v>629971.81999999995</v>
      </c>
      <c r="G269" s="2122" t="s">
        <v>1120</v>
      </c>
    </row>
    <row r="270" spans="1:7" hidden="1">
      <c r="A270" s="2133" t="s">
        <v>3983</v>
      </c>
      <c r="B270" s="2137"/>
      <c r="C270" s="2136">
        <v>9586</v>
      </c>
      <c r="D270" s="2136">
        <v>9586</v>
      </c>
      <c r="E270" s="2137"/>
    </row>
    <row r="271" spans="1:7" hidden="1">
      <c r="A271" s="2133" t="s">
        <v>2587</v>
      </c>
      <c r="B271" s="2134">
        <v>33166</v>
      </c>
      <c r="C271" s="2136">
        <v>2763723</v>
      </c>
      <c r="D271" s="2136">
        <v>2802009</v>
      </c>
      <c r="E271" s="2175">
        <v>71452</v>
      </c>
      <c r="G271" s="2179" t="s">
        <v>2951</v>
      </c>
    </row>
    <row r="272" spans="1:7" hidden="1">
      <c r="A272" s="2133" t="s">
        <v>3984</v>
      </c>
      <c r="B272" s="2137"/>
      <c r="C272" s="2136">
        <v>406559</v>
      </c>
      <c r="D272" s="2136">
        <v>595117</v>
      </c>
      <c r="E272" s="2175">
        <v>188558</v>
      </c>
      <c r="G272" s="2179" t="s">
        <v>2951</v>
      </c>
    </row>
    <row r="273" spans="1:7" hidden="1">
      <c r="A273" s="2133" t="s">
        <v>3341</v>
      </c>
      <c r="B273" s="2138">
        <v>200000</v>
      </c>
      <c r="C273" s="2136">
        <v>625783</v>
      </c>
      <c r="D273" s="2136">
        <v>825783</v>
      </c>
      <c r="E273" s="2137"/>
    </row>
    <row r="274" spans="1:7" hidden="1">
      <c r="A274" s="2133" t="s">
        <v>3342</v>
      </c>
      <c r="B274" s="2134">
        <v>24275</v>
      </c>
      <c r="C274" s="2136">
        <v>184875</v>
      </c>
      <c r="D274" s="2136">
        <v>160600</v>
      </c>
      <c r="E274" s="2137"/>
    </row>
    <row r="275" spans="1:7" hidden="1">
      <c r="A275" s="2133" t="s">
        <v>3985</v>
      </c>
      <c r="B275" s="2137"/>
      <c r="C275" s="2136">
        <v>22500</v>
      </c>
      <c r="D275" s="2136">
        <v>22500</v>
      </c>
      <c r="E275" s="2137"/>
    </row>
    <row r="276" spans="1:7">
      <c r="A276" s="2133" t="s">
        <v>1025</v>
      </c>
      <c r="B276" s="2134">
        <v>239596</v>
      </c>
      <c r="C276" s="2136">
        <v>5168754</v>
      </c>
      <c r="D276" s="2136">
        <v>4453500</v>
      </c>
      <c r="E276" s="2145">
        <v>475658</v>
      </c>
      <c r="G276" s="2122" t="s">
        <v>1120</v>
      </c>
    </row>
    <row r="277" spans="1:7" hidden="1">
      <c r="A277" s="2133" t="s">
        <v>3986</v>
      </c>
      <c r="B277" s="2137"/>
      <c r="C277" s="2136">
        <v>815599</v>
      </c>
      <c r="D277" s="2136">
        <v>879031</v>
      </c>
      <c r="E277" s="2175">
        <v>63432</v>
      </c>
      <c r="G277" s="2179" t="s">
        <v>2951</v>
      </c>
    </row>
    <row r="278" spans="1:7" hidden="1">
      <c r="A278" s="2133" t="s">
        <v>3343</v>
      </c>
      <c r="B278" s="2134">
        <v>4686</v>
      </c>
      <c r="C278" s="2136">
        <v>100355</v>
      </c>
      <c r="D278" s="2136">
        <v>95669</v>
      </c>
      <c r="E278" s="2137"/>
    </row>
    <row r="279" spans="1:7" hidden="1">
      <c r="A279" s="2133" t="s">
        <v>1817</v>
      </c>
      <c r="B279" s="2134">
        <v>23900</v>
      </c>
      <c r="C279" s="2136">
        <v>23900</v>
      </c>
      <c r="D279" s="2135"/>
      <c r="E279" s="2137"/>
    </row>
    <row r="280" spans="1:7" hidden="1">
      <c r="A280" s="2133" t="s">
        <v>3987</v>
      </c>
      <c r="B280" s="2137"/>
      <c r="C280" s="2136">
        <v>9913622</v>
      </c>
      <c r="D280" s="2136">
        <v>10614691</v>
      </c>
      <c r="E280" s="2175">
        <v>701069</v>
      </c>
      <c r="G280" s="2179" t="s">
        <v>2951</v>
      </c>
    </row>
    <row r="281" spans="1:7" hidden="1">
      <c r="A281" s="2133" t="s">
        <v>3345</v>
      </c>
      <c r="B281" s="2134">
        <v>30779</v>
      </c>
      <c r="C281" s="2136">
        <v>92779</v>
      </c>
      <c r="D281" s="2136">
        <v>116000</v>
      </c>
      <c r="E281" s="2175">
        <v>54000</v>
      </c>
      <c r="G281" s="2179" t="s">
        <v>2951</v>
      </c>
    </row>
    <row r="282" spans="1:7">
      <c r="A282" s="2133" t="s">
        <v>3988</v>
      </c>
      <c r="B282" s="2137"/>
      <c r="C282" s="2136">
        <v>37760</v>
      </c>
      <c r="D282" s="2135"/>
      <c r="E282" s="2145">
        <v>37760</v>
      </c>
      <c r="G282" s="2122" t="s">
        <v>1120</v>
      </c>
    </row>
    <row r="283" spans="1:7" hidden="1">
      <c r="A283" s="2133" t="s">
        <v>685</v>
      </c>
      <c r="B283" s="2138">
        <v>291000</v>
      </c>
      <c r="C283" s="2135"/>
      <c r="D283" s="2136">
        <v>291000</v>
      </c>
      <c r="E283" s="2137"/>
    </row>
    <row r="284" spans="1:7" hidden="1">
      <c r="A284" s="2133" t="s">
        <v>3989</v>
      </c>
      <c r="B284" s="2137"/>
      <c r="C284" s="2136">
        <v>2150659</v>
      </c>
      <c r="D284" s="2136">
        <v>2255547</v>
      </c>
      <c r="E284" s="2175">
        <v>104888</v>
      </c>
      <c r="G284" s="2179" t="s">
        <v>2951</v>
      </c>
    </row>
    <row r="285" spans="1:7" hidden="1">
      <c r="A285" s="2133" t="s">
        <v>3346</v>
      </c>
      <c r="B285" s="2134">
        <v>40000</v>
      </c>
      <c r="C285" s="2136">
        <v>40000</v>
      </c>
      <c r="D285" s="2135"/>
      <c r="E285" s="2137"/>
    </row>
    <row r="286" spans="1:7" hidden="1">
      <c r="A286" s="2133" t="s">
        <v>3348</v>
      </c>
      <c r="B286" s="2134">
        <v>29869</v>
      </c>
      <c r="C286" s="2136">
        <v>29869</v>
      </c>
      <c r="D286" s="2135"/>
      <c r="E286" s="2137"/>
    </row>
    <row r="287" spans="1:7" hidden="1">
      <c r="A287" s="2133" t="s">
        <v>2313</v>
      </c>
      <c r="B287" s="2137"/>
      <c r="C287" s="2136">
        <v>1048797</v>
      </c>
      <c r="D287" s="2136">
        <v>1099261</v>
      </c>
      <c r="E287" s="2175">
        <v>50464</v>
      </c>
      <c r="G287" s="2179" t="s">
        <v>2951</v>
      </c>
    </row>
    <row r="288" spans="1:7">
      <c r="A288" s="2133" t="s">
        <v>1031</v>
      </c>
      <c r="B288" s="2138">
        <v>62588</v>
      </c>
      <c r="C288" s="2136">
        <v>2970817</v>
      </c>
      <c r="D288" s="2136">
        <v>1840531</v>
      </c>
      <c r="E288" s="2145">
        <v>1192874</v>
      </c>
      <c r="G288" s="2122" t="s">
        <v>1120</v>
      </c>
    </row>
    <row r="289" spans="1:7" hidden="1">
      <c r="A289" s="2133" t="s">
        <v>3990</v>
      </c>
      <c r="B289" s="2137"/>
      <c r="C289" s="2136">
        <v>797824</v>
      </c>
      <c r="D289" s="2136">
        <v>802497</v>
      </c>
      <c r="E289" s="2175">
        <v>4673</v>
      </c>
      <c r="G289" s="2179" t="s">
        <v>2951</v>
      </c>
    </row>
    <row r="290" spans="1:7" hidden="1">
      <c r="A290" s="2133" t="s">
        <v>3351</v>
      </c>
      <c r="B290" s="2138">
        <v>29651</v>
      </c>
      <c r="C290" s="2136">
        <v>3600793</v>
      </c>
      <c r="D290" s="2136">
        <v>4462917</v>
      </c>
      <c r="E290" s="2175">
        <v>832473</v>
      </c>
      <c r="G290" s="2179" t="s">
        <v>2951</v>
      </c>
    </row>
    <row r="291" spans="1:7" hidden="1">
      <c r="A291" s="2130" t="s">
        <v>1274</v>
      </c>
      <c r="B291" s="2140">
        <v>390497</v>
      </c>
      <c r="C291" s="2141">
        <v>56960848</v>
      </c>
      <c r="D291" s="2141">
        <v>60838141</v>
      </c>
      <c r="E291" s="2140">
        <v>4267790</v>
      </c>
    </row>
    <row r="292" spans="1:7" hidden="1">
      <c r="A292" s="2133" t="s">
        <v>3991</v>
      </c>
      <c r="B292" s="2137"/>
      <c r="C292" s="2136">
        <v>6271600</v>
      </c>
      <c r="D292" s="2136">
        <v>6271600</v>
      </c>
      <c r="E292" s="2137"/>
    </row>
    <row r="293" spans="1:7" hidden="1">
      <c r="A293" s="2133" t="s">
        <v>3352</v>
      </c>
      <c r="B293" s="2134">
        <v>87500</v>
      </c>
      <c r="C293" s="2135"/>
      <c r="D293" s="2135"/>
      <c r="E293" s="2175">
        <v>87500</v>
      </c>
      <c r="G293" s="2179" t="s">
        <v>2951</v>
      </c>
    </row>
    <row r="294" spans="1:7" hidden="1">
      <c r="A294" s="2133" t="s">
        <v>3992</v>
      </c>
      <c r="B294" s="2137"/>
      <c r="C294" s="2136">
        <v>526988</v>
      </c>
      <c r="D294" s="2136">
        <v>526988</v>
      </c>
      <c r="E294" s="2137"/>
    </row>
    <row r="295" spans="1:7" hidden="1">
      <c r="A295" s="2133" t="s">
        <v>3993</v>
      </c>
      <c r="B295" s="2137"/>
      <c r="C295" s="2136">
        <v>67791</v>
      </c>
      <c r="D295" s="2136">
        <v>67791</v>
      </c>
      <c r="E295" s="2137"/>
    </row>
    <row r="296" spans="1:7" hidden="1">
      <c r="A296" s="2133" t="s">
        <v>3994</v>
      </c>
      <c r="B296" s="2137"/>
      <c r="C296" s="2136">
        <v>2950</v>
      </c>
      <c r="D296" s="2136">
        <v>2950</v>
      </c>
      <c r="E296" s="2137"/>
    </row>
    <row r="297" spans="1:7">
      <c r="A297" s="2133" t="s">
        <v>3995</v>
      </c>
      <c r="B297" s="2137"/>
      <c r="C297" s="2136">
        <v>161409</v>
      </c>
      <c r="D297" s="2136">
        <v>152169</v>
      </c>
      <c r="E297" s="2145">
        <v>9240</v>
      </c>
      <c r="G297" s="2122" t="s">
        <v>1120</v>
      </c>
    </row>
    <row r="298" spans="1:7" hidden="1">
      <c r="A298" s="2133" t="s">
        <v>3354</v>
      </c>
      <c r="B298" s="2137"/>
      <c r="C298" s="2136">
        <v>207600</v>
      </c>
      <c r="D298" s="2136">
        <v>207600</v>
      </c>
      <c r="E298" s="2137"/>
    </row>
    <row r="299" spans="1:7" hidden="1">
      <c r="A299" s="2133" t="s">
        <v>2597</v>
      </c>
      <c r="B299" s="2134">
        <v>226200</v>
      </c>
      <c r="C299" s="2136">
        <v>226200</v>
      </c>
      <c r="D299" s="2135"/>
      <c r="E299" s="2137"/>
    </row>
    <row r="300" spans="1:7" hidden="1">
      <c r="A300" s="2133" t="s">
        <v>3356</v>
      </c>
      <c r="B300" s="2137"/>
      <c r="C300" s="2136">
        <v>22715</v>
      </c>
      <c r="D300" s="2136">
        <v>22715</v>
      </c>
      <c r="E300" s="2137"/>
    </row>
    <row r="301" spans="1:7" hidden="1">
      <c r="A301" s="2133" t="s">
        <v>3996</v>
      </c>
      <c r="B301" s="2137"/>
      <c r="C301" s="2136">
        <v>100400</v>
      </c>
      <c r="D301" s="2136">
        <v>150400</v>
      </c>
      <c r="E301" s="2175">
        <v>50000</v>
      </c>
      <c r="G301" s="2179" t="s">
        <v>2951</v>
      </c>
    </row>
    <row r="302" spans="1:7" hidden="1">
      <c r="A302" s="2139" t="s">
        <v>1716</v>
      </c>
      <c r="B302" s="2138">
        <v>14911</v>
      </c>
      <c r="C302" s="2136">
        <v>1215144</v>
      </c>
      <c r="D302" s="2136">
        <v>1230055</v>
      </c>
      <c r="E302" s="2137"/>
    </row>
    <row r="303" spans="1:7" hidden="1">
      <c r="A303" s="2133" t="s">
        <v>3997</v>
      </c>
      <c r="B303" s="2137"/>
      <c r="C303" s="2136">
        <v>2655356</v>
      </c>
      <c r="D303" s="2136">
        <v>2655356</v>
      </c>
      <c r="E303" s="2137"/>
    </row>
    <row r="304" spans="1:7">
      <c r="A304" s="2133" t="s">
        <v>3998</v>
      </c>
      <c r="B304" s="2137"/>
      <c r="C304" s="2136">
        <v>500000</v>
      </c>
      <c r="D304" s="2136">
        <v>57820</v>
      </c>
      <c r="E304" s="2145">
        <v>442180</v>
      </c>
      <c r="G304" s="2122" t="s">
        <v>1120</v>
      </c>
    </row>
    <row r="305" spans="1:7" hidden="1">
      <c r="A305" s="2133" t="s">
        <v>3361</v>
      </c>
      <c r="B305" s="2138">
        <v>200289</v>
      </c>
      <c r="C305" s="2136">
        <v>21500</v>
      </c>
      <c r="D305" s="2136">
        <v>221789</v>
      </c>
      <c r="E305" s="2137"/>
    </row>
    <row r="306" spans="1:7" hidden="1">
      <c r="A306" s="2133" t="s">
        <v>3362</v>
      </c>
      <c r="B306" s="2137"/>
      <c r="C306" s="2136">
        <v>539650</v>
      </c>
      <c r="D306" s="2136">
        <v>566708</v>
      </c>
      <c r="E306" s="2175">
        <v>27058</v>
      </c>
      <c r="G306" s="2179" t="s">
        <v>2951</v>
      </c>
    </row>
    <row r="307" spans="1:7" hidden="1">
      <c r="A307" s="2133" t="s">
        <v>3999</v>
      </c>
      <c r="B307" s="2137"/>
      <c r="C307" s="2136">
        <v>496520</v>
      </c>
      <c r="D307" s="2136">
        <v>538530</v>
      </c>
      <c r="E307" s="2175">
        <v>42010</v>
      </c>
      <c r="G307" s="2179" t="s">
        <v>2951</v>
      </c>
    </row>
    <row r="308" spans="1:7" hidden="1">
      <c r="A308" s="2133" t="s">
        <v>3363</v>
      </c>
      <c r="B308" s="2137"/>
      <c r="C308" s="2136">
        <v>18408</v>
      </c>
      <c r="D308" s="2136">
        <v>18408</v>
      </c>
      <c r="E308" s="2137"/>
    </row>
    <row r="309" spans="1:7" hidden="1">
      <c r="A309" s="2133" t="s">
        <v>1977</v>
      </c>
      <c r="B309" s="2138">
        <v>209000</v>
      </c>
      <c r="C309" s="2135"/>
      <c r="D309" s="2136">
        <v>209000</v>
      </c>
      <c r="E309" s="2137"/>
    </row>
    <row r="310" spans="1:7" hidden="1">
      <c r="A310" s="2133" t="s">
        <v>4000</v>
      </c>
      <c r="B310" s="2137"/>
      <c r="C310" s="2136">
        <v>204860</v>
      </c>
      <c r="D310" s="2136">
        <v>204860</v>
      </c>
      <c r="E310" s="2137"/>
    </row>
    <row r="311" spans="1:7" hidden="1">
      <c r="A311" s="2133" t="s">
        <v>4001</v>
      </c>
      <c r="B311" s="2137"/>
      <c r="C311" s="2136">
        <v>241263</v>
      </c>
      <c r="D311" s="2136">
        <v>241263</v>
      </c>
      <c r="E311" s="2137"/>
    </row>
    <row r="312" spans="1:7" hidden="1">
      <c r="A312" s="2133" t="s">
        <v>4002</v>
      </c>
      <c r="B312" s="2137"/>
      <c r="C312" s="2136">
        <v>62433</v>
      </c>
      <c r="D312" s="2136">
        <v>62433</v>
      </c>
      <c r="E312" s="2137"/>
    </row>
    <row r="313" spans="1:7" hidden="1">
      <c r="A313" s="2133" t="s">
        <v>3364</v>
      </c>
      <c r="B313" s="2138">
        <v>50010</v>
      </c>
      <c r="C313" s="2136">
        <v>61936</v>
      </c>
      <c r="D313" s="2136">
        <v>111946</v>
      </c>
      <c r="E313" s="2137"/>
    </row>
    <row r="314" spans="1:7" hidden="1">
      <c r="A314" s="2133" t="s">
        <v>3365</v>
      </c>
      <c r="B314" s="2137"/>
      <c r="C314" s="2136">
        <v>7995068</v>
      </c>
      <c r="D314" s="2136">
        <v>8233740</v>
      </c>
      <c r="E314" s="2175">
        <v>238672</v>
      </c>
      <c r="G314" s="2179" t="s">
        <v>2951</v>
      </c>
    </row>
    <row r="315" spans="1:7" hidden="1">
      <c r="A315" s="2133" t="s">
        <v>3366</v>
      </c>
      <c r="B315" s="2137"/>
      <c r="C315" s="2136">
        <v>83300</v>
      </c>
      <c r="D315" s="2136">
        <v>83300</v>
      </c>
      <c r="E315" s="2137"/>
    </row>
    <row r="316" spans="1:7" hidden="1">
      <c r="A316" s="2133" t="s">
        <v>3367</v>
      </c>
      <c r="B316" s="2138">
        <v>22246</v>
      </c>
      <c r="C316" s="2135"/>
      <c r="D316" s="2136">
        <v>22246</v>
      </c>
      <c r="E316" s="2137"/>
    </row>
    <row r="317" spans="1:7" hidden="1">
      <c r="A317" s="2133" t="s">
        <v>2601</v>
      </c>
      <c r="B317" s="2134">
        <v>449354</v>
      </c>
      <c r="C317" s="2136">
        <v>449354</v>
      </c>
      <c r="D317" s="2135"/>
      <c r="E317" s="2137"/>
    </row>
    <row r="318" spans="1:7" hidden="1">
      <c r="A318" s="2133" t="s">
        <v>4003</v>
      </c>
      <c r="B318" s="2137"/>
      <c r="C318" s="2136">
        <v>305042</v>
      </c>
      <c r="D318" s="2136">
        <v>305042</v>
      </c>
      <c r="E318" s="2137"/>
    </row>
    <row r="319" spans="1:7" hidden="1">
      <c r="A319" s="2133" t="s">
        <v>2331</v>
      </c>
      <c r="B319" s="2138">
        <v>3718</v>
      </c>
      <c r="C319" s="2135"/>
      <c r="D319" s="2136">
        <v>3718</v>
      </c>
      <c r="E319" s="2137"/>
    </row>
    <row r="320" spans="1:7" hidden="1">
      <c r="A320" s="2133" t="s">
        <v>3369</v>
      </c>
      <c r="B320" s="2138">
        <v>49480</v>
      </c>
      <c r="C320" s="2135"/>
      <c r="D320" s="2136">
        <v>49480</v>
      </c>
      <c r="E320" s="2137"/>
    </row>
    <row r="321" spans="1:7" hidden="1">
      <c r="A321" s="2133" t="s">
        <v>3370</v>
      </c>
      <c r="B321" s="2138">
        <v>50</v>
      </c>
      <c r="C321" s="2136">
        <v>42420</v>
      </c>
      <c r="D321" s="2136">
        <v>42470</v>
      </c>
      <c r="E321" s="2137"/>
    </row>
    <row r="322" spans="1:7" hidden="1">
      <c r="A322" s="2133" t="s">
        <v>3371</v>
      </c>
      <c r="B322" s="2134">
        <v>110184</v>
      </c>
      <c r="C322" s="2136">
        <v>110184</v>
      </c>
      <c r="D322" s="2135"/>
      <c r="E322" s="2137"/>
    </row>
    <row r="323" spans="1:7" hidden="1">
      <c r="A323" s="2133" t="s">
        <v>4004</v>
      </c>
      <c r="B323" s="2137"/>
      <c r="C323" s="2136">
        <v>23378004</v>
      </c>
      <c r="D323" s="2136">
        <v>27903687</v>
      </c>
      <c r="E323" s="2175">
        <v>4525683</v>
      </c>
      <c r="G323" s="2179" t="s">
        <v>2951</v>
      </c>
    </row>
    <row r="324" spans="1:7" hidden="1">
      <c r="A324" s="2133" t="s">
        <v>3374</v>
      </c>
      <c r="B324" s="2137"/>
      <c r="C324" s="2136">
        <v>576261</v>
      </c>
      <c r="D324" s="2136">
        <v>576261</v>
      </c>
      <c r="E324" s="2137"/>
    </row>
    <row r="325" spans="1:7" hidden="1">
      <c r="A325" s="2133" t="s">
        <v>3375</v>
      </c>
      <c r="B325" s="2138">
        <v>37500</v>
      </c>
      <c r="C325" s="2136">
        <v>87285</v>
      </c>
      <c r="D325" s="2136">
        <v>124785</v>
      </c>
      <c r="E325" s="2137"/>
    </row>
    <row r="326" spans="1:7" hidden="1">
      <c r="A326" s="2133" t="s">
        <v>4005</v>
      </c>
      <c r="B326" s="2137"/>
      <c r="C326" s="2136">
        <v>45695</v>
      </c>
      <c r="D326" s="2136">
        <v>45695</v>
      </c>
      <c r="E326" s="2137"/>
    </row>
    <row r="327" spans="1:7" hidden="1">
      <c r="A327" s="2133" t="s">
        <v>4006</v>
      </c>
      <c r="B327" s="2137"/>
      <c r="C327" s="2136">
        <v>120000</v>
      </c>
      <c r="D327" s="2136">
        <v>148000</v>
      </c>
      <c r="E327" s="2175">
        <v>28000</v>
      </c>
      <c r="G327" s="2179" t="s">
        <v>2951</v>
      </c>
    </row>
    <row r="328" spans="1:7" hidden="1">
      <c r="A328" s="2133" t="s">
        <v>3376</v>
      </c>
      <c r="B328" s="2134">
        <v>20905</v>
      </c>
      <c r="C328" s="2136">
        <v>162623</v>
      </c>
      <c r="D328" s="2136">
        <v>141718</v>
      </c>
      <c r="E328" s="2137"/>
    </row>
    <row r="329" spans="1:7" hidden="1">
      <c r="A329" s="2133" t="s">
        <v>3378</v>
      </c>
      <c r="B329" s="2137"/>
      <c r="C329" s="2136">
        <v>17750</v>
      </c>
      <c r="D329" s="2136">
        <v>17750</v>
      </c>
      <c r="E329" s="2137"/>
    </row>
    <row r="330" spans="1:7">
      <c r="A330" s="2133" t="s">
        <v>4007</v>
      </c>
      <c r="B330" s="2137"/>
      <c r="C330" s="2136">
        <v>7160681</v>
      </c>
      <c r="D330" s="2136">
        <v>6985196</v>
      </c>
      <c r="E330" s="2145">
        <v>175485</v>
      </c>
      <c r="G330" s="2122" t="s">
        <v>1120</v>
      </c>
    </row>
    <row r="331" spans="1:7">
      <c r="A331" s="2133" t="s">
        <v>2604</v>
      </c>
      <c r="B331" s="2137"/>
      <c r="C331" s="2136">
        <v>1157026</v>
      </c>
      <c r="D331" s="2136">
        <v>1038871</v>
      </c>
      <c r="E331" s="2145">
        <v>118155</v>
      </c>
      <c r="G331" s="2122" t="s">
        <v>1120</v>
      </c>
    </row>
    <row r="332" spans="1:7" hidden="1">
      <c r="A332" s="2133" t="s">
        <v>3381</v>
      </c>
      <c r="B332" s="2134">
        <v>54518</v>
      </c>
      <c r="C332" s="2136">
        <v>140480</v>
      </c>
      <c r="D332" s="2136">
        <v>85962</v>
      </c>
      <c r="E332" s="2137"/>
    </row>
    <row r="333" spans="1:7" hidden="1">
      <c r="A333" s="2133" t="s">
        <v>4008</v>
      </c>
      <c r="B333" s="2137"/>
      <c r="C333" s="2136">
        <v>54518</v>
      </c>
      <c r="D333" s="2136">
        <v>54518</v>
      </c>
      <c r="E333" s="2137"/>
    </row>
    <row r="334" spans="1:7" hidden="1">
      <c r="A334" s="2133" t="s">
        <v>4009</v>
      </c>
      <c r="B334" s="2137"/>
      <c r="C334" s="2136">
        <v>641225</v>
      </c>
      <c r="D334" s="2136">
        <v>649422</v>
      </c>
      <c r="E334" s="2175">
        <v>8197</v>
      </c>
      <c r="G334" s="2179" t="s">
        <v>2951</v>
      </c>
    </row>
    <row r="335" spans="1:7" hidden="1">
      <c r="A335" s="2133" t="s">
        <v>4010</v>
      </c>
      <c r="B335" s="2137"/>
      <c r="C335" s="2136">
        <v>675000</v>
      </c>
      <c r="D335" s="2136">
        <v>680730</v>
      </c>
      <c r="E335" s="2175">
        <v>5730</v>
      </c>
      <c r="G335" s="2179" t="s">
        <v>2951</v>
      </c>
    </row>
    <row r="336" spans="1:7" hidden="1">
      <c r="A336" s="2133" t="s">
        <v>3384</v>
      </c>
      <c r="B336" s="2134">
        <v>29040</v>
      </c>
      <c r="C336" s="2136">
        <v>71072</v>
      </c>
      <c r="D336" s="2136">
        <v>42032</v>
      </c>
      <c r="E336" s="2137"/>
    </row>
    <row r="337" spans="1:5" hidden="1">
      <c r="A337" s="2133" t="s">
        <v>3385</v>
      </c>
      <c r="B337" s="2137"/>
      <c r="C337" s="2136">
        <v>83137</v>
      </c>
      <c r="D337" s="2136">
        <v>83137</v>
      </c>
      <c r="E337" s="2137"/>
    </row>
    <row r="338" spans="1:5" hidden="1">
      <c r="A338" s="2143" t="s">
        <v>75</v>
      </c>
      <c r="B338" s="2131">
        <v>10777123.970000001</v>
      </c>
      <c r="C338" s="2144">
        <v>368340931.16000003</v>
      </c>
      <c r="D338" s="2144">
        <v>369940869.16000003</v>
      </c>
      <c r="E338" s="2131">
        <v>12377061.970000001</v>
      </c>
    </row>
  </sheetData>
  <autoFilter ref="A13:G338" xr:uid="{00000000-0009-0000-0000-000021000000}">
    <filterColumn colId="6">
      <filters>
        <filter val="Trade advances"/>
      </filters>
    </filterColumn>
  </autoFilter>
  <mergeCells count="12">
    <mergeCell ref="C12:D12"/>
    <mergeCell ref="A1:C1"/>
    <mergeCell ref="A2:C2"/>
    <mergeCell ref="A3:C3"/>
    <mergeCell ref="A4:C4"/>
    <mergeCell ref="A5:C5"/>
    <mergeCell ref="A6:C6"/>
    <mergeCell ref="A7:C7"/>
    <mergeCell ref="A8:C8"/>
    <mergeCell ref="B9:E9"/>
    <mergeCell ref="B10:E10"/>
    <mergeCell ref="B11:E1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H75"/>
  <sheetViews>
    <sheetView topLeftCell="D55" zoomScale="126" zoomScaleNormal="126" workbookViewId="0">
      <selection activeCell="H75" sqref="H75"/>
    </sheetView>
  </sheetViews>
  <sheetFormatPr defaultRowHeight="14.4"/>
  <cols>
    <col min="1" max="1" width="8.5546875" customWidth="1"/>
    <col min="2" max="2" width="45.44140625" bestFit="1" customWidth="1"/>
    <col min="3" max="4" width="14.5546875" style="1760" bestFit="1" customWidth="1"/>
    <col min="5" max="5" width="13.44140625" bestFit="1" customWidth="1"/>
    <col min="6" max="6" width="103.5546875" style="1759" customWidth="1"/>
  </cols>
  <sheetData>
    <row r="2" spans="2:6">
      <c r="B2" s="254" t="s">
        <v>1</v>
      </c>
      <c r="C2" s="275" t="s">
        <v>66</v>
      </c>
      <c r="D2" s="275" t="s">
        <v>67</v>
      </c>
      <c r="F2" s="1882" t="s">
        <v>3215</v>
      </c>
    </row>
    <row r="4" spans="2:6">
      <c r="F4" s="1759" t="s">
        <v>3213</v>
      </c>
    </row>
    <row r="5" spans="2:6">
      <c r="B5" t="s">
        <v>3451</v>
      </c>
      <c r="C5" s="1760">
        <v>363483.2</v>
      </c>
      <c r="F5" s="1759" t="s">
        <v>3214</v>
      </c>
    </row>
    <row r="6" spans="2:6">
      <c r="B6" t="s">
        <v>3452</v>
      </c>
      <c r="D6" s="1760">
        <v>11630.2</v>
      </c>
      <c r="F6" s="1759" t="s">
        <v>3217</v>
      </c>
    </row>
    <row r="7" spans="2:6">
      <c r="B7" t="s">
        <v>3453</v>
      </c>
      <c r="D7" s="1760">
        <v>351853</v>
      </c>
    </row>
    <row r="8" spans="2:6">
      <c r="B8" s="254" t="s">
        <v>3454</v>
      </c>
    </row>
    <row r="10" spans="2:6">
      <c r="B10" t="s">
        <v>3590</v>
      </c>
      <c r="C10" s="1760">
        <v>11630.2</v>
      </c>
      <c r="F10" s="1882" t="s">
        <v>3440</v>
      </c>
    </row>
    <row r="11" spans="2:6">
      <c r="B11" t="s">
        <v>3589</v>
      </c>
      <c r="C11" s="1760">
        <v>351853</v>
      </c>
    </row>
    <row r="12" spans="2:6">
      <c r="B12" t="s">
        <v>3588</v>
      </c>
      <c r="D12" s="1760">
        <f>SUM(C10:C11)</f>
        <v>363483.2</v>
      </c>
      <c r="F12" s="1759" t="s">
        <v>3441</v>
      </c>
    </row>
    <row r="13" spans="2:6">
      <c r="B13" s="254" t="s">
        <v>3591</v>
      </c>
      <c r="F13" s="1759" t="s">
        <v>3442</v>
      </c>
    </row>
    <row r="14" spans="2:6">
      <c r="F14" s="1759" t="s">
        <v>3447</v>
      </c>
    </row>
    <row r="15" spans="2:6">
      <c r="B15" t="s">
        <v>3592</v>
      </c>
      <c r="C15" s="1760">
        <v>351853</v>
      </c>
      <c r="F15" s="1759" t="s">
        <v>3459</v>
      </c>
    </row>
    <row r="16" spans="2:6">
      <c r="B16" t="s">
        <v>3453</v>
      </c>
      <c r="D16" s="1760">
        <v>351853</v>
      </c>
    </row>
    <row r="18" spans="2:6">
      <c r="B18" t="s">
        <v>3465</v>
      </c>
      <c r="C18" s="1760">
        <v>4861273</v>
      </c>
      <c r="F18" s="1882" t="s">
        <v>3456</v>
      </c>
    </row>
    <row r="19" spans="2:6">
      <c r="B19" t="s">
        <v>3466</v>
      </c>
      <c r="D19" s="1760">
        <f>C18</f>
        <v>4861273</v>
      </c>
      <c r="F19" s="1759" t="s">
        <v>3460</v>
      </c>
    </row>
    <row r="20" spans="2:6">
      <c r="F20" s="1759" t="s">
        <v>3461</v>
      </c>
    </row>
    <row r="21" spans="2:6" ht="28.8">
      <c r="B21" t="s">
        <v>3541</v>
      </c>
      <c r="C21" s="1760">
        <v>10000</v>
      </c>
      <c r="E21" s="371"/>
      <c r="F21" s="1759" t="s">
        <v>3457</v>
      </c>
    </row>
    <row r="22" spans="2:6">
      <c r="B22" t="s">
        <v>3477</v>
      </c>
      <c r="D22" s="1760">
        <v>10000</v>
      </c>
    </row>
    <row r="23" spans="2:6">
      <c r="B23" t="s">
        <v>3478</v>
      </c>
    </row>
    <row r="24" spans="2:6">
      <c r="F24" s="1882" t="s">
        <v>3491</v>
      </c>
    </row>
    <row r="25" spans="2:6" ht="28.8">
      <c r="F25" s="1759" t="s">
        <v>3492</v>
      </c>
    </row>
    <row r="26" spans="2:6">
      <c r="F26" s="1759" t="s">
        <v>3547</v>
      </c>
    </row>
    <row r="27" spans="2:6">
      <c r="B27" t="s">
        <v>3594</v>
      </c>
      <c r="C27" s="1760">
        <v>4623</v>
      </c>
      <c r="F27" s="1759" t="s">
        <v>3548</v>
      </c>
    </row>
    <row r="28" spans="2:6">
      <c r="B28" t="s">
        <v>3544</v>
      </c>
      <c r="D28" s="1760">
        <v>4623</v>
      </c>
    </row>
    <row r="29" spans="2:6">
      <c r="B29" t="s">
        <v>3545</v>
      </c>
    </row>
    <row r="31" spans="2:6">
      <c r="B31" t="s">
        <v>3212</v>
      </c>
      <c r="C31" s="1760">
        <v>3523646.52</v>
      </c>
    </row>
    <row r="32" spans="2:6">
      <c r="B32" t="s">
        <v>3216</v>
      </c>
      <c r="D32" s="1760">
        <f>C31</f>
        <v>3523646.52</v>
      </c>
    </row>
    <row r="34" spans="2:5">
      <c r="B34" t="s">
        <v>3439</v>
      </c>
      <c r="C34" s="1760">
        <v>2893616</v>
      </c>
    </row>
    <row r="35" spans="2:5">
      <c r="B35" t="s">
        <v>3438</v>
      </c>
      <c r="D35" s="1760">
        <f>C34</f>
        <v>2893616</v>
      </c>
    </row>
    <row r="36" spans="2:5">
      <c r="B36" t="s">
        <v>3596</v>
      </c>
    </row>
    <row r="39" spans="2:5">
      <c r="B39" s="1867" t="s">
        <v>3546</v>
      </c>
    </row>
    <row r="40" spans="2:5">
      <c r="B40" t="s">
        <v>3543</v>
      </c>
      <c r="C40" s="1760">
        <v>242010.93</v>
      </c>
      <c r="E40" t="s">
        <v>3621</v>
      </c>
    </row>
    <row r="41" spans="2:5">
      <c r="B41" t="s">
        <v>3597</v>
      </c>
      <c r="D41" s="1760">
        <f>C40</f>
        <v>242010.93</v>
      </c>
    </row>
    <row r="43" spans="2:5">
      <c r="B43" t="s">
        <v>3444</v>
      </c>
      <c r="C43" s="1760">
        <v>412000</v>
      </c>
    </row>
    <row r="44" spans="2:5">
      <c r="B44" t="s">
        <v>3443</v>
      </c>
      <c r="D44" s="1760">
        <f>C43</f>
        <v>412000</v>
      </c>
    </row>
    <row r="46" spans="2:5">
      <c r="B46" t="s">
        <v>3605</v>
      </c>
      <c r="C46" s="1760">
        <f>1156073+61882+13500</f>
        <v>1231455</v>
      </c>
    </row>
    <row r="47" spans="2:5">
      <c r="B47" t="s">
        <v>3606</v>
      </c>
      <c r="D47" s="1760">
        <f>C46</f>
        <v>1231455</v>
      </c>
    </row>
    <row r="49" spans="1:8">
      <c r="B49" t="s">
        <v>295</v>
      </c>
      <c r="C49" s="1760">
        <f>C46</f>
        <v>1231455</v>
      </c>
    </row>
    <row r="50" spans="1:8">
      <c r="B50" t="s">
        <v>3607</v>
      </c>
      <c r="D50" s="1760">
        <f>C49</f>
        <v>1231455</v>
      </c>
    </row>
    <row r="52" spans="1:8">
      <c r="B52" t="s">
        <v>295</v>
      </c>
      <c r="C52" s="1760">
        <v>13500</v>
      </c>
    </row>
    <row r="53" spans="1:8">
      <c r="B53" t="s">
        <v>3608</v>
      </c>
      <c r="D53" s="1760">
        <v>13500</v>
      </c>
    </row>
    <row r="55" spans="1:8">
      <c r="B55" t="s">
        <v>3617</v>
      </c>
      <c r="C55" s="1760">
        <v>1210432</v>
      </c>
      <c r="E55" s="1760"/>
      <c r="F55" s="1909"/>
    </row>
    <row r="56" spans="1:8">
      <c r="B56" t="s">
        <v>3606</v>
      </c>
      <c r="D56" s="1760">
        <f>SUM(C55:C55)</f>
        <v>1210432</v>
      </c>
      <c r="E56" s="1760"/>
      <c r="F56" s="1909"/>
    </row>
    <row r="57" spans="1:8">
      <c r="E57" s="1760"/>
    </row>
    <row r="58" spans="1:8">
      <c r="B58" t="s">
        <v>3493</v>
      </c>
      <c r="C58" s="1760">
        <f>SUM(D59:D61)</f>
        <v>1256448</v>
      </c>
      <c r="F58" t="s">
        <v>3615</v>
      </c>
      <c r="G58" s="1760"/>
      <c r="H58" s="1760"/>
    </row>
    <row r="59" spans="1:8">
      <c r="B59" t="s">
        <v>3612</v>
      </c>
      <c r="D59" s="1760">
        <f>1136165+115</f>
        <v>1136280</v>
      </c>
    </row>
    <row r="60" spans="1:8">
      <c r="B60" t="s">
        <v>3614</v>
      </c>
      <c r="D60" s="1760">
        <f>71764+45</f>
        <v>71809</v>
      </c>
      <c r="E60" s="371"/>
    </row>
    <row r="61" spans="1:8">
      <c r="B61" t="s">
        <v>3616</v>
      </c>
      <c r="D61" s="1760">
        <f>48352+7</f>
        <v>48359</v>
      </c>
      <c r="F61" s="1909"/>
    </row>
    <row r="62" spans="1:8">
      <c r="B62" t="s">
        <v>3494</v>
      </c>
    </row>
    <row r="64" spans="1:8">
      <c r="A64" s="1857" t="s">
        <v>3551</v>
      </c>
      <c r="B64" t="s">
        <v>3549</v>
      </c>
    </row>
    <row r="65" spans="2:6">
      <c r="B65" t="s">
        <v>3550</v>
      </c>
    </row>
    <row r="67" spans="2:6">
      <c r="E67" t="s">
        <v>3600</v>
      </c>
      <c r="F67" s="1759" t="s">
        <v>3461</v>
      </c>
    </row>
    <row r="68" spans="2:6">
      <c r="B68" t="s">
        <v>3601</v>
      </c>
      <c r="C68" s="1760">
        <v>34236117.149999991</v>
      </c>
    </row>
    <row r="69" spans="2:6">
      <c r="B69" t="s">
        <v>3602</v>
      </c>
      <c r="D69" s="1760">
        <f>C68</f>
        <v>34236117.149999991</v>
      </c>
    </row>
    <row r="71" spans="2:6">
      <c r="B71" t="s">
        <v>3609</v>
      </c>
      <c r="C71" s="1760">
        <v>3059211</v>
      </c>
    </row>
    <row r="72" spans="2:6">
      <c r="B72" t="s">
        <v>3610</v>
      </c>
      <c r="C72" s="1760">
        <v>291836</v>
      </c>
    </row>
    <row r="73" spans="2:6">
      <c r="B73" t="s">
        <v>3611</v>
      </c>
      <c r="C73" s="1760">
        <v>549618</v>
      </c>
    </row>
    <row r="74" spans="2:6">
      <c r="B74" t="s">
        <v>3450</v>
      </c>
      <c r="D74" s="1760">
        <f>SUM(C71:C73)</f>
        <v>3900665</v>
      </c>
    </row>
    <row r="75" spans="2:6">
      <c r="B75" t="s">
        <v>3613</v>
      </c>
    </row>
  </sheetData>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M781"/>
  <sheetViews>
    <sheetView topLeftCell="A649" workbookViewId="0">
      <selection activeCell="A671" sqref="A671"/>
    </sheetView>
  </sheetViews>
  <sheetFormatPr defaultColWidth="9.44140625" defaultRowHeight="14.4"/>
  <cols>
    <col min="1" max="1" width="51.44140625" bestFit="1" customWidth="1"/>
    <col min="2" max="3" width="13" bestFit="1" customWidth="1"/>
    <col min="4" max="4" width="12.44140625" customWidth="1"/>
    <col min="5" max="5" width="12.44140625" bestFit="1" customWidth="1"/>
    <col min="6" max="6" width="15.44140625" style="99" bestFit="1" customWidth="1"/>
    <col min="7" max="7" width="15.44140625" style="99" customWidth="1"/>
    <col min="8" max="8" width="15" bestFit="1" customWidth="1"/>
    <col min="9" max="9" width="14" bestFit="1" customWidth="1"/>
    <col min="10" max="10" width="17.5546875" bestFit="1" customWidth="1"/>
    <col min="11" max="11" width="12.5546875" bestFit="1" customWidth="1"/>
    <col min="12" max="12" width="13.44140625" bestFit="1" customWidth="1"/>
  </cols>
  <sheetData>
    <row r="1" spans="1:9" ht="15.6">
      <c r="A1" s="2699" t="s">
        <v>965</v>
      </c>
      <c r="B1" s="2699"/>
      <c r="C1" s="2699"/>
    </row>
    <row r="2" spans="1:9" ht="15.6">
      <c r="A2" s="2699" t="s">
        <v>81</v>
      </c>
      <c r="B2" s="2699"/>
      <c r="C2" s="2699"/>
    </row>
    <row r="3" spans="1:9">
      <c r="A3" s="2700" t="s">
        <v>966</v>
      </c>
      <c r="B3" s="2700"/>
      <c r="C3" s="2700"/>
    </row>
    <row r="4" spans="1:9">
      <c r="A4" s="10" t="s">
        <v>82</v>
      </c>
      <c r="B4" s="2911" t="s">
        <v>965</v>
      </c>
      <c r="C4" s="2908"/>
    </row>
    <row r="5" spans="1:9">
      <c r="A5" s="11" t="s">
        <v>1</v>
      </c>
      <c r="B5" s="2706" t="s">
        <v>966</v>
      </c>
      <c r="C5" s="2707"/>
    </row>
    <row r="6" spans="1:9">
      <c r="A6" s="11" t="s">
        <v>82</v>
      </c>
      <c r="B6" s="2708" t="s">
        <v>20</v>
      </c>
      <c r="C6" s="2709"/>
    </row>
    <row r="7" spans="1:9">
      <c r="A7" s="12" t="s">
        <v>82</v>
      </c>
      <c r="B7" s="101" t="s">
        <v>66</v>
      </c>
      <c r="C7" s="101" t="s">
        <v>67</v>
      </c>
    </row>
    <row r="8" spans="1:9">
      <c r="A8" s="1" t="s">
        <v>84</v>
      </c>
      <c r="D8" s="102"/>
      <c r="E8" s="103">
        <v>7147460</v>
      </c>
    </row>
    <row r="9" spans="1:9">
      <c r="A9" s="13" t="s">
        <v>85</v>
      </c>
      <c r="B9" s="96"/>
      <c r="C9" s="127">
        <v>7147460</v>
      </c>
      <c r="G9" s="99">
        <f>+'[32]Trial Balance'!$C$9</f>
        <v>7147460</v>
      </c>
      <c r="H9" s="20">
        <f>+B9-F9</f>
        <v>0</v>
      </c>
      <c r="I9" s="20">
        <f>+C9-G9</f>
        <v>0</v>
      </c>
    </row>
    <row r="10" spans="1:9">
      <c r="A10" s="1" t="s">
        <v>86</v>
      </c>
      <c r="D10" s="105">
        <v>13250287.57</v>
      </c>
      <c r="E10" s="105">
        <v>27593009.620000001</v>
      </c>
    </row>
    <row r="11" spans="1:9">
      <c r="A11" s="14" t="s">
        <v>87</v>
      </c>
      <c r="B11" s="95"/>
      <c r="C11" s="95"/>
    </row>
    <row r="12" spans="1:9">
      <c r="A12" s="14" t="s">
        <v>88</v>
      </c>
      <c r="B12" s="95"/>
      <c r="C12" s="95"/>
    </row>
    <row r="13" spans="1:9">
      <c r="A13" s="14" t="s">
        <v>89</v>
      </c>
      <c r="D13" s="106">
        <v>13250287.57</v>
      </c>
      <c r="E13" s="106">
        <v>26667254.620000001</v>
      </c>
    </row>
    <row r="14" spans="1:9">
      <c r="A14" s="18" t="s">
        <v>946</v>
      </c>
      <c r="D14" s="107">
        <v>808453.07</v>
      </c>
      <c r="E14" s="107">
        <v>3720889</v>
      </c>
    </row>
    <row r="15" spans="1:9">
      <c r="A15" s="15" t="s">
        <v>557</v>
      </c>
      <c r="B15" s="129"/>
      <c r="C15" s="127">
        <v>302488.93</v>
      </c>
      <c r="F15" s="99">
        <f>+'[32]Trial Balance'!B15</f>
        <v>0</v>
      </c>
      <c r="G15" s="99">
        <f>+'[32]Trial Balance'!C15</f>
        <v>302488.93</v>
      </c>
      <c r="H15" s="20">
        <f>+B15-F15</f>
        <v>0</v>
      </c>
      <c r="I15" s="20">
        <f>+C15-G15</f>
        <v>0</v>
      </c>
    </row>
    <row r="16" spans="1:9">
      <c r="A16" s="15" t="s">
        <v>558</v>
      </c>
      <c r="B16" s="128"/>
      <c r="C16" s="127">
        <v>4202</v>
      </c>
      <c r="F16" s="99">
        <f>+'[32]Trial Balance'!B16</f>
        <v>0</v>
      </c>
      <c r="G16" s="99">
        <f>+'[32]Trial Balance'!C16</f>
        <v>4202</v>
      </c>
      <c r="H16" s="20">
        <f t="shared" ref="H16:H21" si="0">+B16-F16</f>
        <v>0</v>
      </c>
      <c r="I16" s="20">
        <f t="shared" ref="I16:I21" si="1">+C16-G16</f>
        <v>0</v>
      </c>
    </row>
    <row r="17" spans="1:9">
      <c r="A17" s="15" t="s">
        <v>967</v>
      </c>
      <c r="B17" s="127"/>
      <c r="C17" s="128">
        <v>6640</v>
      </c>
      <c r="F17" s="99">
        <f>+'[32]Trial Balance'!B17</f>
        <v>0</v>
      </c>
      <c r="G17" s="99">
        <f>+'[32]Trial Balance'!C17</f>
        <v>6640</v>
      </c>
      <c r="H17" s="20">
        <f t="shared" si="0"/>
        <v>0</v>
      </c>
      <c r="I17" s="20">
        <f t="shared" si="1"/>
        <v>0</v>
      </c>
    </row>
    <row r="18" spans="1:9">
      <c r="A18" s="15" t="s">
        <v>968</v>
      </c>
      <c r="B18" s="128"/>
      <c r="C18" s="127">
        <v>7500</v>
      </c>
      <c r="F18" s="99">
        <f>+'[32]Trial Balance'!B18</f>
        <v>0</v>
      </c>
      <c r="G18" s="99">
        <f>+'[32]Trial Balance'!C18</f>
        <v>7500</v>
      </c>
      <c r="H18" s="20">
        <f t="shared" si="0"/>
        <v>0</v>
      </c>
      <c r="I18" s="20">
        <f t="shared" si="1"/>
        <v>0</v>
      </c>
    </row>
    <row r="19" spans="1:9">
      <c r="A19" s="15" t="s">
        <v>559</v>
      </c>
      <c r="B19" s="128"/>
      <c r="C19" s="127">
        <v>12864</v>
      </c>
      <c r="F19" s="99">
        <f>+'[32]Trial Balance'!B19</f>
        <v>0</v>
      </c>
      <c r="G19" s="99">
        <f>+'[32]Trial Balance'!C19</f>
        <v>12864</v>
      </c>
      <c r="H19" s="20">
        <f t="shared" si="0"/>
        <v>0</v>
      </c>
      <c r="I19" s="20">
        <f t="shared" si="1"/>
        <v>0</v>
      </c>
    </row>
    <row r="20" spans="1:9">
      <c r="A20" s="15" t="s">
        <v>969</v>
      </c>
      <c r="B20" s="128"/>
      <c r="C20" s="127">
        <v>16681</v>
      </c>
      <c r="F20" s="99">
        <f>+'[32]Trial Balance'!B20</f>
        <v>0</v>
      </c>
      <c r="G20" s="99">
        <f>+'[32]Trial Balance'!C20</f>
        <v>16681</v>
      </c>
      <c r="H20" s="20">
        <f t="shared" si="0"/>
        <v>0</v>
      </c>
      <c r="I20" s="20">
        <f t="shared" si="1"/>
        <v>0</v>
      </c>
    </row>
    <row r="21" spans="1:9">
      <c r="A21" s="15" t="s">
        <v>560</v>
      </c>
      <c r="B21" s="128"/>
      <c r="C21" s="127">
        <v>182380</v>
      </c>
      <c r="F21" s="99">
        <f>+'[32]Trial Balance'!B21</f>
        <v>0</v>
      </c>
      <c r="G21" s="99">
        <f>+'[32]Trial Balance'!C21</f>
        <v>182380</v>
      </c>
      <c r="H21" s="20">
        <f t="shared" si="0"/>
        <v>0</v>
      </c>
      <c r="I21" s="20">
        <f t="shared" si="1"/>
        <v>0</v>
      </c>
    </row>
    <row r="22" spans="1:9">
      <c r="A22" s="15" t="s">
        <v>561</v>
      </c>
      <c r="B22" s="128"/>
      <c r="C22" s="127">
        <v>252786</v>
      </c>
      <c r="F22" s="99">
        <f>+'[32]Trial Balance'!B22</f>
        <v>0</v>
      </c>
      <c r="G22" s="99">
        <f>+'[32]Trial Balance'!C22</f>
        <v>252786</v>
      </c>
      <c r="H22" s="20">
        <f>+B22-F22</f>
        <v>0</v>
      </c>
      <c r="I22" s="20">
        <f>+C22-G22</f>
        <v>0</v>
      </c>
    </row>
    <row r="23" spans="1:9">
      <c r="A23" s="15" t="s">
        <v>970</v>
      </c>
      <c r="B23" s="128"/>
      <c r="C23" s="127">
        <v>7500</v>
      </c>
      <c r="F23" s="99">
        <f>+'[32]Trial Balance'!B23</f>
        <v>0</v>
      </c>
      <c r="G23" s="99">
        <f>+'[32]Trial Balance'!C23</f>
        <v>7500</v>
      </c>
      <c r="H23" s="20">
        <f t="shared" ref="H23:H36" si="2">+B23-F23</f>
        <v>0</v>
      </c>
      <c r="I23" s="20">
        <f t="shared" ref="I23:I36" si="3">+C23-G23</f>
        <v>0</v>
      </c>
    </row>
    <row r="24" spans="1:9">
      <c r="A24" s="15" t="s">
        <v>562</v>
      </c>
      <c r="B24" s="127">
        <v>50000</v>
      </c>
      <c r="C24" s="128"/>
      <c r="F24" s="99">
        <f>+'[32]Trial Balance'!B24</f>
        <v>50000</v>
      </c>
      <c r="G24" s="99">
        <f>+'[32]Trial Balance'!C24</f>
        <v>0</v>
      </c>
      <c r="H24" s="20">
        <f t="shared" si="2"/>
        <v>0</v>
      </c>
      <c r="I24" s="20">
        <f t="shared" si="3"/>
        <v>0</v>
      </c>
    </row>
    <row r="25" spans="1:9">
      <c r="A25" s="15" t="s">
        <v>563</v>
      </c>
      <c r="B25" s="128"/>
      <c r="C25" s="127">
        <v>139000</v>
      </c>
      <c r="F25" s="99">
        <f>+'[32]Trial Balance'!B25</f>
        <v>0</v>
      </c>
      <c r="G25" s="99">
        <f>+'[32]Trial Balance'!C25</f>
        <v>139000</v>
      </c>
      <c r="H25" s="20">
        <f t="shared" si="2"/>
        <v>0</v>
      </c>
      <c r="I25" s="20">
        <f t="shared" si="3"/>
        <v>0</v>
      </c>
    </row>
    <row r="26" spans="1:9">
      <c r="A26" s="15" t="s">
        <v>564</v>
      </c>
      <c r="B26" s="128"/>
      <c r="C26" s="127">
        <v>171306</v>
      </c>
      <c r="F26" s="99">
        <f>+'[32]Trial Balance'!B26</f>
        <v>0</v>
      </c>
      <c r="G26" s="99">
        <f>+'[32]Trial Balance'!C26</f>
        <v>171306</v>
      </c>
      <c r="H26" s="20">
        <f t="shared" si="2"/>
        <v>0</v>
      </c>
      <c r="I26" s="20">
        <f t="shared" si="3"/>
        <v>0</v>
      </c>
    </row>
    <row r="27" spans="1:9">
      <c r="A27" s="15" t="s">
        <v>565</v>
      </c>
      <c r="B27" s="128"/>
      <c r="C27" s="130">
        <v>247501</v>
      </c>
      <c r="F27" s="99">
        <f>+'[32]Trial Balance'!B27</f>
        <v>0</v>
      </c>
      <c r="G27" s="99">
        <f>+'[32]Trial Balance'!C27</f>
        <v>247501</v>
      </c>
      <c r="H27" s="20">
        <f t="shared" si="2"/>
        <v>0</v>
      </c>
      <c r="I27" s="20">
        <f t="shared" si="3"/>
        <v>0</v>
      </c>
    </row>
    <row r="28" spans="1:9">
      <c r="A28" s="15" t="s">
        <v>971</v>
      </c>
      <c r="B28" s="128"/>
      <c r="C28" s="130">
        <v>61102</v>
      </c>
      <c r="F28" s="99">
        <f>+'[32]Trial Balance'!B28</f>
        <v>0</v>
      </c>
      <c r="G28" s="99">
        <f>+'[32]Trial Balance'!C28</f>
        <v>61102</v>
      </c>
      <c r="H28" s="20">
        <f t="shared" si="2"/>
        <v>0</v>
      </c>
      <c r="I28" s="20">
        <f t="shared" si="3"/>
        <v>0</v>
      </c>
    </row>
    <row r="29" spans="1:9">
      <c r="A29" s="15" t="s">
        <v>566</v>
      </c>
      <c r="B29" s="128"/>
      <c r="C29" s="127">
        <v>17227</v>
      </c>
      <c r="F29" s="99">
        <f>+'[32]Trial Balance'!B29</f>
        <v>0</v>
      </c>
      <c r="G29" s="99">
        <f>+'[32]Trial Balance'!C29</f>
        <v>17227</v>
      </c>
      <c r="H29" s="20">
        <f t="shared" si="2"/>
        <v>0</v>
      </c>
      <c r="I29" s="20">
        <f t="shared" si="3"/>
        <v>0</v>
      </c>
    </row>
    <row r="30" spans="1:9">
      <c r="A30" s="15" t="s">
        <v>972</v>
      </c>
      <c r="B30" s="128"/>
      <c r="C30" s="127">
        <v>20000</v>
      </c>
      <c r="F30" s="99">
        <f>+'[32]Trial Balance'!B30</f>
        <v>0</v>
      </c>
      <c r="G30" s="99">
        <f>+'[32]Trial Balance'!C30</f>
        <v>20000</v>
      </c>
      <c r="H30" s="20">
        <f t="shared" si="2"/>
        <v>0</v>
      </c>
      <c r="I30" s="20">
        <f t="shared" si="3"/>
        <v>0</v>
      </c>
    </row>
    <row r="31" spans="1:9">
      <c r="A31" s="15" t="s">
        <v>567</v>
      </c>
      <c r="B31" s="128"/>
      <c r="C31" s="127">
        <v>44280</v>
      </c>
      <c r="F31" s="99">
        <f>+'[32]Trial Balance'!B31</f>
        <v>0</v>
      </c>
      <c r="G31" s="99">
        <f>+'[32]Trial Balance'!C31</f>
        <v>44280</v>
      </c>
      <c r="H31" s="20">
        <f t="shared" si="2"/>
        <v>0</v>
      </c>
      <c r="I31" s="20">
        <f t="shared" si="3"/>
        <v>0</v>
      </c>
    </row>
    <row r="32" spans="1:9">
      <c r="A32" s="15" t="s">
        <v>568</v>
      </c>
      <c r="B32" s="127">
        <v>23628</v>
      </c>
      <c r="C32" s="128"/>
      <c r="F32" s="99">
        <f>+'[32]Trial Balance'!B32</f>
        <v>23628</v>
      </c>
      <c r="G32" s="99">
        <f>+'[32]Trial Balance'!C32</f>
        <v>0</v>
      </c>
      <c r="H32" s="20">
        <f t="shared" si="2"/>
        <v>0</v>
      </c>
      <c r="I32" s="20">
        <f t="shared" si="3"/>
        <v>0</v>
      </c>
    </row>
    <row r="33" spans="1:9">
      <c r="A33" s="15" t="s">
        <v>569</v>
      </c>
      <c r="B33" s="128"/>
      <c r="C33" s="127">
        <v>1826602</v>
      </c>
      <c r="F33" s="99">
        <f>+'[32]Trial Balance'!B33</f>
        <v>0</v>
      </c>
      <c r="G33" s="99">
        <f>+'[32]Trial Balance'!C33</f>
        <v>1826602</v>
      </c>
      <c r="H33" s="20">
        <f t="shared" si="2"/>
        <v>0</v>
      </c>
      <c r="I33" s="20">
        <f t="shared" si="3"/>
        <v>0</v>
      </c>
    </row>
    <row r="34" spans="1:9">
      <c r="A34" s="15" t="s">
        <v>973</v>
      </c>
      <c r="B34" s="127">
        <v>15000</v>
      </c>
      <c r="C34" s="128"/>
      <c r="F34" s="99">
        <f>+'[32]Trial Balance'!B34</f>
        <v>15000</v>
      </c>
      <c r="G34" s="99">
        <f>+'[32]Trial Balance'!C34</f>
        <v>0</v>
      </c>
      <c r="H34" s="20">
        <f t="shared" si="2"/>
        <v>0</v>
      </c>
      <c r="I34" s="20">
        <f t="shared" si="3"/>
        <v>0</v>
      </c>
    </row>
    <row r="35" spans="1:9">
      <c r="A35" s="15" t="s">
        <v>570</v>
      </c>
      <c r="B35" s="128"/>
      <c r="C35" s="127">
        <v>5700</v>
      </c>
      <c r="F35" s="99">
        <f>+'[32]Trial Balance'!B35</f>
        <v>0</v>
      </c>
      <c r="G35" s="99">
        <f>+'[32]Trial Balance'!C35</f>
        <v>5700</v>
      </c>
      <c r="H35" s="20">
        <f t="shared" si="2"/>
        <v>0</v>
      </c>
      <c r="I35" s="20">
        <f t="shared" si="3"/>
        <v>0</v>
      </c>
    </row>
    <row r="36" spans="1:9">
      <c r="A36" s="15" t="s">
        <v>571</v>
      </c>
      <c r="B36" s="127">
        <v>58786</v>
      </c>
      <c r="C36" s="128"/>
      <c r="F36" s="99">
        <f>+'[32]Trial Balance'!B36</f>
        <v>58786</v>
      </c>
      <c r="G36" s="99">
        <f>+'[32]Trial Balance'!C36</f>
        <v>0</v>
      </c>
      <c r="H36" s="20">
        <f t="shared" si="2"/>
        <v>0</v>
      </c>
      <c r="I36" s="20">
        <f t="shared" si="3"/>
        <v>0</v>
      </c>
    </row>
    <row r="37" spans="1:9">
      <c r="A37" s="15" t="s">
        <v>974</v>
      </c>
      <c r="B37" s="127">
        <v>0</v>
      </c>
      <c r="C37" s="128">
        <v>1550</v>
      </c>
      <c r="F37" s="99">
        <f>+'[32]Trial Balance'!B37</f>
        <v>0</v>
      </c>
      <c r="G37" s="99">
        <f>+'[32]Trial Balance'!C37</f>
        <v>1550</v>
      </c>
      <c r="H37" s="20">
        <f t="shared" ref="H37:I43" si="4">+B37-F37</f>
        <v>0</v>
      </c>
      <c r="I37" s="20">
        <f t="shared" si="4"/>
        <v>0</v>
      </c>
    </row>
    <row r="38" spans="1:9">
      <c r="A38" s="15" t="s">
        <v>572</v>
      </c>
      <c r="B38" s="128"/>
      <c r="C38" s="127">
        <v>3216</v>
      </c>
      <c r="F38" s="99">
        <f>+'[32]Trial Balance'!B38</f>
        <v>0</v>
      </c>
      <c r="G38" s="99">
        <f>+'[32]Trial Balance'!C38</f>
        <v>3216</v>
      </c>
      <c r="H38" s="20">
        <f t="shared" si="4"/>
        <v>0</v>
      </c>
      <c r="I38" s="20">
        <f t="shared" si="4"/>
        <v>0</v>
      </c>
    </row>
    <row r="39" spans="1:9">
      <c r="A39" s="15" t="s">
        <v>975</v>
      </c>
      <c r="B39" s="127">
        <v>30011</v>
      </c>
      <c r="C39" s="128"/>
      <c r="F39" s="99">
        <f>+'[32]Trial Balance'!B39</f>
        <v>30011</v>
      </c>
      <c r="G39" s="99">
        <f>+'[32]Trial Balance'!C39</f>
        <v>0</v>
      </c>
      <c r="H39" s="20">
        <f t="shared" si="4"/>
        <v>0</v>
      </c>
      <c r="I39" s="20">
        <f t="shared" si="4"/>
        <v>0</v>
      </c>
    </row>
    <row r="40" spans="1:9">
      <c r="A40" s="15" t="s">
        <v>976</v>
      </c>
      <c r="B40" s="128"/>
      <c r="C40" s="127">
        <v>24400</v>
      </c>
      <c r="F40" s="99">
        <f>+'[32]Trial Balance'!B40</f>
        <v>0</v>
      </c>
      <c r="G40" s="99">
        <f>+'[32]Trial Balance'!C40</f>
        <v>24400</v>
      </c>
      <c r="H40" s="20">
        <f t="shared" si="4"/>
        <v>0</v>
      </c>
      <c r="I40" s="20">
        <f t="shared" si="4"/>
        <v>0</v>
      </c>
    </row>
    <row r="41" spans="1:9">
      <c r="A41" s="15" t="s">
        <v>573</v>
      </c>
      <c r="B41" s="128"/>
      <c r="C41" s="127">
        <v>14588</v>
      </c>
      <c r="F41" s="99">
        <f>+'[32]Trial Balance'!B41</f>
        <v>0</v>
      </c>
      <c r="G41" s="99">
        <f>+'[32]Trial Balance'!C41</f>
        <v>14588</v>
      </c>
      <c r="H41" s="20">
        <f t="shared" si="4"/>
        <v>0</v>
      </c>
      <c r="I41" s="20">
        <f t="shared" si="4"/>
        <v>0</v>
      </c>
    </row>
    <row r="42" spans="1:9">
      <c r="A42" s="15" t="s">
        <v>68</v>
      </c>
      <c r="B42" s="128"/>
      <c r="C42" s="127">
        <v>709574</v>
      </c>
      <c r="F42" s="99">
        <f>+'[32]Trial Balance'!B42</f>
        <v>0</v>
      </c>
      <c r="G42" s="99">
        <f>+'[32]Trial Balance'!C42</f>
        <v>709574</v>
      </c>
      <c r="H42" s="20">
        <f t="shared" si="4"/>
        <v>0</v>
      </c>
      <c r="I42" s="20">
        <f t="shared" si="4"/>
        <v>0</v>
      </c>
    </row>
    <row r="43" spans="1:9">
      <c r="A43" s="15" t="s">
        <v>977</v>
      </c>
      <c r="B43" s="127"/>
      <c r="C43" s="127">
        <v>20202</v>
      </c>
      <c r="F43" s="99">
        <f>+'[32]Trial Balance'!B43</f>
        <v>0</v>
      </c>
      <c r="G43" s="99">
        <f>+'[32]Trial Balance'!C43</f>
        <v>20202</v>
      </c>
      <c r="H43" s="20">
        <f t="shared" si="4"/>
        <v>0</v>
      </c>
      <c r="I43" s="20">
        <f t="shared" si="4"/>
        <v>0</v>
      </c>
    </row>
    <row r="44" spans="1:9">
      <c r="A44" s="18" t="s">
        <v>90</v>
      </c>
      <c r="D44" s="93">
        <v>1766840.5</v>
      </c>
      <c r="E44" s="93">
        <v>4605297.87</v>
      </c>
      <c r="H44" s="20"/>
      <c r="I44" s="20"/>
    </row>
    <row r="45" spans="1:9">
      <c r="A45" s="15" t="s">
        <v>575</v>
      </c>
      <c r="B45" s="128"/>
      <c r="C45" s="127">
        <v>23114</v>
      </c>
      <c r="F45" s="99">
        <f>+'[32]Trial Balance'!B45</f>
        <v>0</v>
      </c>
      <c r="G45" s="99">
        <f>+'[32]Trial Balance'!C45</f>
        <v>23114</v>
      </c>
      <c r="H45" s="20">
        <f t="shared" ref="H45:I48" si="5">+B45-F45</f>
        <v>0</v>
      </c>
      <c r="I45" s="20">
        <f t="shared" si="5"/>
        <v>0</v>
      </c>
    </row>
    <row r="46" spans="1:9">
      <c r="A46" s="15" t="s">
        <v>978</v>
      </c>
      <c r="B46" s="127">
        <v>54960</v>
      </c>
      <c r="C46" s="128"/>
      <c r="F46" s="99">
        <f>+'[32]Trial Balance'!B46</f>
        <v>54960</v>
      </c>
      <c r="G46" s="99">
        <f>+'[32]Trial Balance'!C46</f>
        <v>0</v>
      </c>
      <c r="H46" s="20">
        <f t="shared" si="5"/>
        <v>0</v>
      </c>
      <c r="I46" s="20">
        <f t="shared" si="5"/>
        <v>0</v>
      </c>
    </row>
    <row r="47" spans="1:9">
      <c r="A47" s="15" t="s">
        <v>577</v>
      </c>
      <c r="B47" s="128"/>
      <c r="C47" s="127">
        <v>22400</v>
      </c>
      <c r="F47" s="99">
        <f>+'[32]Trial Balance'!B47</f>
        <v>0</v>
      </c>
      <c r="G47" s="99">
        <f>+'[32]Trial Balance'!C47</f>
        <v>22400</v>
      </c>
      <c r="H47" s="20">
        <f t="shared" si="5"/>
        <v>0</v>
      </c>
      <c r="I47" s="20">
        <f t="shared" si="5"/>
        <v>0</v>
      </c>
    </row>
    <row r="48" spans="1:9">
      <c r="A48" s="15" t="s">
        <v>578</v>
      </c>
      <c r="B48" s="127">
        <v>54595</v>
      </c>
      <c r="C48" s="128"/>
      <c r="F48" s="99">
        <f>+'[32]Trial Balance'!B48</f>
        <v>54595</v>
      </c>
      <c r="G48" s="99">
        <f>+'[32]Trial Balance'!C48</f>
        <v>0</v>
      </c>
      <c r="H48" s="20">
        <f t="shared" si="5"/>
        <v>0</v>
      </c>
      <c r="I48" s="20">
        <f t="shared" si="5"/>
        <v>0</v>
      </c>
    </row>
    <row r="49" spans="1:9">
      <c r="A49" s="15" t="s">
        <v>979</v>
      </c>
      <c r="B49" s="127">
        <v>115898</v>
      </c>
      <c r="C49" s="128"/>
      <c r="F49" s="99">
        <f>+'[32]Trial Balance'!B49</f>
        <v>115898</v>
      </c>
      <c r="G49" s="99">
        <f>+'[32]Trial Balance'!C49</f>
        <v>0</v>
      </c>
      <c r="H49" s="20">
        <f t="shared" ref="H49:H82" si="6">+B49-F49</f>
        <v>0</v>
      </c>
      <c r="I49" s="20">
        <f t="shared" ref="I49:I82" si="7">+C49-G49</f>
        <v>0</v>
      </c>
    </row>
    <row r="50" spans="1:9">
      <c r="A50" s="15" t="s">
        <v>579</v>
      </c>
      <c r="B50" s="128"/>
      <c r="C50" s="127">
        <v>21627</v>
      </c>
      <c r="F50" s="99">
        <f>+'[32]Trial Balance'!B50</f>
        <v>0</v>
      </c>
      <c r="G50" s="99">
        <f>+'[32]Trial Balance'!C50</f>
        <v>21627</v>
      </c>
      <c r="H50" s="20">
        <f t="shared" si="6"/>
        <v>0</v>
      </c>
      <c r="I50" s="20">
        <f t="shared" si="7"/>
        <v>0</v>
      </c>
    </row>
    <row r="51" spans="1:9">
      <c r="A51" s="15" t="s">
        <v>580</v>
      </c>
      <c r="B51" s="128"/>
      <c r="C51" s="127">
        <v>2519</v>
      </c>
      <c r="F51" s="99">
        <f>+'[32]Trial Balance'!B51</f>
        <v>0</v>
      </c>
      <c r="G51" s="99">
        <f>+'[32]Trial Balance'!C51</f>
        <v>2519</v>
      </c>
      <c r="H51" s="20">
        <f t="shared" si="6"/>
        <v>0</v>
      </c>
      <c r="I51" s="20">
        <f t="shared" si="7"/>
        <v>0</v>
      </c>
    </row>
    <row r="52" spans="1:9">
      <c r="A52" s="15" t="s">
        <v>581</v>
      </c>
      <c r="B52" s="128"/>
      <c r="C52" s="127">
        <v>23693</v>
      </c>
      <c r="F52" s="99">
        <f>+'[32]Trial Balance'!B52</f>
        <v>0</v>
      </c>
      <c r="G52" s="99">
        <f>+'[32]Trial Balance'!C52</f>
        <v>23693</v>
      </c>
      <c r="H52" s="20">
        <f t="shared" si="6"/>
        <v>0</v>
      </c>
      <c r="I52" s="20">
        <f t="shared" si="7"/>
        <v>0</v>
      </c>
    </row>
    <row r="53" spans="1:9">
      <c r="A53" s="15" t="s">
        <v>980</v>
      </c>
      <c r="B53" s="127">
        <v>1340</v>
      </c>
      <c r="C53" s="128"/>
      <c r="F53" s="99">
        <f>+'[32]Trial Balance'!B53</f>
        <v>1340</v>
      </c>
      <c r="G53" s="99">
        <f>+'[32]Trial Balance'!C53</f>
        <v>0</v>
      </c>
      <c r="H53" s="20">
        <f t="shared" si="6"/>
        <v>0</v>
      </c>
      <c r="I53" s="20">
        <f t="shared" si="7"/>
        <v>0</v>
      </c>
    </row>
    <row r="54" spans="1:9">
      <c r="A54" s="15" t="s">
        <v>259</v>
      </c>
      <c r="B54" s="128"/>
      <c r="C54" s="127">
        <v>524104.5</v>
      </c>
      <c r="F54" s="99">
        <f>+'[32]Trial Balance'!B54</f>
        <v>0</v>
      </c>
      <c r="G54" s="99">
        <f>+'[32]Trial Balance'!C54</f>
        <v>524104.5</v>
      </c>
      <c r="H54" s="20">
        <f t="shared" si="6"/>
        <v>0</v>
      </c>
      <c r="I54" s="20">
        <f t="shared" si="7"/>
        <v>0</v>
      </c>
    </row>
    <row r="55" spans="1:9">
      <c r="A55" s="15" t="s">
        <v>582</v>
      </c>
      <c r="B55" s="127">
        <v>28350</v>
      </c>
      <c r="C55" s="128"/>
      <c r="F55" s="99">
        <f>+'[32]Trial Balance'!B55</f>
        <v>28350</v>
      </c>
      <c r="G55" s="99">
        <f>+'[32]Trial Balance'!C55</f>
        <v>0</v>
      </c>
      <c r="H55" s="20">
        <f t="shared" si="6"/>
        <v>0</v>
      </c>
      <c r="I55" s="20">
        <f t="shared" si="7"/>
        <v>0</v>
      </c>
    </row>
    <row r="56" spans="1:9">
      <c r="A56" s="15" t="s">
        <v>981</v>
      </c>
      <c r="B56" s="127">
        <v>45125</v>
      </c>
      <c r="C56" s="128"/>
      <c r="F56" s="99">
        <f>+'[32]Trial Balance'!B56</f>
        <v>45125</v>
      </c>
      <c r="G56" s="99">
        <f>+'[32]Trial Balance'!C56</f>
        <v>0</v>
      </c>
      <c r="H56" s="20">
        <f t="shared" si="6"/>
        <v>0</v>
      </c>
      <c r="I56" s="20">
        <f t="shared" si="7"/>
        <v>0</v>
      </c>
    </row>
    <row r="57" spans="1:9">
      <c r="A57" s="15" t="s">
        <v>583</v>
      </c>
      <c r="B57" s="127">
        <v>131054</v>
      </c>
      <c r="C57" s="128"/>
      <c r="F57" s="99">
        <f>+'[32]Trial Balance'!B57</f>
        <v>131054</v>
      </c>
      <c r="G57" s="99">
        <f>+'[32]Trial Balance'!C57</f>
        <v>0</v>
      </c>
      <c r="H57" s="20">
        <f t="shared" si="6"/>
        <v>0</v>
      </c>
      <c r="I57" s="20">
        <f t="shared" si="7"/>
        <v>0</v>
      </c>
    </row>
    <row r="58" spans="1:9">
      <c r="A58" s="15" t="s">
        <v>982</v>
      </c>
      <c r="B58" s="128"/>
      <c r="C58" s="127">
        <v>75000</v>
      </c>
      <c r="F58" s="99">
        <f>+'[32]Trial Balance'!B58</f>
        <v>0</v>
      </c>
      <c r="G58" s="99">
        <f>+'[32]Trial Balance'!C58</f>
        <v>75000</v>
      </c>
      <c r="H58" s="20">
        <f t="shared" si="6"/>
        <v>0</v>
      </c>
      <c r="I58" s="20">
        <f t="shared" si="7"/>
        <v>0</v>
      </c>
    </row>
    <row r="59" spans="1:9">
      <c r="A59" s="15" t="s">
        <v>983</v>
      </c>
      <c r="B59" s="127">
        <v>67320</v>
      </c>
      <c r="C59" s="128"/>
      <c r="F59" s="99">
        <f>+'[32]Trial Balance'!B59</f>
        <v>67320</v>
      </c>
      <c r="G59" s="99">
        <f>+'[32]Trial Balance'!C59</f>
        <v>0</v>
      </c>
      <c r="H59" s="20">
        <f t="shared" si="6"/>
        <v>0</v>
      </c>
      <c r="I59" s="20">
        <f t="shared" si="7"/>
        <v>0</v>
      </c>
    </row>
    <row r="60" spans="1:9">
      <c r="A60" s="15" t="s">
        <v>584</v>
      </c>
      <c r="B60" s="128"/>
      <c r="C60" s="127">
        <v>60100</v>
      </c>
      <c r="F60" s="99">
        <f>+'[32]Trial Balance'!B60</f>
        <v>0</v>
      </c>
      <c r="G60" s="99">
        <f>+'[32]Trial Balance'!C60</f>
        <v>60100</v>
      </c>
      <c r="H60" s="20">
        <f t="shared" si="6"/>
        <v>0</v>
      </c>
      <c r="I60" s="20">
        <f t="shared" si="7"/>
        <v>0</v>
      </c>
    </row>
    <row r="61" spans="1:9">
      <c r="A61" s="15" t="s">
        <v>585</v>
      </c>
      <c r="B61" s="128"/>
      <c r="C61" s="127">
        <v>27054</v>
      </c>
      <c r="F61" s="99">
        <f>+'[32]Trial Balance'!B61</f>
        <v>0</v>
      </c>
      <c r="G61" s="99">
        <f>+'[32]Trial Balance'!C61</f>
        <v>27054</v>
      </c>
      <c r="H61" s="20">
        <f t="shared" si="6"/>
        <v>0</v>
      </c>
      <c r="I61" s="20">
        <f t="shared" si="7"/>
        <v>0</v>
      </c>
    </row>
    <row r="62" spans="1:9">
      <c r="A62" s="15" t="s">
        <v>984</v>
      </c>
      <c r="B62" s="128"/>
      <c r="C62" s="127">
        <v>10590</v>
      </c>
      <c r="F62" s="99">
        <f>+'[32]Trial Balance'!B62</f>
        <v>0</v>
      </c>
      <c r="G62" s="99">
        <f>+'[32]Trial Balance'!C62</f>
        <v>10590</v>
      </c>
      <c r="H62" s="20">
        <f t="shared" si="6"/>
        <v>0</v>
      </c>
      <c r="I62" s="20">
        <f t="shared" si="7"/>
        <v>0</v>
      </c>
    </row>
    <row r="63" spans="1:9">
      <c r="A63" s="15" t="s">
        <v>588</v>
      </c>
      <c r="B63" s="128"/>
      <c r="C63" s="127">
        <v>40789</v>
      </c>
      <c r="F63" s="99">
        <f>+'[32]Trial Balance'!B63</f>
        <v>0</v>
      </c>
      <c r="G63" s="99">
        <f>+'[32]Trial Balance'!C63</f>
        <v>40789</v>
      </c>
      <c r="H63" s="20">
        <f t="shared" si="6"/>
        <v>0</v>
      </c>
      <c r="I63" s="20">
        <f t="shared" si="7"/>
        <v>0</v>
      </c>
    </row>
    <row r="64" spans="1:9">
      <c r="A64" s="15" t="s">
        <v>985</v>
      </c>
      <c r="B64" s="128"/>
      <c r="C64" s="127">
        <v>102368</v>
      </c>
      <c r="F64" s="99">
        <f>+'[32]Trial Balance'!B64</f>
        <v>0</v>
      </c>
      <c r="G64" s="99">
        <f>+'[32]Trial Balance'!C64</f>
        <v>102368</v>
      </c>
      <c r="H64" s="20">
        <f t="shared" si="6"/>
        <v>0</v>
      </c>
      <c r="I64" s="20">
        <f t="shared" si="7"/>
        <v>0</v>
      </c>
    </row>
    <row r="65" spans="1:9">
      <c r="A65" s="15" t="s">
        <v>590</v>
      </c>
      <c r="B65" s="128"/>
      <c r="C65" s="127">
        <v>42700</v>
      </c>
      <c r="F65" s="99">
        <f>+'[32]Trial Balance'!B65</f>
        <v>0</v>
      </c>
      <c r="G65" s="99">
        <f>+'[32]Trial Balance'!C65</f>
        <v>42700</v>
      </c>
      <c r="H65" s="20">
        <f t="shared" si="6"/>
        <v>0</v>
      </c>
      <c r="I65" s="20">
        <f t="shared" si="7"/>
        <v>0</v>
      </c>
    </row>
    <row r="66" spans="1:9">
      <c r="A66" s="15" t="s">
        <v>258</v>
      </c>
      <c r="B66" s="128"/>
      <c r="C66" s="127">
        <v>242958</v>
      </c>
      <c r="F66" s="99">
        <f>+'[32]Trial Balance'!B66</f>
        <v>0</v>
      </c>
      <c r="G66" s="99">
        <f>+'[32]Trial Balance'!C66</f>
        <v>242958</v>
      </c>
      <c r="H66" s="20">
        <f t="shared" si="6"/>
        <v>0</v>
      </c>
      <c r="I66" s="20">
        <f t="shared" si="7"/>
        <v>0</v>
      </c>
    </row>
    <row r="67" spans="1:9">
      <c r="A67" s="15" t="s">
        <v>591</v>
      </c>
      <c r="B67" s="127">
        <v>29401</v>
      </c>
      <c r="C67" s="128"/>
      <c r="F67" s="99">
        <f>+'[32]Trial Balance'!B67</f>
        <v>29401</v>
      </c>
      <c r="G67" s="99">
        <f>+'[32]Trial Balance'!C67</f>
        <v>0</v>
      </c>
      <c r="H67" s="20">
        <f t="shared" si="6"/>
        <v>0</v>
      </c>
      <c r="I67" s="20">
        <f t="shared" si="7"/>
        <v>0</v>
      </c>
    </row>
    <row r="68" spans="1:9">
      <c r="A68" s="15" t="s">
        <v>592</v>
      </c>
      <c r="B68" s="127">
        <v>7000</v>
      </c>
      <c r="C68" s="128"/>
      <c r="F68" s="99">
        <f>+'[32]Trial Balance'!B68</f>
        <v>7000</v>
      </c>
      <c r="G68" s="99">
        <f>+'[32]Trial Balance'!C68</f>
        <v>0</v>
      </c>
      <c r="H68" s="20">
        <f t="shared" si="6"/>
        <v>0</v>
      </c>
      <c r="I68" s="20">
        <f t="shared" si="7"/>
        <v>0</v>
      </c>
    </row>
    <row r="69" spans="1:9">
      <c r="A69" s="15" t="s">
        <v>986</v>
      </c>
      <c r="B69" s="127">
        <v>12458</v>
      </c>
      <c r="C69" s="128"/>
      <c r="F69" s="99">
        <f>+'[32]Trial Balance'!B69</f>
        <v>12458</v>
      </c>
      <c r="G69" s="99">
        <f>+'[32]Trial Balance'!C69</f>
        <v>0</v>
      </c>
      <c r="H69" s="20">
        <f t="shared" si="6"/>
        <v>0</v>
      </c>
      <c r="I69" s="20">
        <f t="shared" si="7"/>
        <v>0</v>
      </c>
    </row>
    <row r="70" spans="1:9">
      <c r="A70" s="15" t="s">
        <v>987</v>
      </c>
      <c r="B70" s="128"/>
      <c r="C70" s="127">
        <v>97831</v>
      </c>
      <c r="F70" s="99">
        <f>+'[32]Trial Balance'!B70</f>
        <v>0</v>
      </c>
      <c r="G70" s="99">
        <f>+'[32]Trial Balance'!C70</f>
        <v>97831</v>
      </c>
      <c r="H70" s="20">
        <f t="shared" si="6"/>
        <v>0</v>
      </c>
      <c r="I70" s="20">
        <f t="shared" si="7"/>
        <v>0</v>
      </c>
    </row>
    <row r="71" spans="1:9">
      <c r="A71" s="15" t="s">
        <v>988</v>
      </c>
      <c r="B71" s="127">
        <v>182901</v>
      </c>
      <c r="C71" s="128"/>
      <c r="F71" s="99">
        <f>+'[32]Trial Balance'!B71</f>
        <v>182901</v>
      </c>
      <c r="G71" s="99">
        <f>+'[32]Trial Balance'!C71</f>
        <v>0</v>
      </c>
      <c r="H71" s="20">
        <f t="shared" si="6"/>
        <v>0</v>
      </c>
      <c r="I71" s="20">
        <f t="shared" si="7"/>
        <v>0</v>
      </c>
    </row>
    <row r="72" spans="1:9">
      <c r="A72" s="15" t="s">
        <v>989</v>
      </c>
      <c r="B72" s="127">
        <v>85000</v>
      </c>
      <c r="C72" s="128"/>
      <c r="F72" s="99">
        <f>+'[32]Trial Balance'!B72</f>
        <v>85000</v>
      </c>
      <c r="G72" s="99">
        <f>+'[32]Trial Balance'!C72</f>
        <v>0</v>
      </c>
      <c r="H72" s="20">
        <f t="shared" si="6"/>
        <v>0</v>
      </c>
      <c r="I72" s="20">
        <f t="shared" si="7"/>
        <v>0</v>
      </c>
    </row>
    <row r="73" spans="1:9">
      <c r="A73" s="15" t="s">
        <v>990</v>
      </c>
      <c r="B73" s="128"/>
      <c r="C73" s="127">
        <v>38102</v>
      </c>
      <c r="F73" s="99">
        <f>+'[32]Trial Balance'!B73</f>
        <v>0</v>
      </c>
      <c r="G73" s="99">
        <f>+'[32]Trial Balance'!C73</f>
        <v>38102</v>
      </c>
      <c r="H73" s="20">
        <f t="shared" si="6"/>
        <v>0</v>
      </c>
      <c r="I73" s="20">
        <f t="shared" si="7"/>
        <v>0</v>
      </c>
    </row>
    <row r="74" spans="1:9">
      <c r="A74" s="15" t="s">
        <v>991</v>
      </c>
      <c r="B74" s="128"/>
      <c r="C74" s="127">
        <v>31326</v>
      </c>
      <c r="F74" s="99">
        <f>+'[32]Trial Balance'!B74</f>
        <v>0</v>
      </c>
      <c r="G74" s="99">
        <f>+'[32]Trial Balance'!C74</f>
        <v>31326</v>
      </c>
      <c r="H74" s="20">
        <f t="shared" si="6"/>
        <v>0</v>
      </c>
      <c r="I74" s="20">
        <f t="shared" si="7"/>
        <v>0</v>
      </c>
    </row>
    <row r="75" spans="1:9">
      <c r="A75" s="15" t="s">
        <v>594</v>
      </c>
      <c r="B75" s="128"/>
      <c r="C75" s="127">
        <v>3655</v>
      </c>
      <c r="F75" s="99">
        <f>+'[32]Trial Balance'!B75</f>
        <v>0</v>
      </c>
      <c r="G75" s="99">
        <f>+'[32]Trial Balance'!C75</f>
        <v>3655</v>
      </c>
      <c r="H75" s="20">
        <f t="shared" si="6"/>
        <v>0</v>
      </c>
      <c r="I75" s="20">
        <f t="shared" si="7"/>
        <v>0</v>
      </c>
    </row>
    <row r="76" spans="1:9">
      <c r="A76" s="15" t="s">
        <v>595</v>
      </c>
      <c r="B76" s="128"/>
      <c r="C76" s="127">
        <v>28113</v>
      </c>
      <c r="F76" s="99">
        <f>+'[32]Trial Balance'!B76</f>
        <v>0</v>
      </c>
      <c r="G76" s="99">
        <f>+'[32]Trial Balance'!C76</f>
        <v>28113</v>
      </c>
      <c r="H76" s="20">
        <f t="shared" si="6"/>
        <v>0</v>
      </c>
      <c r="I76" s="20">
        <f t="shared" si="7"/>
        <v>0</v>
      </c>
    </row>
    <row r="77" spans="1:9">
      <c r="A77" s="15" t="s">
        <v>596</v>
      </c>
      <c r="B77" s="128"/>
      <c r="C77" s="127">
        <v>30361</v>
      </c>
      <c r="F77" s="99">
        <f>+'[32]Trial Balance'!B77</f>
        <v>0</v>
      </c>
      <c r="G77" s="99">
        <f>+'[32]Trial Balance'!C77</f>
        <v>30361</v>
      </c>
      <c r="H77" s="20">
        <f t="shared" si="6"/>
        <v>0</v>
      </c>
      <c r="I77" s="20">
        <f t="shared" si="7"/>
        <v>0</v>
      </c>
    </row>
    <row r="78" spans="1:9">
      <c r="A78" s="15" t="s">
        <v>598</v>
      </c>
      <c r="B78" s="128"/>
      <c r="C78" s="127">
        <v>17130</v>
      </c>
      <c r="F78" s="99">
        <f>+'[32]Trial Balance'!B78</f>
        <v>0</v>
      </c>
      <c r="G78" s="99">
        <f>+'[32]Trial Balance'!C78</f>
        <v>17130</v>
      </c>
      <c r="H78" s="20">
        <f t="shared" si="6"/>
        <v>0</v>
      </c>
      <c r="I78" s="20">
        <f t="shared" si="7"/>
        <v>0</v>
      </c>
    </row>
    <row r="79" spans="1:9">
      <c r="A79" s="15" t="s">
        <v>600</v>
      </c>
      <c r="B79" s="127">
        <v>147050</v>
      </c>
      <c r="C79" s="128"/>
      <c r="F79" s="99">
        <f>+'[32]Trial Balance'!B79</f>
        <v>147050</v>
      </c>
      <c r="G79" s="99">
        <f>+'[32]Trial Balance'!C79</f>
        <v>0</v>
      </c>
      <c r="H79" s="20">
        <f t="shared" si="6"/>
        <v>0</v>
      </c>
      <c r="I79" s="20">
        <f t="shared" si="7"/>
        <v>0</v>
      </c>
    </row>
    <row r="80" spans="1:9">
      <c r="A80" s="15" t="s">
        <v>992</v>
      </c>
      <c r="B80" s="127">
        <v>7212</v>
      </c>
      <c r="C80" s="128"/>
      <c r="F80" s="99">
        <f>+'[32]Trial Balance'!B80</f>
        <v>7212</v>
      </c>
      <c r="G80" s="99">
        <f>+'[32]Trial Balance'!C80</f>
        <v>0</v>
      </c>
      <c r="H80" s="20">
        <f t="shared" si="6"/>
        <v>0</v>
      </c>
      <c r="I80" s="20">
        <f t="shared" si="7"/>
        <v>0</v>
      </c>
    </row>
    <row r="81" spans="1:9">
      <c r="A81" s="15" t="s">
        <v>993</v>
      </c>
      <c r="B81" s="127">
        <v>311600</v>
      </c>
      <c r="C81" s="128"/>
      <c r="F81" s="99">
        <f>+'[32]Trial Balance'!B81</f>
        <v>311600</v>
      </c>
      <c r="G81" s="99">
        <f>+'[32]Trial Balance'!C81</f>
        <v>0</v>
      </c>
      <c r="H81" s="20">
        <f t="shared" si="6"/>
        <v>0</v>
      </c>
      <c r="I81" s="20">
        <f t="shared" si="7"/>
        <v>0</v>
      </c>
    </row>
    <row r="82" spans="1:9">
      <c r="A82" s="15" t="s">
        <v>994</v>
      </c>
      <c r="B82" s="128"/>
      <c r="C82" s="127">
        <v>294856</v>
      </c>
      <c r="F82" s="99">
        <f>+'[32]Trial Balance'!B82</f>
        <v>0</v>
      </c>
      <c r="G82" s="99">
        <f>+'[32]Trial Balance'!C82</f>
        <v>294856</v>
      </c>
      <c r="H82" s="20">
        <f t="shared" si="6"/>
        <v>0</v>
      </c>
      <c r="I82" s="20">
        <f t="shared" si="7"/>
        <v>0</v>
      </c>
    </row>
    <row r="83" spans="1:9">
      <c r="A83" s="15" t="s">
        <v>995</v>
      </c>
      <c r="B83" s="127">
        <v>36401</v>
      </c>
      <c r="C83" s="128"/>
      <c r="F83" s="99">
        <f>+'[32]Trial Balance'!B83</f>
        <v>36401</v>
      </c>
      <c r="G83" s="99">
        <f>+'[32]Trial Balance'!C83</f>
        <v>0</v>
      </c>
      <c r="H83" s="20">
        <f t="shared" ref="H83:I87" si="8">+B83-F83</f>
        <v>0</v>
      </c>
      <c r="I83" s="20">
        <f t="shared" si="8"/>
        <v>0</v>
      </c>
    </row>
    <row r="84" spans="1:9">
      <c r="A84" s="15" t="s">
        <v>602</v>
      </c>
      <c r="B84" s="127">
        <v>197</v>
      </c>
      <c r="C84" s="128"/>
      <c r="F84" s="99">
        <f>+'[32]Trial Balance'!B84</f>
        <v>197</v>
      </c>
      <c r="G84" s="99">
        <f>+'[32]Trial Balance'!C84</f>
        <v>0</v>
      </c>
      <c r="H84" s="20">
        <f t="shared" si="8"/>
        <v>0</v>
      </c>
      <c r="I84" s="20">
        <f t="shared" si="8"/>
        <v>0</v>
      </c>
    </row>
    <row r="85" spans="1:9">
      <c r="A85" s="15" t="s">
        <v>603</v>
      </c>
      <c r="B85" s="128"/>
      <c r="C85" s="127">
        <v>221139</v>
      </c>
      <c r="F85" s="99">
        <f>+'[32]Trial Balance'!B85</f>
        <v>0</v>
      </c>
      <c r="G85" s="99">
        <f>+'[32]Trial Balance'!C85</f>
        <v>221139</v>
      </c>
      <c r="H85" s="20">
        <f t="shared" si="8"/>
        <v>0</v>
      </c>
      <c r="I85" s="20">
        <f t="shared" si="8"/>
        <v>0</v>
      </c>
    </row>
    <row r="86" spans="1:9">
      <c r="A86" s="15" t="s">
        <v>604</v>
      </c>
      <c r="B86" s="127">
        <v>79639</v>
      </c>
      <c r="C86" s="128"/>
      <c r="F86" s="99">
        <f>+'[32]Trial Balance'!B86</f>
        <v>79639</v>
      </c>
      <c r="G86" s="99">
        <f>+'[32]Trial Balance'!C86</f>
        <v>0</v>
      </c>
      <c r="H86" s="20">
        <f t="shared" si="8"/>
        <v>0</v>
      </c>
      <c r="I86" s="20">
        <f t="shared" si="8"/>
        <v>0</v>
      </c>
    </row>
    <row r="87" spans="1:9">
      <c r="A87" s="15" t="s">
        <v>996</v>
      </c>
      <c r="B87" s="127">
        <v>148788</v>
      </c>
      <c r="C87" s="128"/>
      <c r="F87" s="99">
        <f>+'[32]Trial Balance'!B87</f>
        <v>148788</v>
      </c>
      <c r="G87" s="99">
        <f>+'[32]Trial Balance'!C87</f>
        <v>0</v>
      </c>
      <c r="H87" s="20">
        <f t="shared" si="8"/>
        <v>0</v>
      </c>
      <c r="I87" s="20">
        <f t="shared" si="8"/>
        <v>0</v>
      </c>
    </row>
    <row r="88" spans="1:9">
      <c r="A88" s="15" t="s">
        <v>997</v>
      </c>
      <c r="B88" s="128"/>
      <c r="C88" s="127">
        <v>17000</v>
      </c>
      <c r="F88" s="99">
        <f>+'[32]Trial Balance'!B88</f>
        <v>0</v>
      </c>
      <c r="G88" s="99">
        <f>+'[32]Trial Balance'!C88</f>
        <v>17000</v>
      </c>
      <c r="H88" s="20">
        <f t="shared" ref="H88:H110" si="9">+B88-F88</f>
        <v>0</v>
      </c>
      <c r="I88" s="20">
        <f t="shared" ref="I88:I110" si="10">+C88-G88</f>
        <v>0</v>
      </c>
    </row>
    <row r="89" spans="1:9">
      <c r="A89" s="15" t="s">
        <v>606</v>
      </c>
      <c r="B89" s="127">
        <v>4677</v>
      </c>
      <c r="C89" s="128"/>
      <c r="F89" s="99">
        <f>+'[32]Trial Balance'!B89</f>
        <v>4677</v>
      </c>
      <c r="G89" s="99">
        <f>+'[32]Trial Balance'!C89</f>
        <v>0</v>
      </c>
      <c r="H89" s="20">
        <f t="shared" si="9"/>
        <v>0</v>
      </c>
      <c r="I89" s="20">
        <f t="shared" si="10"/>
        <v>0</v>
      </c>
    </row>
    <row r="90" spans="1:9">
      <c r="A90" s="15" t="s">
        <v>607</v>
      </c>
      <c r="B90" s="128"/>
      <c r="C90" s="127">
        <v>1237</v>
      </c>
      <c r="F90" s="99">
        <f>+'[32]Trial Balance'!B90</f>
        <v>0</v>
      </c>
      <c r="G90" s="99">
        <f>+'[32]Trial Balance'!C90</f>
        <v>1237</v>
      </c>
      <c r="H90" s="20">
        <f t="shared" si="9"/>
        <v>0</v>
      </c>
      <c r="I90" s="20">
        <f t="shared" si="10"/>
        <v>0</v>
      </c>
    </row>
    <row r="91" spans="1:9">
      <c r="A91" s="15" t="s">
        <v>998</v>
      </c>
      <c r="B91" s="127">
        <v>23636</v>
      </c>
      <c r="C91" s="128"/>
      <c r="F91" s="99">
        <f>+'[32]Trial Balance'!B91</f>
        <v>23636</v>
      </c>
      <c r="G91" s="99">
        <f>+'[32]Trial Balance'!C91</f>
        <v>0</v>
      </c>
      <c r="H91" s="20">
        <f t="shared" si="9"/>
        <v>0</v>
      </c>
      <c r="I91" s="20">
        <f t="shared" si="10"/>
        <v>0</v>
      </c>
    </row>
    <row r="92" spans="1:9">
      <c r="A92" s="15" t="s">
        <v>608</v>
      </c>
      <c r="B92" s="128"/>
      <c r="C92" s="127">
        <v>3075</v>
      </c>
      <c r="F92" s="99">
        <f>+'[32]Trial Balance'!B92</f>
        <v>0</v>
      </c>
      <c r="G92" s="99">
        <f>+'[32]Trial Balance'!C92</f>
        <v>3075</v>
      </c>
      <c r="H92" s="20">
        <f t="shared" si="9"/>
        <v>0</v>
      </c>
      <c r="I92" s="20">
        <f t="shared" si="10"/>
        <v>0</v>
      </c>
    </row>
    <row r="93" spans="1:9">
      <c r="A93" s="15" t="s">
        <v>574</v>
      </c>
      <c r="B93" s="128"/>
      <c r="C93" s="127">
        <v>114869</v>
      </c>
      <c r="F93" s="99">
        <f>+'[32]Trial Balance'!B93</f>
        <v>0</v>
      </c>
      <c r="G93" s="99">
        <f>+'[32]Trial Balance'!C93</f>
        <v>114869</v>
      </c>
      <c r="H93" s="20">
        <f t="shared" si="9"/>
        <v>0</v>
      </c>
      <c r="I93" s="20">
        <f t="shared" si="10"/>
        <v>0</v>
      </c>
    </row>
    <row r="94" spans="1:9">
      <c r="A94" s="15" t="s">
        <v>576</v>
      </c>
      <c r="B94" s="128"/>
      <c r="C94" s="127">
        <v>7798</v>
      </c>
      <c r="F94" s="99">
        <f>+'[32]Trial Balance'!B94</f>
        <v>0</v>
      </c>
      <c r="G94" s="99">
        <f>+'[32]Trial Balance'!C94</f>
        <v>7798</v>
      </c>
      <c r="H94" s="20">
        <f t="shared" si="9"/>
        <v>0</v>
      </c>
      <c r="I94" s="20">
        <f t="shared" si="10"/>
        <v>0</v>
      </c>
    </row>
    <row r="95" spans="1:9">
      <c r="A95" s="15" t="s">
        <v>999</v>
      </c>
      <c r="B95" s="128"/>
      <c r="C95" s="127">
        <v>16809</v>
      </c>
      <c r="F95" s="99">
        <f>+'[32]Trial Balance'!B95</f>
        <v>0</v>
      </c>
      <c r="G95" s="99">
        <f>+'[32]Trial Balance'!C95</f>
        <v>16809</v>
      </c>
      <c r="H95" s="20">
        <f t="shared" si="9"/>
        <v>0</v>
      </c>
      <c r="I95" s="20">
        <f t="shared" si="10"/>
        <v>0</v>
      </c>
    </row>
    <row r="96" spans="1:9">
      <c r="A96" s="15" t="s">
        <v>257</v>
      </c>
      <c r="B96" s="128"/>
      <c r="C96" s="127">
        <v>151811.5</v>
      </c>
      <c r="F96" s="99">
        <f>+'[32]Trial Balance'!B96</f>
        <v>0</v>
      </c>
      <c r="G96" s="99">
        <f>+'[32]Trial Balance'!C96</f>
        <v>151811.5</v>
      </c>
      <c r="H96" s="20">
        <f t="shared" si="9"/>
        <v>0</v>
      </c>
      <c r="I96" s="20">
        <f t="shared" si="10"/>
        <v>0</v>
      </c>
    </row>
    <row r="97" spans="1:9">
      <c r="A97" s="15" t="s">
        <v>1000</v>
      </c>
      <c r="B97" s="128"/>
      <c r="C97" s="127">
        <v>11604</v>
      </c>
      <c r="F97" s="99">
        <f>+'[32]Trial Balance'!B97</f>
        <v>0</v>
      </c>
      <c r="G97" s="99">
        <f>+'[32]Trial Balance'!C97</f>
        <v>11604</v>
      </c>
      <c r="H97" s="20">
        <f t="shared" si="9"/>
        <v>0</v>
      </c>
      <c r="I97" s="20">
        <f t="shared" si="10"/>
        <v>0</v>
      </c>
    </row>
    <row r="98" spans="1:9">
      <c r="A98" s="15" t="s">
        <v>586</v>
      </c>
      <c r="B98" s="128"/>
      <c r="C98" s="127">
        <v>37586</v>
      </c>
      <c r="F98" s="99">
        <f>+'[32]Trial Balance'!B98</f>
        <v>0</v>
      </c>
      <c r="G98" s="99">
        <f>+'[32]Trial Balance'!C98</f>
        <v>37586</v>
      </c>
      <c r="H98" s="20">
        <f t="shared" si="9"/>
        <v>0</v>
      </c>
      <c r="I98" s="20">
        <f t="shared" si="10"/>
        <v>0</v>
      </c>
    </row>
    <row r="99" spans="1:9">
      <c r="A99" s="15" t="s">
        <v>587</v>
      </c>
      <c r="B99" s="128"/>
      <c r="C99" s="127">
        <v>345684.88</v>
      </c>
      <c r="F99" s="99">
        <f>+'[32]Trial Balance'!B99</f>
        <v>0</v>
      </c>
      <c r="G99" s="99">
        <f>+'[32]Trial Balance'!C99</f>
        <v>345684.88</v>
      </c>
      <c r="H99" s="20">
        <f t="shared" si="9"/>
        <v>0</v>
      </c>
      <c r="I99" s="20">
        <f t="shared" si="10"/>
        <v>0</v>
      </c>
    </row>
    <row r="100" spans="1:9">
      <c r="A100" s="15" t="s">
        <v>589</v>
      </c>
      <c r="B100" s="127">
        <v>5330</v>
      </c>
      <c r="C100" s="128"/>
      <c r="F100" s="99">
        <f>+'[32]Trial Balance'!B100</f>
        <v>5330</v>
      </c>
      <c r="G100" s="99">
        <f>+'[32]Trial Balance'!C100</f>
        <v>0</v>
      </c>
      <c r="H100" s="20">
        <f t="shared" si="9"/>
        <v>0</v>
      </c>
      <c r="I100" s="20">
        <f t="shared" si="10"/>
        <v>0</v>
      </c>
    </row>
    <row r="101" spans="1:9">
      <c r="A101" s="15" t="s">
        <v>1001</v>
      </c>
      <c r="B101" s="128"/>
      <c r="C101" s="127">
        <v>28662</v>
      </c>
      <c r="F101" s="99">
        <f>+'[32]Trial Balance'!B101</f>
        <v>0</v>
      </c>
      <c r="G101" s="99">
        <f>+'[32]Trial Balance'!C101</f>
        <v>28662</v>
      </c>
      <c r="H101" s="20">
        <f t="shared" si="9"/>
        <v>0</v>
      </c>
      <c r="I101" s="20">
        <f t="shared" si="10"/>
        <v>0</v>
      </c>
    </row>
    <row r="102" spans="1:9">
      <c r="A102" s="15" t="s">
        <v>593</v>
      </c>
      <c r="B102" s="128"/>
      <c r="C102" s="127">
        <v>165</v>
      </c>
      <c r="F102" s="99">
        <f>+'[32]Trial Balance'!B102</f>
        <v>0</v>
      </c>
      <c r="G102" s="99">
        <f>+'[32]Trial Balance'!C102</f>
        <v>165</v>
      </c>
      <c r="H102" s="20">
        <f t="shared" si="9"/>
        <v>0</v>
      </c>
      <c r="I102" s="20">
        <f t="shared" si="10"/>
        <v>0</v>
      </c>
    </row>
    <row r="103" spans="1:9">
      <c r="A103" s="15" t="s">
        <v>1002</v>
      </c>
      <c r="B103" s="128"/>
      <c r="C103" s="127">
        <v>109094.99</v>
      </c>
      <c r="F103" s="99">
        <f>+'[32]Trial Balance'!B103</f>
        <v>0</v>
      </c>
      <c r="G103" s="99">
        <f>+'[32]Trial Balance'!C103</f>
        <v>109094.99</v>
      </c>
      <c r="H103" s="20">
        <f t="shared" si="9"/>
        <v>0</v>
      </c>
      <c r="I103" s="20">
        <f t="shared" si="10"/>
        <v>0</v>
      </c>
    </row>
    <row r="104" spans="1:9">
      <c r="A104" s="15" t="s">
        <v>1003</v>
      </c>
      <c r="B104" s="127">
        <v>61.5</v>
      </c>
      <c r="C104" s="128"/>
      <c r="F104" s="99">
        <f>+'[32]Trial Balance'!B104</f>
        <v>61.5</v>
      </c>
      <c r="G104" s="99">
        <f>+'[32]Trial Balance'!C104</f>
        <v>0</v>
      </c>
      <c r="H104" s="20">
        <f t="shared" si="9"/>
        <v>0</v>
      </c>
      <c r="I104" s="20">
        <f t="shared" si="10"/>
        <v>0</v>
      </c>
    </row>
    <row r="105" spans="1:9">
      <c r="A105" s="15" t="s">
        <v>597</v>
      </c>
      <c r="B105" s="128"/>
      <c r="C105" s="127">
        <v>409</v>
      </c>
      <c r="F105" s="99">
        <f>+'[32]Trial Balance'!B105</f>
        <v>0</v>
      </c>
      <c r="G105" s="99">
        <f>+'[32]Trial Balance'!C105</f>
        <v>409</v>
      </c>
      <c r="H105" s="20">
        <f t="shared" si="9"/>
        <v>0</v>
      </c>
      <c r="I105" s="20">
        <f t="shared" si="10"/>
        <v>0</v>
      </c>
    </row>
    <row r="106" spans="1:9">
      <c r="A106" s="15" t="s">
        <v>599</v>
      </c>
      <c r="B106" s="128"/>
      <c r="C106" s="127">
        <v>23429</v>
      </c>
      <c r="F106" s="99">
        <f>+'[32]Trial Balance'!B106</f>
        <v>0</v>
      </c>
      <c r="G106" s="99">
        <f>+'[32]Trial Balance'!C106</f>
        <v>23429</v>
      </c>
      <c r="H106" s="20">
        <f t="shared" si="9"/>
        <v>0</v>
      </c>
      <c r="I106" s="20">
        <f t="shared" si="10"/>
        <v>0</v>
      </c>
    </row>
    <row r="107" spans="1:9">
      <c r="A107" s="15" t="s">
        <v>601</v>
      </c>
      <c r="B107" s="128"/>
      <c r="C107" s="127">
        <v>6585</v>
      </c>
      <c r="F107" s="99">
        <f>+'[32]Trial Balance'!B107</f>
        <v>0</v>
      </c>
      <c r="G107" s="99">
        <f>+'[32]Trial Balance'!C107</f>
        <v>6585</v>
      </c>
      <c r="H107" s="20">
        <f t="shared" si="9"/>
        <v>0</v>
      </c>
      <c r="I107" s="20">
        <f t="shared" si="10"/>
        <v>0</v>
      </c>
    </row>
    <row r="108" spans="1:9">
      <c r="A108" s="15" t="s">
        <v>605</v>
      </c>
      <c r="B108" s="128"/>
      <c r="C108" s="127">
        <v>1116634</v>
      </c>
      <c r="F108" s="99">
        <f>+'[32]Trial Balance'!B108</f>
        <v>0</v>
      </c>
      <c r="G108" s="99">
        <f>+'[32]Trial Balance'!C108</f>
        <v>1116634</v>
      </c>
      <c r="H108" s="20">
        <f t="shared" si="9"/>
        <v>0</v>
      </c>
      <c r="I108" s="20">
        <f t="shared" si="10"/>
        <v>0</v>
      </c>
    </row>
    <row r="109" spans="1:9">
      <c r="A109" s="15" t="s">
        <v>1004</v>
      </c>
      <c r="B109" s="128"/>
      <c r="C109" s="127">
        <v>55682</v>
      </c>
      <c r="F109" s="99">
        <f>+'[32]Trial Balance'!B109</f>
        <v>0</v>
      </c>
      <c r="G109" s="99">
        <f>+'[32]Trial Balance'!C109</f>
        <v>55682</v>
      </c>
      <c r="H109" s="20">
        <f t="shared" si="9"/>
        <v>0</v>
      </c>
      <c r="I109" s="20">
        <f t="shared" si="10"/>
        <v>0</v>
      </c>
    </row>
    <row r="110" spans="1:9">
      <c r="A110" s="15" t="s">
        <v>609</v>
      </c>
      <c r="B110" s="128"/>
      <c r="C110" s="127">
        <v>3800</v>
      </c>
      <c r="F110" s="99">
        <f>+'[32]Trial Balance'!B110</f>
        <v>0</v>
      </c>
      <c r="G110" s="99">
        <f>+'[32]Trial Balance'!C110</f>
        <v>3800</v>
      </c>
      <c r="H110" s="20">
        <f t="shared" si="9"/>
        <v>0</v>
      </c>
      <c r="I110" s="20">
        <f t="shared" si="10"/>
        <v>0</v>
      </c>
    </row>
    <row r="111" spans="1:9">
      <c r="A111" s="18" t="s">
        <v>945</v>
      </c>
      <c r="C111" s="131"/>
      <c r="D111" s="93">
        <v>10371302</v>
      </c>
      <c r="E111" s="93">
        <v>2850978.9</v>
      </c>
      <c r="H111" s="20"/>
      <c r="I111" s="20"/>
    </row>
    <row r="112" spans="1:9">
      <c r="A112" s="15" t="s">
        <v>610</v>
      </c>
      <c r="B112" s="128"/>
      <c r="C112" s="127">
        <v>523684</v>
      </c>
      <c r="F112" s="99">
        <f>+'[32]Trial Balance'!B112</f>
        <v>0</v>
      </c>
      <c r="G112" s="99">
        <f>+'[32]Trial Balance'!C112</f>
        <v>523684</v>
      </c>
      <c r="H112" s="20">
        <f>+B112-F112</f>
        <v>0</v>
      </c>
      <c r="I112" s="20">
        <f>+C112-G112</f>
        <v>0</v>
      </c>
    </row>
    <row r="113" spans="1:9">
      <c r="A113" s="15" t="s">
        <v>1005</v>
      </c>
      <c r="B113" s="128"/>
      <c r="C113" s="127">
        <v>5131</v>
      </c>
      <c r="F113" s="99">
        <f>+'[32]Trial Balance'!B113</f>
        <v>0</v>
      </c>
      <c r="G113" s="99">
        <f>+'[32]Trial Balance'!C113</f>
        <v>5131</v>
      </c>
      <c r="H113" s="20">
        <f t="shared" ref="H113:H135" si="11">+B113-F113</f>
        <v>0</v>
      </c>
      <c r="I113" s="20">
        <f t="shared" ref="I113:I135" si="12">+C113-G113</f>
        <v>0</v>
      </c>
    </row>
    <row r="114" spans="1:9">
      <c r="A114" s="15" t="s">
        <v>611</v>
      </c>
      <c r="B114" s="128"/>
      <c r="C114" s="127">
        <v>2824</v>
      </c>
      <c r="F114" s="99">
        <f>+'[32]Trial Balance'!B114</f>
        <v>0</v>
      </c>
      <c r="G114" s="99">
        <f>+'[32]Trial Balance'!C114</f>
        <v>2824</v>
      </c>
      <c r="H114" s="20">
        <f t="shared" si="11"/>
        <v>0</v>
      </c>
      <c r="I114" s="20">
        <f t="shared" si="12"/>
        <v>0</v>
      </c>
    </row>
    <row r="115" spans="1:9">
      <c r="A115" s="15" t="s">
        <v>612</v>
      </c>
      <c r="B115" s="128"/>
      <c r="C115" s="127">
        <v>4298</v>
      </c>
      <c r="F115" s="99">
        <f>+'[32]Trial Balance'!B115</f>
        <v>0</v>
      </c>
      <c r="G115" s="99">
        <f>+'[32]Trial Balance'!C115</f>
        <v>4298</v>
      </c>
      <c r="H115" s="20">
        <f t="shared" si="11"/>
        <v>0</v>
      </c>
      <c r="I115" s="20">
        <f t="shared" si="12"/>
        <v>0</v>
      </c>
    </row>
    <row r="116" spans="1:9">
      <c r="A116" s="15" t="s">
        <v>613</v>
      </c>
      <c r="B116" s="127">
        <v>16939</v>
      </c>
      <c r="C116" s="128"/>
      <c r="F116" s="99">
        <f>+'[32]Trial Balance'!B116</f>
        <v>16939</v>
      </c>
      <c r="G116" s="99">
        <f>+'[32]Trial Balance'!C116</f>
        <v>0</v>
      </c>
      <c r="H116" s="20">
        <f t="shared" si="11"/>
        <v>0</v>
      </c>
      <c r="I116" s="20">
        <f t="shared" si="12"/>
        <v>0</v>
      </c>
    </row>
    <row r="117" spans="1:9">
      <c r="A117" s="15" t="s">
        <v>614</v>
      </c>
      <c r="B117" s="128"/>
      <c r="C117" s="127">
        <v>159514</v>
      </c>
      <c r="F117" s="99">
        <f>+'[32]Trial Balance'!B117</f>
        <v>0</v>
      </c>
      <c r="G117" s="99">
        <f>+'[32]Trial Balance'!C117</f>
        <v>159514</v>
      </c>
      <c r="H117" s="20">
        <f t="shared" si="11"/>
        <v>0</v>
      </c>
      <c r="I117" s="20">
        <f t="shared" si="12"/>
        <v>0</v>
      </c>
    </row>
    <row r="118" spans="1:9">
      <c r="A118" s="15" t="s">
        <v>615</v>
      </c>
      <c r="B118" s="128"/>
      <c r="C118" s="127">
        <v>142197.29999999999</v>
      </c>
      <c r="F118" s="99">
        <f>+'[32]Trial Balance'!B118</f>
        <v>0</v>
      </c>
      <c r="G118" s="99">
        <f>+'[32]Trial Balance'!C118</f>
        <v>142197.29999999999</v>
      </c>
      <c r="H118" s="20">
        <f t="shared" si="11"/>
        <v>0</v>
      </c>
      <c r="I118" s="20">
        <f t="shared" si="12"/>
        <v>0</v>
      </c>
    </row>
    <row r="119" spans="1:9">
      <c r="A119" s="15" t="s">
        <v>616</v>
      </c>
      <c r="B119" s="127">
        <v>11588</v>
      </c>
      <c r="C119" s="128"/>
      <c r="F119" s="99">
        <f>+'[32]Trial Balance'!B119</f>
        <v>11588</v>
      </c>
      <c r="G119" s="99">
        <f>+'[32]Trial Balance'!C119</f>
        <v>0</v>
      </c>
      <c r="H119" s="20">
        <f t="shared" si="11"/>
        <v>0</v>
      </c>
      <c r="I119" s="20">
        <f t="shared" si="12"/>
        <v>0</v>
      </c>
    </row>
    <row r="120" spans="1:9">
      <c r="A120" s="15" t="s">
        <v>617</v>
      </c>
      <c r="B120" s="127">
        <v>7301157</v>
      </c>
      <c r="C120" s="128"/>
      <c r="F120" s="99">
        <f>+'[32]Trial Balance'!B120</f>
        <v>7301157</v>
      </c>
      <c r="G120" s="99">
        <f>+'[32]Trial Balance'!C120</f>
        <v>0</v>
      </c>
      <c r="H120" s="20">
        <f t="shared" si="11"/>
        <v>0</v>
      </c>
      <c r="I120" s="20">
        <f t="shared" si="12"/>
        <v>0</v>
      </c>
    </row>
    <row r="121" spans="1:9">
      <c r="A121" s="15" t="s">
        <v>1006</v>
      </c>
      <c r="B121" s="127">
        <v>830</v>
      </c>
      <c r="C121" s="128"/>
      <c r="F121" s="99">
        <f>+'[32]Trial Balance'!B121</f>
        <v>830</v>
      </c>
      <c r="G121" s="99">
        <f>+'[32]Trial Balance'!C121</f>
        <v>0</v>
      </c>
      <c r="H121" s="20">
        <f t="shared" si="11"/>
        <v>0</v>
      </c>
      <c r="I121" s="20">
        <f t="shared" si="12"/>
        <v>0</v>
      </c>
    </row>
    <row r="122" spans="1:9">
      <c r="A122" s="15" t="s">
        <v>618</v>
      </c>
      <c r="B122" s="127">
        <v>39620</v>
      </c>
      <c r="C122" s="128"/>
      <c r="F122" s="99">
        <f>+'[32]Trial Balance'!B122</f>
        <v>39620</v>
      </c>
      <c r="G122" s="99">
        <f>+'[32]Trial Balance'!C122</f>
        <v>0</v>
      </c>
      <c r="H122" s="20">
        <f t="shared" si="11"/>
        <v>0</v>
      </c>
      <c r="I122" s="20">
        <f t="shared" si="12"/>
        <v>0</v>
      </c>
    </row>
    <row r="123" spans="1:9">
      <c r="A123" s="15" t="s">
        <v>619</v>
      </c>
      <c r="B123" s="128"/>
      <c r="C123" s="127">
        <v>4556</v>
      </c>
      <c r="F123" s="99">
        <f>+'[32]Trial Balance'!B123</f>
        <v>0</v>
      </c>
      <c r="G123" s="99">
        <f>+'[32]Trial Balance'!C123</f>
        <v>4556</v>
      </c>
      <c r="H123" s="20">
        <f t="shared" si="11"/>
        <v>0</v>
      </c>
      <c r="I123" s="20">
        <f t="shared" si="12"/>
        <v>0</v>
      </c>
    </row>
    <row r="124" spans="1:9">
      <c r="A124" s="15" t="s">
        <v>620</v>
      </c>
      <c r="B124" s="127">
        <v>15166</v>
      </c>
      <c r="C124" s="128"/>
      <c r="F124" s="99">
        <f>+'[32]Trial Balance'!B124</f>
        <v>15166</v>
      </c>
      <c r="G124" s="99">
        <f>+'[32]Trial Balance'!C124</f>
        <v>0</v>
      </c>
      <c r="H124" s="20">
        <f t="shared" si="11"/>
        <v>0</v>
      </c>
      <c r="I124" s="20">
        <f t="shared" si="12"/>
        <v>0</v>
      </c>
    </row>
    <row r="125" spans="1:9">
      <c r="A125" s="15" t="s">
        <v>621</v>
      </c>
      <c r="B125" s="128"/>
      <c r="C125" s="127">
        <v>54124</v>
      </c>
      <c r="F125" s="99">
        <f>+'[32]Trial Balance'!B125</f>
        <v>0</v>
      </c>
      <c r="G125" s="99">
        <f>+'[32]Trial Balance'!C125</f>
        <v>54124</v>
      </c>
      <c r="H125" s="20">
        <f t="shared" si="11"/>
        <v>0</v>
      </c>
      <c r="I125" s="20">
        <f t="shared" si="12"/>
        <v>0</v>
      </c>
    </row>
    <row r="126" spans="1:9">
      <c r="A126" s="15" t="s">
        <v>622</v>
      </c>
      <c r="B126" s="127">
        <v>82703</v>
      </c>
      <c r="C126" s="128"/>
      <c r="F126" s="99">
        <f>+'[32]Trial Balance'!B126</f>
        <v>82703</v>
      </c>
      <c r="G126" s="99">
        <f>+'[32]Trial Balance'!C126</f>
        <v>0</v>
      </c>
      <c r="H126" s="20">
        <f t="shared" si="11"/>
        <v>0</v>
      </c>
      <c r="I126" s="20">
        <f t="shared" si="12"/>
        <v>0</v>
      </c>
    </row>
    <row r="127" spans="1:9">
      <c r="A127" s="15" t="s">
        <v>623</v>
      </c>
      <c r="B127" s="127">
        <v>53226</v>
      </c>
      <c r="C127" s="128"/>
      <c r="F127" s="99">
        <f>+'[32]Trial Balance'!B127</f>
        <v>53226</v>
      </c>
      <c r="G127" s="99">
        <f>+'[32]Trial Balance'!C127</f>
        <v>0</v>
      </c>
      <c r="H127" s="20">
        <f t="shared" si="11"/>
        <v>0</v>
      </c>
      <c r="I127" s="20">
        <f t="shared" si="12"/>
        <v>0</v>
      </c>
    </row>
    <row r="128" spans="1:9">
      <c r="A128" s="15" t="s">
        <v>624</v>
      </c>
      <c r="B128" s="127">
        <v>10000</v>
      </c>
      <c r="C128" s="128"/>
      <c r="F128" s="99">
        <f>+'[32]Trial Balance'!B128</f>
        <v>10000</v>
      </c>
      <c r="G128" s="99">
        <f>+'[32]Trial Balance'!C128</f>
        <v>0</v>
      </c>
      <c r="H128" s="20">
        <f t="shared" si="11"/>
        <v>0</v>
      </c>
      <c r="I128" s="20">
        <f t="shared" si="12"/>
        <v>0</v>
      </c>
    </row>
    <row r="129" spans="1:9">
      <c r="A129" s="15" t="s">
        <v>625</v>
      </c>
      <c r="B129" s="127">
        <v>27500</v>
      </c>
      <c r="C129" s="128"/>
      <c r="F129" s="99">
        <f>+'[32]Trial Balance'!B129</f>
        <v>27500</v>
      </c>
      <c r="G129" s="99">
        <f>+'[32]Trial Balance'!C129</f>
        <v>0</v>
      </c>
      <c r="H129" s="20">
        <f t="shared" si="11"/>
        <v>0</v>
      </c>
      <c r="I129" s="20">
        <f t="shared" si="12"/>
        <v>0</v>
      </c>
    </row>
    <row r="130" spans="1:9">
      <c r="A130" s="15" t="s">
        <v>1007</v>
      </c>
      <c r="B130" s="127">
        <v>42499</v>
      </c>
      <c r="C130" s="128"/>
      <c r="F130" s="99">
        <f>+'[32]Trial Balance'!B130</f>
        <v>42499</v>
      </c>
      <c r="G130" s="99">
        <f>+'[32]Trial Balance'!C130</f>
        <v>0</v>
      </c>
      <c r="H130" s="20">
        <f t="shared" si="11"/>
        <v>0</v>
      </c>
      <c r="I130" s="20">
        <f t="shared" si="12"/>
        <v>0</v>
      </c>
    </row>
    <row r="131" spans="1:9">
      <c r="A131" s="15" t="s">
        <v>626</v>
      </c>
      <c r="B131" s="128"/>
      <c r="C131" s="127">
        <v>10766</v>
      </c>
      <c r="F131" s="99">
        <f>+'[32]Trial Balance'!B131</f>
        <v>0</v>
      </c>
      <c r="G131" s="99">
        <f>+'[32]Trial Balance'!C131</f>
        <v>10766</v>
      </c>
      <c r="H131" s="20">
        <f t="shared" si="11"/>
        <v>0</v>
      </c>
      <c r="I131" s="20">
        <f t="shared" si="12"/>
        <v>0</v>
      </c>
    </row>
    <row r="132" spans="1:9">
      <c r="A132" s="15" t="s">
        <v>627</v>
      </c>
      <c r="B132" s="127">
        <v>115093</v>
      </c>
      <c r="C132" s="128"/>
      <c r="F132" s="99">
        <f>+'[32]Trial Balance'!B132</f>
        <v>115093</v>
      </c>
      <c r="G132" s="99">
        <f>+'[32]Trial Balance'!C132</f>
        <v>0</v>
      </c>
      <c r="H132" s="20">
        <f t="shared" si="11"/>
        <v>0</v>
      </c>
      <c r="I132" s="20">
        <f t="shared" si="12"/>
        <v>0</v>
      </c>
    </row>
    <row r="133" spans="1:9">
      <c r="A133" s="15" t="s">
        <v>628</v>
      </c>
      <c r="B133" s="127">
        <v>518</v>
      </c>
      <c r="C133" s="128"/>
      <c r="F133" s="99">
        <f>+'[32]Trial Balance'!B133</f>
        <v>518</v>
      </c>
      <c r="G133" s="99">
        <f>+'[32]Trial Balance'!C133</f>
        <v>0</v>
      </c>
      <c r="H133" s="20">
        <f t="shared" si="11"/>
        <v>0</v>
      </c>
      <c r="I133" s="20">
        <f t="shared" si="12"/>
        <v>0</v>
      </c>
    </row>
    <row r="134" spans="1:9">
      <c r="A134" s="15" t="s">
        <v>1008</v>
      </c>
      <c r="B134" s="127">
        <v>7500</v>
      </c>
      <c r="C134" s="128"/>
      <c r="F134" s="99">
        <f>+'[32]Trial Balance'!B134</f>
        <v>7500</v>
      </c>
      <c r="G134" s="99">
        <f>+'[32]Trial Balance'!C134</f>
        <v>0</v>
      </c>
      <c r="H134" s="20">
        <f t="shared" si="11"/>
        <v>0</v>
      </c>
      <c r="I134" s="20">
        <f t="shared" si="12"/>
        <v>0</v>
      </c>
    </row>
    <row r="135" spans="1:9">
      <c r="A135" s="15" t="s">
        <v>629</v>
      </c>
      <c r="B135" s="127">
        <v>7493</v>
      </c>
      <c r="C135" s="128"/>
      <c r="F135" s="99">
        <f>+'[32]Trial Balance'!B135</f>
        <v>7493</v>
      </c>
      <c r="G135" s="99">
        <f>+'[32]Trial Balance'!C135</f>
        <v>0</v>
      </c>
      <c r="H135" s="20">
        <f t="shared" si="11"/>
        <v>0</v>
      </c>
      <c r="I135" s="20">
        <f t="shared" si="12"/>
        <v>0</v>
      </c>
    </row>
    <row r="136" spans="1:9">
      <c r="A136" s="15" t="s">
        <v>630</v>
      </c>
      <c r="B136" s="128"/>
      <c r="C136" s="127">
        <v>37785</v>
      </c>
      <c r="F136" s="99">
        <f>+'[32]Trial Balance'!B136</f>
        <v>0</v>
      </c>
      <c r="G136" s="99">
        <f>+'[32]Trial Balance'!C136</f>
        <v>37785</v>
      </c>
      <c r="H136" s="20">
        <f t="shared" ref="H136:I141" si="13">+B136-F136</f>
        <v>0</v>
      </c>
      <c r="I136" s="20">
        <f t="shared" si="13"/>
        <v>0</v>
      </c>
    </row>
    <row r="137" spans="1:9">
      <c r="A137" s="15" t="s">
        <v>1009</v>
      </c>
      <c r="B137" s="127"/>
      <c r="C137" s="127">
        <v>14714</v>
      </c>
      <c r="F137" s="99">
        <f>+'[32]Trial Balance'!B137</f>
        <v>0</v>
      </c>
      <c r="G137" s="99">
        <f>+'[32]Trial Balance'!C137</f>
        <v>14714</v>
      </c>
      <c r="H137" s="20">
        <f t="shared" si="13"/>
        <v>0</v>
      </c>
      <c r="I137" s="20">
        <f t="shared" si="13"/>
        <v>0</v>
      </c>
    </row>
    <row r="138" spans="1:9">
      <c r="A138" s="15" t="s">
        <v>1010</v>
      </c>
      <c r="B138" s="127">
        <v>1548542</v>
      </c>
      <c r="C138" s="127"/>
      <c r="F138" s="99">
        <f>+'[32]Trial Balance'!B138</f>
        <v>1548542</v>
      </c>
      <c r="G138" s="99">
        <f>+'[32]Trial Balance'!C138</f>
        <v>0</v>
      </c>
      <c r="H138" s="20">
        <f t="shared" si="13"/>
        <v>0</v>
      </c>
      <c r="I138" s="20">
        <f t="shared" si="13"/>
        <v>0</v>
      </c>
    </row>
    <row r="139" spans="1:9">
      <c r="A139" s="15" t="s">
        <v>631</v>
      </c>
      <c r="B139" s="127">
        <v>21373</v>
      </c>
      <c r="C139" s="128"/>
      <c r="F139" s="99">
        <f>+'[32]Trial Balance'!B139</f>
        <v>21373</v>
      </c>
      <c r="G139" s="99">
        <f>+'[32]Trial Balance'!C139</f>
        <v>0</v>
      </c>
      <c r="H139" s="20">
        <f t="shared" si="13"/>
        <v>0</v>
      </c>
      <c r="I139" s="20">
        <f t="shared" si="13"/>
        <v>0</v>
      </c>
    </row>
    <row r="140" spans="1:9">
      <c r="A140" s="15" t="s">
        <v>632</v>
      </c>
      <c r="B140" s="127">
        <v>92021</v>
      </c>
      <c r="C140" s="128"/>
      <c r="F140" s="99">
        <f>+'[32]Trial Balance'!B140</f>
        <v>92021</v>
      </c>
      <c r="G140" s="99">
        <f>+'[32]Trial Balance'!C140</f>
        <v>0</v>
      </c>
      <c r="H140" s="20">
        <f t="shared" si="13"/>
        <v>0</v>
      </c>
      <c r="I140" s="20">
        <f t="shared" si="13"/>
        <v>0</v>
      </c>
    </row>
    <row r="141" spans="1:9">
      <c r="A141" s="15" t="s">
        <v>633</v>
      </c>
      <c r="B141" s="128"/>
      <c r="C141" s="127">
        <v>34845</v>
      </c>
      <c r="F141" s="99">
        <f>+'[32]Trial Balance'!B141</f>
        <v>0</v>
      </c>
      <c r="G141" s="99">
        <f>+'[32]Trial Balance'!C141</f>
        <v>34845</v>
      </c>
      <c r="H141" s="20">
        <f t="shared" si="13"/>
        <v>0</v>
      </c>
      <c r="I141" s="20">
        <f t="shared" si="13"/>
        <v>0</v>
      </c>
    </row>
    <row r="142" spans="1:9">
      <c r="A142" s="15" t="s">
        <v>1011</v>
      </c>
      <c r="B142" s="127">
        <v>8806</v>
      </c>
      <c r="C142" s="128"/>
      <c r="F142" s="99">
        <f>+'[32]Trial Balance'!B142</f>
        <v>8806</v>
      </c>
      <c r="G142" s="99">
        <f>+'[32]Trial Balance'!C142</f>
        <v>0</v>
      </c>
      <c r="H142" s="20">
        <f t="shared" ref="H142:H162" si="14">+B142-F142</f>
        <v>0</v>
      </c>
      <c r="I142" s="20">
        <f t="shared" ref="I142:I162" si="15">+C142-G142</f>
        <v>0</v>
      </c>
    </row>
    <row r="143" spans="1:9">
      <c r="A143" s="15" t="s">
        <v>1012</v>
      </c>
      <c r="B143" s="127">
        <v>9013</v>
      </c>
      <c r="C143" s="128"/>
      <c r="F143" s="99">
        <f>+'[32]Trial Balance'!B143</f>
        <v>9013</v>
      </c>
      <c r="G143" s="99">
        <f>+'[32]Trial Balance'!C143</f>
        <v>0</v>
      </c>
      <c r="H143" s="20">
        <f t="shared" si="14"/>
        <v>0</v>
      </c>
      <c r="I143" s="20">
        <f t="shared" si="15"/>
        <v>0</v>
      </c>
    </row>
    <row r="144" spans="1:9">
      <c r="A144" s="15" t="s">
        <v>634</v>
      </c>
      <c r="B144" s="128"/>
      <c r="C144" s="127">
        <v>2412</v>
      </c>
      <c r="F144" s="99">
        <f>+'[32]Trial Balance'!B144</f>
        <v>0</v>
      </c>
      <c r="G144" s="99">
        <f>+'[32]Trial Balance'!C144</f>
        <v>2412</v>
      </c>
      <c r="H144" s="20">
        <f t="shared" si="14"/>
        <v>0</v>
      </c>
      <c r="I144" s="20">
        <f t="shared" si="15"/>
        <v>0</v>
      </c>
    </row>
    <row r="145" spans="1:9">
      <c r="A145" s="15" t="s">
        <v>1013</v>
      </c>
      <c r="B145" s="127">
        <v>5000</v>
      </c>
      <c r="C145" s="128"/>
      <c r="F145" s="99">
        <f>+'[32]Trial Balance'!B145</f>
        <v>5000</v>
      </c>
      <c r="G145" s="99">
        <f>+'[32]Trial Balance'!C145</f>
        <v>0</v>
      </c>
      <c r="H145" s="20">
        <f t="shared" si="14"/>
        <v>0</v>
      </c>
      <c r="I145" s="20">
        <f t="shared" si="15"/>
        <v>0</v>
      </c>
    </row>
    <row r="146" spans="1:9">
      <c r="A146" s="15" t="s">
        <v>1014</v>
      </c>
      <c r="B146" s="127">
        <v>3050</v>
      </c>
      <c r="C146" s="128"/>
      <c r="F146" s="99">
        <f>+'[32]Trial Balance'!B146</f>
        <v>3050</v>
      </c>
      <c r="G146" s="99">
        <f>+'[32]Trial Balance'!C146</f>
        <v>0</v>
      </c>
      <c r="H146" s="20">
        <f t="shared" si="14"/>
        <v>0</v>
      </c>
      <c r="I146" s="20">
        <f t="shared" si="15"/>
        <v>0</v>
      </c>
    </row>
    <row r="147" spans="1:9">
      <c r="A147" s="15" t="s">
        <v>635</v>
      </c>
      <c r="B147" s="128"/>
      <c r="C147" s="127">
        <v>14</v>
      </c>
      <c r="F147" s="99">
        <f>+'[32]Trial Balance'!B147</f>
        <v>0</v>
      </c>
      <c r="G147" s="99">
        <f>+'[32]Trial Balance'!C147</f>
        <v>14</v>
      </c>
      <c r="H147" s="20">
        <f t="shared" si="14"/>
        <v>0</v>
      </c>
      <c r="I147" s="20">
        <f t="shared" si="15"/>
        <v>0</v>
      </c>
    </row>
    <row r="148" spans="1:9">
      <c r="A148" s="15" t="s">
        <v>636</v>
      </c>
      <c r="B148" s="127">
        <v>26269</v>
      </c>
      <c r="C148" s="128"/>
      <c r="F148" s="99">
        <f>+'[32]Trial Balance'!B148</f>
        <v>26269</v>
      </c>
      <c r="G148" s="99">
        <f>+'[32]Trial Balance'!C148</f>
        <v>0</v>
      </c>
      <c r="H148" s="20">
        <f t="shared" si="14"/>
        <v>0</v>
      </c>
      <c r="I148" s="20">
        <f t="shared" si="15"/>
        <v>0</v>
      </c>
    </row>
    <row r="149" spans="1:9">
      <c r="A149" s="15" t="s">
        <v>637</v>
      </c>
      <c r="B149" s="127">
        <v>5230</v>
      </c>
      <c r="C149" s="128"/>
      <c r="F149" s="99">
        <f>+'[32]Trial Balance'!B149</f>
        <v>5230</v>
      </c>
      <c r="G149" s="99">
        <f>+'[32]Trial Balance'!C149</f>
        <v>0</v>
      </c>
      <c r="H149" s="20">
        <f t="shared" si="14"/>
        <v>0</v>
      </c>
      <c r="I149" s="20">
        <f t="shared" si="15"/>
        <v>0</v>
      </c>
    </row>
    <row r="150" spans="1:9">
      <c r="A150" s="15" t="s">
        <v>638</v>
      </c>
      <c r="B150" s="128"/>
      <c r="C150" s="127">
        <v>2590</v>
      </c>
      <c r="F150" s="99">
        <f>+'[32]Trial Balance'!B150</f>
        <v>0</v>
      </c>
      <c r="G150" s="99">
        <f>+'[32]Trial Balance'!C150</f>
        <v>2590</v>
      </c>
      <c r="H150" s="20">
        <f t="shared" si="14"/>
        <v>0</v>
      </c>
      <c r="I150" s="20">
        <f t="shared" si="15"/>
        <v>0</v>
      </c>
    </row>
    <row r="151" spans="1:9">
      <c r="A151" s="15" t="s">
        <v>639</v>
      </c>
      <c r="B151" s="128"/>
      <c r="C151" s="127">
        <v>5901</v>
      </c>
      <c r="F151" s="99">
        <f>+'[32]Trial Balance'!B151</f>
        <v>0</v>
      </c>
      <c r="G151" s="99">
        <f>+'[32]Trial Balance'!C151</f>
        <v>5901</v>
      </c>
      <c r="H151" s="20">
        <f t="shared" si="14"/>
        <v>0</v>
      </c>
      <c r="I151" s="20">
        <f t="shared" si="15"/>
        <v>0</v>
      </c>
    </row>
    <row r="152" spans="1:9">
      <c r="A152" s="15" t="s">
        <v>640</v>
      </c>
      <c r="B152" s="128"/>
      <c r="C152" s="127">
        <v>27607.599999999999</v>
      </c>
      <c r="F152" s="99">
        <f>+'[32]Trial Balance'!B152</f>
        <v>0</v>
      </c>
      <c r="G152" s="99">
        <f>+'[32]Trial Balance'!C152</f>
        <v>27607.599999999999</v>
      </c>
      <c r="H152" s="20">
        <f t="shared" si="14"/>
        <v>0</v>
      </c>
      <c r="I152" s="20">
        <f t="shared" si="15"/>
        <v>0</v>
      </c>
    </row>
    <row r="153" spans="1:9">
      <c r="A153" s="15" t="s">
        <v>641</v>
      </c>
      <c r="B153" s="127">
        <v>3997212</v>
      </c>
      <c r="C153" s="128"/>
      <c r="F153" s="99">
        <f>+'[32]Trial Balance'!B153</f>
        <v>3997212</v>
      </c>
      <c r="G153" s="99">
        <f>+'[32]Trial Balance'!C153</f>
        <v>0</v>
      </c>
      <c r="H153" s="20">
        <f t="shared" si="14"/>
        <v>0</v>
      </c>
      <c r="I153" s="20">
        <f t="shared" si="15"/>
        <v>0</v>
      </c>
    </row>
    <row r="154" spans="1:9">
      <c r="A154" s="15" t="s">
        <v>642</v>
      </c>
      <c r="B154" s="127">
        <v>85192</v>
      </c>
      <c r="C154" s="128"/>
      <c r="F154" s="99">
        <f>+'[32]Trial Balance'!B154</f>
        <v>85192</v>
      </c>
      <c r="G154" s="99">
        <f>+'[32]Trial Balance'!C154</f>
        <v>0</v>
      </c>
      <c r="H154" s="20">
        <f t="shared" si="14"/>
        <v>0</v>
      </c>
      <c r="I154" s="20">
        <f t="shared" si="15"/>
        <v>0</v>
      </c>
    </row>
    <row r="155" spans="1:9">
      <c r="A155" s="15" t="s">
        <v>643</v>
      </c>
      <c r="B155" s="128"/>
      <c r="C155" s="127">
        <v>5687</v>
      </c>
      <c r="F155" s="99">
        <f>+'[32]Trial Balance'!B155</f>
        <v>0</v>
      </c>
      <c r="G155" s="99">
        <f>+'[32]Trial Balance'!C155</f>
        <v>5687</v>
      </c>
      <c r="H155" s="20">
        <f t="shared" si="14"/>
        <v>0</v>
      </c>
      <c r="I155" s="20">
        <f t="shared" si="15"/>
        <v>0</v>
      </c>
    </row>
    <row r="156" spans="1:9">
      <c r="A156" s="15" t="s">
        <v>644</v>
      </c>
      <c r="B156" s="128"/>
      <c r="C156" s="127">
        <v>4880</v>
      </c>
      <c r="F156" s="99">
        <f>+'[32]Trial Balance'!B156</f>
        <v>0</v>
      </c>
      <c r="G156" s="99">
        <f>+'[32]Trial Balance'!C156</f>
        <v>4880</v>
      </c>
      <c r="H156" s="20">
        <f t="shared" si="14"/>
        <v>0</v>
      </c>
      <c r="I156" s="20">
        <f t="shared" si="15"/>
        <v>0</v>
      </c>
    </row>
    <row r="157" spans="1:9">
      <c r="A157" s="15" t="s">
        <v>645</v>
      </c>
      <c r="B157" s="127">
        <v>8029</v>
      </c>
      <c r="C157" s="128"/>
      <c r="F157" s="99">
        <f>+'[32]Trial Balance'!B157</f>
        <v>8029</v>
      </c>
      <c r="G157" s="99">
        <f>+'[32]Trial Balance'!C157</f>
        <v>0</v>
      </c>
      <c r="H157" s="20">
        <f t="shared" si="14"/>
        <v>0</v>
      </c>
      <c r="I157" s="20">
        <f t="shared" si="15"/>
        <v>0</v>
      </c>
    </row>
    <row r="158" spans="1:9">
      <c r="A158" s="15" t="s">
        <v>646</v>
      </c>
      <c r="B158" s="128"/>
      <c r="C158" s="127">
        <v>119627</v>
      </c>
      <c r="F158" s="99">
        <f>+'[32]Trial Balance'!B158</f>
        <v>0</v>
      </c>
      <c r="G158" s="99">
        <f>+'[32]Trial Balance'!C158</f>
        <v>119627</v>
      </c>
      <c r="H158" s="20">
        <f t="shared" si="14"/>
        <v>0</v>
      </c>
      <c r="I158" s="20">
        <f t="shared" si="15"/>
        <v>0</v>
      </c>
    </row>
    <row r="159" spans="1:9">
      <c r="A159" s="15" t="s">
        <v>647</v>
      </c>
      <c r="B159" s="128"/>
      <c r="C159" s="127">
        <v>301</v>
      </c>
      <c r="F159" s="99">
        <f>+'[32]Trial Balance'!B159</f>
        <v>0</v>
      </c>
      <c r="G159" s="99">
        <f>+'[32]Trial Balance'!C159</f>
        <v>301</v>
      </c>
      <c r="H159" s="20">
        <f t="shared" si="14"/>
        <v>0</v>
      </c>
      <c r="I159" s="20">
        <f t="shared" si="15"/>
        <v>0</v>
      </c>
    </row>
    <row r="160" spans="1:9">
      <c r="A160" s="15" t="s">
        <v>648</v>
      </c>
      <c r="B160" s="127">
        <v>65806</v>
      </c>
      <c r="C160" s="128"/>
      <c r="F160" s="99">
        <f>+'[32]Trial Balance'!B160</f>
        <v>65806</v>
      </c>
      <c r="G160" s="99">
        <f>+'[32]Trial Balance'!C160</f>
        <v>0</v>
      </c>
      <c r="H160" s="20">
        <f t="shared" si="14"/>
        <v>0</v>
      </c>
      <c r="I160" s="20">
        <f t="shared" si="15"/>
        <v>0</v>
      </c>
    </row>
    <row r="161" spans="1:9">
      <c r="A161" s="15" t="s">
        <v>649</v>
      </c>
      <c r="B161" s="128"/>
      <c r="C161" s="127">
        <v>139667</v>
      </c>
      <c r="F161" s="99">
        <f>+'[32]Trial Balance'!B161</f>
        <v>0</v>
      </c>
      <c r="G161" s="99">
        <f>+'[32]Trial Balance'!C161</f>
        <v>139667</v>
      </c>
      <c r="H161" s="20">
        <f t="shared" si="14"/>
        <v>0</v>
      </c>
      <c r="I161" s="20">
        <f t="shared" si="15"/>
        <v>0</v>
      </c>
    </row>
    <row r="162" spans="1:9">
      <c r="A162" s="15" t="s">
        <v>1015</v>
      </c>
      <c r="B162" s="127">
        <v>77899</v>
      </c>
      <c r="C162" s="128"/>
      <c r="F162" s="99">
        <f>+'[32]Trial Balance'!B162</f>
        <v>77899</v>
      </c>
      <c r="G162" s="99">
        <f>+'[32]Trial Balance'!C162</f>
        <v>0</v>
      </c>
      <c r="H162" s="20">
        <f t="shared" si="14"/>
        <v>0</v>
      </c>
      <c r="I162" s="20">
        <f t="shared" si="15"/>
        <v>0</v>
      </c>
    </row>
    <row r="163" spans="1:9">
      <c r="A163" s="15" t="s">
        <v>651</v>
      </c>
      <c r="B163" s="128"/>
      <c r="C163" s="127">
        <v>17</v>
      </c>
      <c r="F163" s="99">
        <f>+'[32]Trial Balance'!B163</f>
        <v>0</v>
      </c>
      <c r="G163" s="99">
        <f>+'[32]Trial Balance'!C163</f>
        <v>17</v>
      </c>
      <c r="H163" s="20">
        <f>+B163-F163</f>
        <v>0</v>
      </c>
      <c r="I163" s="20">
        <f>+C163-G163</f>
        <v>0</v>
      </c>
    </row>
    <row r="164" spans="1:9">
      <c r="A164" s="15" t="s">
        <v>652</v>
      </c>
      <c r="B164" s="127">
        <v>11228</v>
      </c>
      <c r="C164" s="128"/>
      <c r="F164" s="99">
        <f>+'[32]Trial Balance'!B164</f>
        <v>11228</v>
      </c>
      <c r="G164" s="99">
        <f>+'[32]Trial Balance'!C164</f>
        <v>0</v>
      </c>
      <c r="H164" s="20">
        <f t="shared" ref="H164:H227" si="16">+B164-F164</f>
        <v>0</v>
      </c>
      <c r="I164" s="20">
        <f t="shared" ref="I164:I227" si="17">+C164-G164</f>
        <v>0</v>
      </c>
    </row>
    <row r="165" spans="1:9">
      <c r="A165" s="15" t="s">
        <v>1016</v>
      </c>
      <c r="B165" s="128"/>
      <c r="C165" s="127">
        <v>11155</v>
      </c>
      <c r="F165" s="99">
        <f>+'[32]Trial Balance'!B165</f>
        <v>0</v>
      </c>
      <c r="G165" s="99">
        <f>+'[32]Trial Balance'!C165</f>
        <v>11155</v>
      </c>
      <c r="H165" s="20">
        <f t="shared" si="16"/>
        <v>0</v>
      </c>
      <c r="I165" s="20">
        <f t="shared" si="17"/>
        <v>0</v>
      </c>
    </row>
    <row r="166" spans="1:9">
      <c r="A166" s="15" t="s">
        <v>1017</v>
      </c>
      <c r="B166" s="128"/>
      <c r="C166" s="127">
        <v>43410</v>
      </c>
      <c r="F166" s="99">
        <f>+'[32]Trial Balance'!B166</f>
        <v>0</v>
      </c>
      <c r="G166" s="99">
        <f>+'[32]Trial Balance'!C166</f>
        <v>43410</v>
      </c>
      <c r="H166" s="20">
        <f t="shared" si="16"/>
        <v>0</v>
      </c>
      <c r="I166" s="20">
        <f t="shared" si="17"/>
        <v>0</v>
      </c>
    </row>
    <row r="167" spans="1:9">
      <c r="A167" s="15" t="s">
        <v>1018</v>
      </c>
      <c r="B167" s="127">
        <v>1000</v>
      </c>
      <c r="C167" s="128"/>
      <c r="F167" s="99">
        <f>+'[32]Trial Balance'!B167</f>
        <v>1000</v>
      </c>
      <c r="G167" s="99">
        <f>+'[32]Trial Balance'!C167</f>
        <v>0</v>
      </c>
      <c r="H167" s="20">
        <f t="shared" si="16"/>
        <v>0</v>
      </c>
      <c r="I167" s="20">
        <f t="shared" si="17"/>
        <v>0</v>
      </c>
    </row>
    <row r="168" spans="1:9">
      <c r="A168" s="15" t="s">
        <v>654</v>
      </c>
      <c r="B168" s="127">
        <v>84127</v>
      </c>
      <c r="C168" s="128"/>
      <c r="F168" s="99">
        <f>+'[32]Trial Balance'!B168</f>
        <v>84127</v>
      </c>
      <c r="G168" s="99">
        <f>+'[32]Trial Balance'!C168</f>
        <v>0</v>
      </c>
      <c r="H168" s="20">
        <f t="shared" si="16"/>
        <v>0</v>
      </c>
      <c r="I168" s="20">
        <f t="shared" si="17"/>
        <v>0</v>
      </c>
    </row>
    <row r="169" spans="1:9">
      <c r="A169" s="15" t="s">
        <v>655</v>
      </c>
      <c r="B169" s="128"/>
      <c r="C169" s="127">
        <v>58410</v>
      </c>
      <c r="F169" s="99">
        <f>+'[32]Trial Balance'!B169</f>
        <v>0</v>
      </c>
      <c r="G169" s="99">
        <f>+'[32]Trial Balance'!C169</f>
        <v>58410</v>
      </c>
      <c r="H169" s="20">
        <f t="shared" si="16"/>
        <v>0</v>
      </c>
      <c r="I169" s="20">
        <f t="shared" si="17"/>
        <v>0</v>
      </c>
    </row>
    <row r="170" spans="1:9">
      <c r="A170" s="15" t="s">
        <v>1019</v>
      </c>
      <c r="B170" s="127">
        <v>3380</v>
      </c>
      <c r="C170" s="128"/>
      <c r="F170" s="99">
        <f>+'[32]Trial Balance'!B170</f>
        <v>3380</v>
      </c>
      <c r="G170" s="99">
        <f>+'[32]Trial Balance'!C170</f>
        <v>0</v>
      </c>
      <c r="H170" s="20">
        <f t="shared" si="16"/>
        <v>0</v>
      </c>
      <c r="I170" s="20">
        <f t="shared" si="17"/>
        <v>0</v>
      </c>
    </row>
    <row r="171" spans="1:9">
      <c r="A171" s="15" t="s">
        <v>657</v>
      </c>
      <c r="B171" s="128"/>
      <c r="C171" s="127">
        <v>10392</v>
      </c>
      <c r="F171" s="99">
        <f>+'[32]Trial Balance'!B171</f>
        <v>0</v>
      </c>
      <c r="G171" s="99">
        <f>+'[32]Trial Balance'!C171</f>
        <v>10392</v>
      </c>
      <c r="H171" s="20">
        <f t="shared" si="16"/>
        <v>0</v>
      </c>
      <c r="I171" s="20">
        <f t="shared" si="17"/>
        <v>0</v>
      </c>
    </row>
    <row r="172" spans="1:9">
      <c r="A172" s="15" t="s">
        <v>1020</v>
      </c>
      <c r="B172" s="127">
        <v>10000</v>
      </c>
      <c r="C172" s="128"/>
      <c r="F172" s="99">
        <f>+'[32]Trial Balance'!B172</f>
        <v>10000</v>
      </c>
      <c r="G172" s="99">
        <f>+'[32]Trial Balance'!C172</f>
        <v>0</v>
      </c>
      <c r="H172" s="20">
        <f t="shared" si="16"/>
        <v>0</v>
      </c>
      <c r="I172" s="20">
        <f t="shared" si="17"/>
        <v>0</v>
      </c>
    </row>
    <row r="173" spans="1:9">
      <c r="A173" s="15" t="s">
        <v>658</v>
      </c>
      <c r="B173" s="127"/>
      <c r="C173" s="127">
        <v>3588</v>
      </c>
      <c r="F173" s="99">
        <f>+'[32]Trial Balance'!B173</f>
        <v>0</v>
      </c>
      <c r="G173" s="99">
        <f>+'[32]Trial Balance'!C173</f>
        <v>3588</v>
      </c>
      <c r="H173" s="20">
        <f t="shared" si="16"/>
        <v>0</v>
      </c>
      <c r="I173" s="20">
        <f t="shared" si="17"/>
        <v>0</v>
      </c>
    </row>
    <row r="174" spans="1:9">
      <c r="A174" s="15" t="s">
        <v>659</v>
      </c>
      <c r="B174" s="128"/>
      <c r="C174" s="127">
        <v>17973</v>
      </c>
      <c r="F174" s="99">
        <f>+'[32]Trial Balance'!B174</f>
        <v>0</v>
      </c>
      <c r="G174" s="99">
        <f>+'[32]Trial Balance'!C174</f>
        <v>17973</v>
      </c>
      <c r="H174" s="20">
        <f t="shared" si="16"/>
        <v>0</v>
      </c>
      <c r="I174" s="20">
        <f t="shared" si="17"/>
        <v>0</v>
      </c>
    </row>
    <row r="175" spans="1:9">
      <c r="A175" s="15" t="s">
        <v>660</v>
      </c>
      <c r="B175" s="128"/>
      <c r="C175" s="127">
        <v>114</v>
      </c>
      <c r="F175" s="99">
        <f>+'[32]Trial Balance'!B175</f>
        <v>0</v>
      </c>
      <c r="G175" s="99">
        <f>+'[32]Trial Balance'!C175</f>
        <v>114</v>
      </c>
      <c r="H175" s="20">
        <f t="shared" si="16"/>
        <v>0</v>
      </c>
      <c r="I175" s="20">
        <f t="shared" si="17"/>
        <v>0</v>
      </c>
    </row>
    <row r="176" spans="1:9">
      <c r="A176" s="15" t="s">
        <v>661</v>
      </c>
      <c r="B176" s="128"/>
      <c r="C176" s="127">
        <v>9965</v>
      </c>
      <c r="F176" s="99">
        <f>+'[32]Trial Balance'!B176</f>
        <v>0</v>
      </c>
      <c r="G176" s="99">
        <f>+'[32]Trial Balance'!C176</f>
        <v>9965</v>
      </c>
      <c r="H176" s="20">
        <f t="shared" si="16"/>
        <v>0</v>
      </c>
      <c r="I176" s="20">
        <f t="shared" si="17"/>
        <v>0</v>
      </c>
    </row>
    <row r="177" spans="1:9">
      <c r="A177" s="15" t="s">
        <v>662</v>
      </c>
      <c r="B177" s="127">
        <v>10428</v>
      </c>
      <c r="C177" s="128"/>
      <c r="F177" s="99">
        <f>+'[32]Trial Balance'!B177</f>
        <v>10428</v>
      </c>
      <c r="G177" s="99">
        <f>+'[32]Trial Balance'!C177</f>
        <v>0</v>
      </c>
      <c r="H177" s="20">
        <f t="shared" si="16"/>
        <v>0</v>
      </c>
      <c r="I177" s="20">
        <f t="shared" si="17"/>
        <v>0</v>
      </c>
    </row>
    <row r="178" spans="1:9">
      <c r="A178" s="15" t="s">
        <v>663</v>
      </c>
      <c r="B178" s="127">
        <v>76818</v>
      </c>
      <c r="C178" s="128"/>
      <c r="F178" s="99">
        <f>+'[32]Trial Balance'!B178</f>
        <v>76818</v>
      </c>
      <c r="G178" s="99">
        <f>+'[32]Trial Balance'!C178</f>
        <v>0</v>
      </c>
      <c r="H178" s="20">
        <f t="shared" si="16"/>
        <v>0</v>
      </c>
      <c r="I178" s="20">
        <f t="shared" si="17"/>
        <v>0</v>
      </c>
    </row>
    <row r="179" spans="1:9">
      <c r="A179" s="15" t="s">
        <v>664</v>
      </c>
      <c r="B179" s="128"/>
      <c r="C179" s="127">
        <v>11426</v>
      </c>
      <c r="F179" s="99">
        <f>+'[32]Trial Balance'!B179</f>
        <v>0</v>
      </c>
      <c r="G179" s="99">
        <f>+'[32]Trial Balance'!C179</f>
        <v>11426</v>
      </c>
      <c r="H179" s="20">
        <f t="shared" si="16"/>
        <v>0</v>
      </c>
      <c r="I179" s="20">
        <f t="shared" si="17"/>
        <v>0</v>
      </c>
    </row>
    <row r="180" spans="1:9">
      <c r="A180" s="15" t="s">
        <v>1021</v>
      </c>
      <c r="B180" s="128"/>
      <c r="C180" s="127">
        <v>4106</v>
      </c>
      <c r="F180" s="99">
        <f>+'[32]Trial Balance'!B180</f>
        <v>0</v>
      </c>
      <c r="G180" s="99">
        <f>+'[32]Trial Balance'!C180</f>
        <v>4106</v>
      </c>
      <c r="H180" s="20">
        <f t="shared" si="16"/>
        <v>0</v>
      </c>
      <c r="I180" s="20">
        <f t="shared" si="17"/>
        <v>0</v>
      </c>
    </row>
    <row r="181" spans="1:9">
      <c r="A181" s="15" t="s">
        <v>665</v>
      </c>
      <c r="B181" s="127"/>
      <c r="C181" s="127">
        <v>6055</v>
      </c>
      <c r="F181" s="99">
        <f>+'[32]Trial Balance'!B181</f>
        <v>0</v>
      </c>
      <c r="G181" s="99">
        <f>+'[32]Trial Balance'!C181</f>
        <v>6055</v>
      </c>
      <c r="H181" s="20">
        <f t="shared" si="16"/>
        <v>0</v>
      </c>
      <c r="I181" s="20">
        <f t="shared" si="17"/>
        <v>0</v>
      </c>
    </row>
    <row r="182" spans="1:9">
      <c r="A182" s="15" t="s">
        <v>1022</v>
      </c>
      <c r="B182" s="127">
        <v>10169</v>
      </c>
      <c r="C182" s="128"/>
      <c r="F182" s="99">
        <f>+'[32]Trial Balance'!B182</f>
        <v>10169</v>
      </c>
      <c r="G182" s="99">
        <f>+'[32]Trial Balance'!C182</f>
        <v>0</v>
      </c>
      <c r="H182" s="20">
        <f t="shared" si="16"/>
        <v>0</v>
      </c>
      <c r="I182" s="20">
        <f t="shared" si="17"/>
        <v>0</v>
      </c>
    </row>
    <row r="183" spans="1:9">
      <c r="A183" s="15" t="s">
        <v>666</v>
      </c>
      <c r="B183" s="127">
        <v>9039</v>
      </c>
      <c r="C183" s="128"/>
      <c r="F183" s="99">
        <f>+'[32]Trial Balance'!B183</f>
        <v>9039</v>
      </c>
      <c r="G183" s="99">
        <f>+'[32]Trial Balance'!C183</f>
        <v>0</v>
      </c>
      <c r="H183" s="20">
        <f t="shared" si="16"/>
        <v>0</v>
      </c>
      <c r="I183" s="20">
        <f t="shared" si="17"/>
        <v>0</v>
      </c>
    </row>
    <row r="184" spans="1:9">
      <c r="A184" s="15" t="s">
        <v>667</v>
      </c>
      <c r="B184" s="128"/>
      <c r="C184" s="127">
        <v>8536</v>
      </c>
      <c r="F184" s="99">
        <f>+'[32]Trial Balance'!B184</f>
        <v>0</v>
      </c>
      <c r="G184" s="99">
        <f>+'[32]Trial Balance'!C184</f>
        <v>8536</v>
      </c>
      <c r="H184" s="20">
        <f t="shared" si="16"/>
        <v>0</v>
      </c>
      <c r="I184" s="20">
        <f t="shared" si="17"/>
        <v>0</v>
      </c>
    </row>
    <row r="185" spans="1:9">
      <c r="A185" s="15" t="s">
        <v>1023</v>
      </c>
      <c r="B185" s="127">
        <v>12350</v>
      </c>
      <c r="C185" s="128"/>
      <c r="F185" s="99">
        <f>+'[32]Trial Balance'!B185</f>
        <v>12350</v>
      </c>
      <c r="G185" s="99">
        <f>+'[32]Trial Balance'!C185</f>
        <v>0</v>
      </c>
      <c r="H185" s="20">
        <f t="shared" si="16"/>
        <v>0</v>
      </c>
      <c r="I185" s="20">
        <f t="shared" si="17"/>
        <v>0</v>
      </c>
    </row>
    <row r="186" spans="1:9">
      <c r="A186" s="15" t="s">
        <v>668</v>
      </c>
      <c r="B186" s="127">
        <v>10000</v>
      </c>
      <c r="C186" s="128"/>
      <c r="F186" s="99">
        <f>+'[32]Trial Balance'!B186</f>
        <v>10000</v>
      </c>
      <c r="G186" s="99">
        <f>+'[32]Trial Balance'!C186</f>
        <v>0</v>
      </c>
      <c r="H186" s="20">
        <f t="shared" si="16"/>
        <v>0</v>
      </c>
      <c r="I186" s="20">
        <f t="shared" si="17"/>
        <v>0</v>
      </c>
    </row>
    <row r="187" spans="1:9">
      <c r="A187" s="15" t="s">
        <v>669</v>
      </c>
      <c r="B187" s="128"/>
      <c r="C187" s="127">
        <v>4460</v>
      </c>
      <c r="F187" s="99">
        <f>+'[32]Trial Balance'!B187</f>
        <v>0</v>
      </c>
      <c r="G187" s="99">
        <f>+'[32]Trial Balance'!C187</f>
        <v>4460</v>
      </c>
      <c r="H187" s="20">
        <f t="shared" si="16"/>
        <v>0</v>
      </c>
      <c r="I187" s="20">
        <f t="shared" si="17"/>
        <v>0</v>
      </c>
    </row>
    <row r="188" spans="1:9">
      <c r="A188" s="15" t="s">
        <v>670</v>
      </c>
      <c r="B188" s="127">
        <v>0</v>
      </c>
      <c r="C188" s="127">
        <v>25317</v>
      </c>
      <c r="F188" s="99">
        <f>+'[32]Trial Balance'!B188</f>
        <v>0</v>
      </c>
      <c r="G188" s="99">
        <f>+'[32]Trial Balance'!C188</f>
        <v>25317</v>
      </c>
      <c r="H188" s="20">
        <f t="shared" si="16"/>
        <v>0</v>
      </c>
      <c r="I188" s="20">
        <f t="shared" si="17"/>
        <v>0</v>
      </c>
    </row>
    <row r="189" spans="1:9">
      <c r="A189" s="15" t="s">
        <v>671</v>
      </c>
      <c r="B189" s="128"/>
      <c r="C189" s="127">
        <v>3246</v>
      </c>
      <c r="F189" s="99">
        <f>+'[32]Trial Balance'!B189</f>
        <v>0</v>
      </c>
      <c r="G189" s="99">
        <f>+'[32]Trial Balance'!C189</f>
        <v>3246</v>
      </c>
      <c r="H189" s="20">
        <f t="shared" si="16"/>
        <v>0</v>
      </c>
      <c r="I189" s="20">
        <f t="shared" si="17"/>
        <v>0</v>
      </c>
    </row>
    <row r="190" spans="1:9">
      <c r="A190" s="15" t="s">
        <v>1024</v>
      </c>
      <c r="B190" s="128"/>
      <c r="C190" s="127">
        <v>1815</v>
      </c>
      <c r="F190" s="99">
        <f>+'[32]Trial Balance'!B190</f>
        <v>0</v>
      </c>
      <c r="G190" s="99">
        <f>+'[32]Trial Balance'!C190</f>
        <v>1815</v>
      </c>
      <c r="H190" s="20">
        <f t="shared" si="16"/>
        <v>0</v>
      </c>
      <c r="I190" s="20">
        <f t="shared" si="17"/>
        <v>0</v>
      </c>
    </row>
    <row r="191" spans="1:9">
      <c r="A191" s="15" t="s">
        <v>672</v>
      </c>
      <c r="B191" s="128"/>
      <c r="C191" s="127">
        <v>16895</v>
      </c>
      <c r="F191" s="99">
        <f>+'[32]Trial Balance'!B191</f>
        <v>0</v>
      </c>
      <c r="G191" s="99">
        <f>+'[32]Trial Balance'!C191</f>
        <v>16895</v>
      </c>
      <c r="H191" s="20">
        <f t="shared" si="16"/>
        <v>0</v>
      </c>
      <c r="I191" s="20">
        <f t="shared" si="17"/>
        <v>0</v>
      </c>
    </row>
    <row r="192" spans="1:9">
      <c r="A192" s="15" t="s">
        <v>673</v>
      </c>
      <c r="B192" s="128"/>
      <c r="C192" s="127">
        <v>15312</v>
      </c>
      <c r="F192" s="99">
        <f>+'[32]Trial Balance'!B192</f>
        <v>0</v>
      </c>
      <c r="G192" s="99">
        <f>+'[32]Trial Balance'!C192</f>
        <v>15312</v>
      </c>
      <c r="H192" s="20">
        <f t="shared" si="16"/>
        <v>0</v>
      </c>
      <c r="I192" s="20">
        <f t="shared" si="17"/>
        <v>0</v>
      </c>
    </row>
    <row r="193" spans="1:9">
      <c r="A193" s="15" t="s">
        <v>674</v>
      </c>
      <c r="B193" s="128"/>
      <c r="C193" s="127">
        <v>10328</v>
      </c>
      <c r="F193" s="99">
        <f>+'[32]Trial Balance'!B193</f>
        <v>0</v>
      </c>
      <c r="G193" s="99">
        <f>+'[32]Trial Balance'!C193</f>
        <v>10328</v>
      </c>
      <c r="H193" s="20">
        <f t="shared" si="16"/>
        <v>0</v>
      </c>
      <c r="I193" s="20">
        <f t="shared" si="17"/>
        <v>0</v>
      </c>
    </row>
    <row r="194" spans="1:9">
      <c r="A194" s="15" t="s">
        <v>1025</v>
      </c>
      <c r="B194" s="128"/>
      <c r="C194" s="127">
        <v>7491</v>
      </c>
      <c r="F194" s="99">
        <f>+'[32]Trial Balance'!B194</f>
        <v>0</v>
      </c>
      <c r="G194" s="99">
        <f>+'[32]Trial Balance'!C194</f>
        <v>7491</v>
      </c>
      <c r="H194" s="20">
        <f t="shared" si="16"/>
        <v>0</v>
      </c>
      <c r="I194" s="20">
        <f t="shared" si="17"/>
        <v>0</v>
      </c>
    </row>
    <row r="195" spans="1:9">
      <c r="A195" s="15" t="s">
        <v>675</v>
      </c>
      <c r="B195" s="128"/>
      <c r="C195" s="127">
        <v>6954</v>
      </c>
      <c r="F195" s="99">
        <f>+'[32]Trial Balance'!B195</f>
        <v>0</v>
      </c>
      <c r="G195" s="99">
        <f>+'[32]Trial Balance'!C195</f>
        <v>6954</v>
      </c>
      <c r="H195" s="20">
        <f t="shared" si="16"/>
        <v>0</v>
      </c>
      <c r="I195" s="20">
        <f t="shared" si="17"/>
        <v>0</v>
      </c>
    </row>
    <row r="196" spans="1:9">
      <c r="A196" s="15" t="s">
        <v>1026</v>
      </c>
      <c r="B196" s="127">
        <v>5000</v>
      </c>
      <c r="C196" s="128"/>
      <c r="F196" s="99">
        <f>+'[32]Trial Balance'!B196</f>
        <v>5000</v>
      </c>
      <c r="G196" s="99">
        <f>+'[32]Trial Balance'!C196</f>
        <v>0</v>
      </c>
      <c r="H196" s="20">
        <f t="shared" si="16"/>
        <v>0</v>
      </c>
      <c r="I196" s="20">
        <f t="shared" si="17"/>
        <v>0</v>
      </c>
    </row>
    <row r="197" spans="1:9">
      <c r="A197" s="15" t="s">
        <v>676</v>
      </c>
      <c r="B197" s="127">
        <v>16026</v>
      </c>
      <c r="C197" s="128"/>
      <c r="F197" s="99">
        <f>+'[32]Trial Balance'!B197</f>
        <v>16026</v>
      </c>
      <c r="G197" s="99">
        <f>+'[32]Trial Balance'!C197</f>
        <v>0</v>
      </c>
      <c r="H197" s="20">
        <f t="shared" si="16"/>
        <v>0</v>
      </c>
      <c r="I197" s="20">
        <f t="shared" si="17"/>
        <v>0</v>
      </c>
    </row>
    <row r="198" spans="1:9">
      <c r="A198" s="15" t="s">
        <v>677</v>
      </c>
      <c r="B198" s="127">
        <v>9823</v>
      </c>
      <c r="C198" s="128"/>
      <c r="F198" s="99">
        <f>+'[32]Trial Balance'!B198</f>
        <v>9823</v>
      </c>
      <c r="G198" s="99">
        <f>+'[32]Trial Balance'!C198</f>
        <v>0</v>
      </c>
      <c r="H198" s="20">
        <f t="shared" si="16"/>
        <v>0</v>
      </c>
      <c r="I198" s="20">
        <f t="shared" si="17"/>
        <v>0</v>
      </c>
    </row>
    <row r="199" spans="1:9">
      <c r="A199" s="15" t="s">
        <v>678</v>
      </c>
      <c r="B199" s="128"/>
      <c r="C199" s="127">
        <v>7974</v>
      </c>
      <c r="F199" s="99">
        <f>+'[32]Trial Balance'!B199</f>
        <v>0</v>
      </c>
      <c r="G199" s="99">
        <f>+'[32]Trial Balance'!C199</f>
        <v>7974</v>
      </c>
      <c r="H199" s="20">
        <f t="shared" si="16"/>
        <v>0</v>
      </c>
      <c r="I199" s="20">
        <f t="shared" si="17"/>
        <v>0</v>
      </c>
    </row>
    <row r="200" spans="1:9">
      <c r="A200" s="15" t="s">
        <v>679</v>
      </c>
      <c r="B200" s="128"/>
      <c r="C200" s="127">
        <v>42419</v>
      </c>
      <c r="F200" s="99">
        <f>+'[32]Trial Balance'!B200</f>
        <v>0</v>
      </c>
      <c r="G200" s="99">
        <f>+'[32]Trial Balance'!C200</f>
        <v>42419</v>
      </c>
      <c r="H200" s="20">
        <f t="shared" si="16"/>
        <v>0</v>
      </c>
      <c r="I200" s="20">
        <f t="shared" si="17"/>
        <v>0</v>
      </c>
    </row>
    <row r="201" spans="1:9">
      <c r="A201" s="15" t="s">
        <v>1027</v>
      </c>
      <c r="B201" s="127"/>
      <c r="C201" s="127">
        <v>17952</v>
      </c>
      <c r="F201" s="99">
        <f>+'[32]Trial Balance'!B201</f>
        <v>0</v>
      </c>
      <c r="G201" s="99">
        <f>+'[32]Trial Balance'!C201</f>
        <v>17952</v>
      </c>
      <c r="H201" s="20">
        <f t="shared" si="16"/>
        <v>0</v>
      </c>
      <c r="I201" s="20">
        <f t="shared" si="17"/>
        <v>0</v>
      </c>
    </row>
    <row r="202" spans="1:9">
      <c r="A202" s="15" t="s">
        <v>680</v>
      </c>
      <c r="B202" s="128"/>
      <c r="C202" s="127">
        <v>1356</v>
      </c>
      <c r="F202" s="99">
        <f>+'[32]Trial Balance'!B202</f>
        <v>0</v>
      </c>
      <c r="G202" s="99">
        <f>+'[32]Trial Balance'!C202</f>
        <v>1356</v>
      </c>
      <c r="H202" s="20">
        <f t="shared" si="16"/>
        <v>0</v>
      </c>
      <c r="I202" s="20">
        <f t="shared" si="17"/>
        <v>0</v>
      </c>
    </row>
    <row r="203" spans="1:9">
      <c r="A203" s="15" t="s">
        <v>681</v>
      </c>
      <c r="B203" s="128"/>
      <c r="C203" s="127">
        <v>2083</v>
      </c>
      <c r="F203" s="99">
        <f>+'[32]Trial Balance'!B203</f>
        <v>0</v>
      </c>
      <c r="G203" s="99">
        <f>+'[32]Trial Balance'!C203</f>
        <v>2083</v>
      </c>
      <c r="H203" s="20">
        <f t="shared" si="16"/>
        <v>0</v>
      </c>
      <c r="I203" s="20">
        <f t="shared" si="17"/>
        <v>0</v>
      </c>
    </row>
    <row r="204" spans="1:9">
      <c r="A204" s="15" t="s">
        <v>1028</v>
      </c>
      <c r="B204" s="127">
        <v>84515</v>
      </c>
      <c r="C204" s="128"/>
      <c r="F204" s="99">
        <f>+'[32]Trial Balance'!B204</f>
        <v>84515</v>
      </c>
      <c r="G204" s="99">
        <f>+'[32]Trial Balance'!C204</f>
        <v>0</v>
      </c>
      <c r="H204" s="20">
        <f t="shared" si="16"/>
        <v>0</v>
      </c>
      <c r="I204" s="20">
        <f t="shared" si="17"/>
        <v>0</v>
      </c>
    </row>
    <row r="205" spans="1:9">
      <c r="A205" s="15" t="s">
        <v>682</v>
      </c>
      <c r="B205" s="128"/>
      <c r="C205" s="127">
        <v>17875</v>
      </c>
      <c r="F205" s="99">
        <f>+'[32]Trial Balance'!B205</f>
        <v>0</v>
      </c>
      <c r="G205" s="99">
        <f>+'[32]Trial Balance'!C205</f>
        <v>17875</v>
      </c>
      <c r="H205" s="20">
        <f t="shared" si="16"/>
        <v>0</v>
      </c>
      <c r="I205" s="20">
        <f t="shared" si="17"/>
        <v>0</v>
      </c>
    </row>
    <row r="206" spans="1:9">
      <c r="A206" s="15" t="s">
        <v>683</v>
      </c>
      <c r="B206" s="128"/>
      <c r="C206" s="127">
        <v>3744</v>
      </c>
      <c r="F206" s="99">
        <f>+'[32]Trial Balance'!B206</f>
        <v>0</v>
      </c>
      <c r="G206" s="99">
        <f>+'[32]Trial Balance'!C206</f>
        <v>3744</v>
      </c>
      <c r="H206" s="20">
        <f t="shared" si="16"/>
        <v>0</v>
      </c>
      <c r="I206" s="20">
        <f t="shared" si="17"/>
        <v>0</v>
      </c>
    </row>
    <row r="207" spans="1:9">
      <c r="A207" s="15" t="s">
        <v>684</v>
      </c>
      <c r="B207" s="127">
        <v>2776</v>
      </c>
      <c r="C207" s="128"/>
      <c r="F207" s="99">
        <f>+'[32]Trial Balance'!B207</f>
        <v>2776</v>
      </c>
      <c r="G207" s="99">
        <f>+'[32]Trial Balance'!C207</f>
        <v>0</v>
      </c>
      <c r="H207" s="20">
        <f t="shared" si="16"/>
        <v>0</v>
      </c>
      <c r="I207" s="20">
        <f t="shared" si="17"/>
        <v>0</v>
      </c>
    </row>
    <row r="208" spans="1:9">
      <c r="A208" s="15" t="s">
        <v>685</v>
      </c>
      <c r="B208" s="127">
        <v>243930</v>
      </c>
      <c r="C208" s="128"/>
      <c r="F208" s="99">
        <f>+'[32]Trial Balance'!B208</f>
        <v>243930</v>
      </c>
      <c r="G208" s="99">
        <f>+'[32]Trial Balance'!C208</f>
        <v>0</v>
      </c>
      <c r="H208" s="20">
        <f t="shared" si="16"/>
        <v>0</v>
      </c>
      <c r="I208" s="20">
        <f t="shared" si="17"/>
        <v>0</v>
      </c>
    </row>
    <row r="209" spans="1:9">
      <c r="A209" s="15" t="s">
        <v>686</v>
      </c>
      <c r="B209" s="128"/>
      <c r="C209" s="127">
        <v>11514</v>
      </c>
      <c r="F209" s="99">
        <f>+'[32]Trial Balance'!B209</f>
        <v>0</v>
      </c>
      <c r="G209" s="99">
        <f>+'[32]Trial Balance'!C209</f>
        <v>11514</v>
      </c>
      <c r="H209" s="20">
        <f t="shared" si="16"/>
        <v>0</v>
      </c>
      <c r="I209" s="20">
        <f t="shared" si="17"/>
        <v>0</v>
      </c>
    </row>
    <row r="210" spans="1:9">
      <c r="A210" s="15" t="s">
        <v>687</v>
      </c>
      <c r="B210" s="127">
        <v>126356</v>
      </c>
      <c r="C210" s="128"/>
      <c r="F210" s="99">
        <f>+'[32]Trial Balance'!B210</f>
        <v>126356</v>
      </c>
      <c r="G210" s="99">
        <f>+'[32]Trial Balance'!C210</f>
        <v>0</v>
      </c>
      <c r="H210" s="20">
        <f t="shared" si="16"/>
        <v>0</v>
      </c>
      <c r="I210" s="20">
        <f t="shared" si="17"/>
        <v>0</v>
      </c>
    </row>
    <row r="211" spans="1:9">
      <c r="A211" s="15" t="s">
        <v>688</v>
      </c>
      <c r="B211" s="127">
        <v>21157</v>
      </c>
      <c r="C211" s="128"/>
      <c r="F211" s="99">
        <f>+'[32]Trial Balance'!B211</f>
        <v>21157</v>
      </c>
      <c r="G211" s="99">
        <f>+'[32]Trial Balance'!C211</f>
        <v>0</v>
      </c>
      <c r="H211" s="20">
        <f t="shared" si="16"/>
        <v>0</v>
      </c>
      <c r="I211" s="20">
        <f t="shared" si="17"/>
        <v>0</v>
      </c>
    </row>
    <row r="212" spans="1:9">
      <c r="A212" s="15" t="s">
        <v>689</v>
      </c>
      <c r="B212" s="128"/>
      <c r="C212" s="127">
        <v>45548</v>
      </c>
      <c r="F212" s="99">
        <f>+'[32]Trial Balance'!B212</f>
        <v>0</v>
      </c>
      <c r="G212" s="99">
        <f>+'[32]Trial Balance'!C212</f>
        <v>45548</v>
      </c>
      <c r="H212" s="20">
        <f t="shared" si="16"/>
        <v>0</v>
      </c>
      <c r="I212" s="20">
        <f t="shared" si="17"/>
        <v>0</v>
      </c>
    </row>
    <row r="213" spans="1:9">
      <c r="A213" s="15" t="s">
        <v>690</v>
      </c>
      <c r="B213" s="127">
        <v>6000</v>
      </c>
      <c r="C213" s="128"/>
      <c r="F213" s="99">
        <f>+'[32]Trial Balance'!B213</f>
        <v>6000</v>
      </c>
      <c r="G213" s="99">
        <f>+'[32]Trial Balance'!C213</f>
        <v>0</v>
      </c>
      <c r="H213" s="20">
        <f t="shared" si="16"/>
        <v>0</v>
      </c>
      <c r="I213" s="20">
        <f t="shared" si="17"/>
        <v>0</v>
      </c>
    </row>
    <row r="214" spans="1:9">
      <c r="A214" s="15" t="s">
        <v>691</v>
      </c>
      <c r="B214" s="127">
        <v>5377</v>
      </c>
      <c r="C214" s="128"/>
      <c r="F214" s="99">
        <f>+'[32]Trial Balance'!B214</f>
        <v>5377</v>
      </c>
      <c r="G214" s="99">
        <f>+'[32]Trial Balance'!C214</f>
        <v>0</v>
      </c>
      <c r="H214" s="20">
        <f t="shared" si="16"/>
        <v>0</v>
      </c>
      <c r="I214" s="20">
        <f t="shared" si="17"/>
        <v>0</v>
      </c>
    </row>
    <row r="215" spans="1:9">
      <c r="A215" s="15" t="s">
        <v>1029</v>
      </c>
      <c r="B215" s="128"/>
      <c r="C215" s="127">
        <v>4000</v>
      </c>
      <c r="F215" s="99">
        <f>+'[32]Trial Balance'!B215</f>
        <v>0</v>
      </c>
      <c r="G215" s="99">
        <f>+'[32]Trial Balance'!C215</f>
        <v>4000</v>
      </c>
      <c r="H215" s="20">
        <f t="shared" si="16"/>
        <v>0</v>
      </c>
      <c r="I215" s="20">
        <f t="shared" si="17"/>
        <v>0</v>
      </c>
    </row>
    <row r="216" spans="1:9">
      <c r="A216" s="15" t="s">
        <v>692</v>
      </c>
      <c r="B216" s="127">
        <v>5200</v>
      </c>
      <c r="C216" s="128"/>
      <c r="F216" s="99">
        <f>+'[32]Trial Balance'!B216</f>
        <v>5200</v>
      </c>
      <c r="G216" s="99">
        <f>+'[32]Trial Balance'!C216</f>
        <v>0</v>
      </c>
      <c r="H216" s="20">
        <f t="shared" si="16"/>
        <v>0</v>
      </c>
      <c r="I216" s="20">
        <f t="shared" si="17"/>
        <v>0</v>
      </c>
    </row>
    <row r="217" spans="1:9">
      <c r="A217" s="15" t="s">
        <v>1030</v>
      </c>
      <c r="B217" s="128"/>
      <c r="C217" s="127">
        <v>159066</v>
      </c>
      <c r="F217" s="99">
        <f>+'[32]Trial Balance'!B217</f>
        <v>0</v>
      </c>
      <c r="G217" s="99">
        <f>+'[32]Trial Balance'!C217</f>
        <v>159066</v>
      </c>
      <c r="H217" s="20">
        <f t="shared" si="16"/>
        <v>0</v>
      </c>
      <c r="I217" s="20">
        <f t="shared" si="17"/>
        <v>0</v>
      </c>
    </row>
    <row r="218" spans="1:9">
      <c r="A218" s="15" t="s">
        <v>693</v>
      </c>
      <c r="B218" s="128"/>
      <c r="C218" s="127">
        <v>4190</v>
      </c>
      <c r="F218" s="99">
        <f>+'[32]Trial Balance'!B218</f>
        <v>0</v>
      </c>
      <c r="G218" s="99">
        <f>+'[32]Trial Balance'!C218</f>
        <v>4190</v>
      </c>
      <c r="H218" s="20">
        <f t="shared" si="16"/>
        <v>0</v>
      </c>
      <c r="I218" s="20">
        <f t="shared" si="17"/>
        <v>0</v>
      </c>
    </row>
    <row r="219" spans="1:9">
      <c r="A219" s="15" t="s">
        <v>1031</v>
      </c>
      <c r="B219" s="128"/>
      <c r="C219" s="127">
        <v>3337</v>
      </c>
      <c r="F219" s="99">
        <f>+'[32]Trial Balance'!B219</f>
        <v>0</v>
      </c>
      <c r="G219" s="99">
        <f>+'[32]Trial Balance'!C219</f>
        <v>3337</v>
      </c>
      <c r="H219" s="20">
        <f t="shared" si="16"/>
        <v>0</v>
      </c>
      <c r="I219" s="20">
        <f t="shared" si="17"/>
        <v>0</v>
      </c>
    </row>
    <row r="220" spans="1:9">
      <c r="A220" s="15" t="s">
        <v>694</v>
      </c>
      <c r="B220" s="128"/>
      <c r="C220" s="127">
        <v>3645</v>
      </c>
      <c r="F220" s="99">
        <f>+'[32]Trial Balance'!B220</f>
        <v>0</v>
      </c>
      <c r="G220" s="99">
        <f>+'[32]Trial Balance'!C220</f>
        <v>3645</v>
      </c>
      <c r="H220" s="20">
        <f t="shared" si="16"/>
        <v>0</v>
      </c>
      <c r="I220" s="20">
        <f t="shared" si="17"/>
        <v>0</v>
      </c>
    </row>
    <row r="221" spans="1:9">
      <c r="A221" s="15" t="s">
        <v>696</v>
      </c>
      <c r="B221" s="128"/>
      <c r="C221" s="127">
        <v>13798</v>
      </c>
      <c r="F221" s="99">
        <f>+'[32]Trial Balance'!B221</f>
        <v>0</v>
      </c>
      <c r="G221" s="99">
        <f>+'[32]Trial Balance'!C221</f>
        <v>13798</v>
      </c>
      <c r="H221" s="20">
        <f t="shared" si="16"/>
        <v>0</v>
      </c>
      <c r="I221" s="20">
        <f t="shared" si="17"/>
        <v>0</v>
      </c>
    </row>
    <row r="222" spans="1:9">
      <c r="A222" s="15" t="s">
        <v>698</v>
      </c>
      <c r="B222" s="127">
        <v>101779</v>
      </c>
      <c r="C222" s="128"/>
      <c r="F222" s="99">
        <f>+'[32]Trial Balance'!B222</f>
        <v>101779</v>
      </c>
      <c r="G222" s="99">
        <f>+'[32]Trial Balance'!C222</f>
        <v>0</v>
      </c>
      <c r="H222" s="20">
        <f t="shared" si="16"/>
        <v>0</v>
      </c>
      <c r="I222" s="20">
        <f t="shared" si="17"/>
        <v>0</v>
      </c>
    </row>
    <row r="223" spans="1:9">
      <c r="A223" s="15" t="s">
        <v>699</v>
      </c>
      <c r="B223" s="128"/>
      <c r="C223" s="127">
        <v>3696</v>
      </c>
      <c r="F223" s="99">
        <f>+'[32]Trial Balance'!B223</f>
        <v>0</v>
      </c>
      <c r="G223" s="99">
        <f>+'[32]Trial Balance'!C223</f>
        <v>3696</v>
      </c>
      <c r="H223" s="20">
        <f t="shared" si="16"/>
        <v>0</v>
      </c>
      <c r="I223" s="20">
        <f t="shared" si="17"/>
        <v>0</v>
      </c>
    </row>
    <row r="224" spans="1:9">
      <c r="A224" s="15" t="s">
        <v>700</v>
      </c>
      <c r="B224" s="127">
        <v>123086</v>
      </c>
      <c r="C224" s="128"/>
      <c r="F224" s="99">
        <f>+'[32]Trial Balance'!B224</f>
        <v>123086</v>
      </c>
      <c r="G224" s="99">
        <f>+'[32]Trial Balance'!C224</f>
        <v>0</v>
      </c>
      <c r="H224" s="20">
        <f t="shared" si="16"/>
        <v>0</v>
      </c>
      <c r="I224" s="20">
        <f t="shared" si="17"/>
        <v>0</v>
      </c>
    </row>
    <row r="225" spans="1:9">
      <c r="A225" s="15" t="s">
        <v>1032</v>
      </c>
      <c r="B225" s="127">
        <v>3765294</v>
      </c>
      <c r="C225" s="128"/>
      <c r="F225" s="99">
        <f>+'[32]Trial Balance'!B225</f>
        <v>3765294</v>
      </c>
      <c r="G225" s="99">
        <f>+'[32]Trial Balance'!C225</f>
        <v>0</v>
      </c>
      <c r="H225" s="20">
        <f t="shared" si="16"/>
        <v>0</v>
      </c>
      <c r="I225" s="20">
        <f t="shared" si="17"/>
        <v>0</v>
      </c>
    </row>
    <row r="226" spans="1:9">
      <c r="A226" s="15" t="s">
        <v>701</v>
      </c>
      <c r="B226" s="128"/>
      <c r="C226" s="127">
        <v>1836</v>
      </c>
      <c r="F226" s="99">
        <f>+'[32]Trial Balance'!B226</f>
        <v>0</v>
      </c>
      <c r="G226" s="99">
        <f>+'[32]Trial Balance'!C226</f>
        <v>1836</v>
      </c>
      <c r="H226" s="20">
        <f t="shared" si="16"/>
        <v>0</v>
      </c>
      <c r="I226" s="20">
        <f t="shared" si="17"/>
        <v>0</v>
      </c>
    </row>
    <row r="227" spans="1:9">
      <c r="A227" s="15" t="s">
        <v>702</v>
      </c>
      <c r="B227" s="128"/>
      <c r="C227" s="127">
        <v>10100</v>
      </c>
      <c r="F227" s="99">
        <f>+'[32]Trial Balance'!B227</f>
        <v>0</v>
      </c>
      <c r="G227" s="99">
        <f>+'[32]Trial Balance'!C227</f>
        <v>10100</v>
      </c>
      <c r="H227" s="20">
        <f t="shared" si="16"/>
        <v>0</v>
      </c>
      <c r="I227" s="20">
        <f t="shared" si="17"/>
        <v>0</v>
      </c>
    </row>
    <row r="228" spans="1:9">
      <c r="A228" s="15" t="s">
        <v>1033</v>
      </c>
      <c r="B228" s="128"/>
      <c r="C228" s="127">
        <v>17463</v>
      </c>
      <c r="F228" s="99">
        <f>+'[32]Trial Balance'!B228</f>
        <v>0</v>
      </c>
      <c r="G228" s="99">
        <f>+'[32]Trial Balance'!C228</f>
        <v>17463</v>
      </c>
      <c r="H228" s="20">
        <f t="shared" ref="H228:H236" si="18">+B228-F228</f>
        <v>0</v>
      </c>
      <c r="I228" s="20">
        <f t="shared" ref="I228:I237" si="19">+C228-G228</f>
        <v>0</v>
      </c>
    </row>
    <row r="229" spans="1:9">
      <c r="A229" s="15" t="s">
        <v>650</v>
      </c>
      <c r="B229" s="127"/>
      <c r="C229" s="127">
        <v>26797</v>
      </c>
      <c r="F229" s="99">
        <f>+'[32]Trial Balance'!B229</f>
        <v>0</v>
      </c>
      <c r="G229" s="99">
        <f>+'[32]Trial Balance'!C229</f>
        <v>26797</v>
      </c>
      <c r="H229" s="20">
        <f t="shared" si="18"/>
        <v>0</v>
      </c>
      <c r="I229" s="20">
        <f t="shared" si="19"/>
        <v>0</v>
      </c>
    </row>
    <row r="230" spans="1:9">
      <c r="A230" s="15" t="s">
        <v>653</v>
      </c>
      <c r="B230" s="128"/>
      <c r="C230" s="127">
        <v>986</v>
      </c>
      <c r="F230" s="99">
        <f>+'[32]Trial Balance'!B230</f>
        <v>0</v>
      </c>
      <c r="G230" s="99">
        <f>+'[32]Trial Balance'!C230</f>
        <v>986</v>
      </c>
      <c r="H230" s="20">
        <f t="shared" si="18"/>
        <v>0</v>
      </c>
      <c r="I230" s="20">
        <f t="shared" si="19"/>
        <v>0</v>
      </c>
    </row>
    <row r="231" spans="1:9">
      <c r="A231" s="15" t="s">
        <v>1034</v>
      </c>
      <c r="B231" s="128"/>
      <c r="C231" s="127">
        <v>1371</v>
      </c>
      <c r="F231" s="99">
        <f>+'[32]Trial Balance'!B231</f>
        <v>0</v>
      </c>
      <c r="G231" s="99">
        <f>+'[32]Trial Balance'!C231</f>
        <v>1371</v>
      </c>
      <c r="H231" s="20">
        <f t="shared" si="18"/>
        <v>0</v>
      </c>
      <c r="I231" s="20">
        <f t="shared" si="19"/>
        <v>0</v>
      </c>
    </row>
    <row r="232" spans="1:9">
      <c r="A232" s="15" t="s">
        <v>656</v>
      </c>
      <c r="B232" s="127">
        <v>516</v>
      </c>
      <c r="C232" s="128"/>
      <c r="F232" s="99">
        <f>+'[32]Trial Balance'!B232</f>
        <v>516</v>
      </c>
      <c r="G232" s="99">
        <f>+'[32]Trial Balance'!C232</f>
        <v>0</v>
      </c>
      <c r="H232" s="20">
        <f t="shared" si="18"/>
        <v>0</v>
      </c>
      <c r="I232" s="20">
        <f t="shared" si="19"/>
        <v>0</v>
      </c>
    </row>
    <row r="233" spans="1:9">
      <c r="A233" s="15" t="s">
        <v>1035</v>
      </c>
      <c r="B233" s="128"/>
      <c r="C233" s="127">
        <v>49520</v>
      </c>
      <c r="F233" s="99">
        <f>+'[32]Trial Balance'!B233</f>
        <v>0</v>
      </c>
      <c r="G233" s="99">
        <f>+'[32]Trial Balance'!C233</f>
        <v>49520</v>
      </c>
      <c r="H233" s="20">
        <f t="shared" si="18"/>
        <v>0</v>
      </c>
      <c r="I233" s="20">
        <f t="shared" si="19"/>
        <v>0</v>
      </c>
    </row>
    <row r="234" spans="1:9">
      <c r="A234" s="15" t="s">
        <v>1176</v>
      </c>
      <c r="B234" s="128"/>
      <c r="C234" s="127">
        <v>3589</v>
      </c>
      <c r="F234" s="99">
        <f>+'[32]Trial Balance'!B234</f>
        <v>0</v>
      </c>
      <c r="G234" s="99">
        <f>+'[32]Trial Balance'!C234</f>
        <v>3589</v>
      </c>
      <c r="H234" s="20">
        <f>+B234-F234</f>
        <v>0</v>
      </c>
      <c r="I234" s="20">
        <f>+C234-G234</f>
        <v>0</v>
      </c>
    </row>
    <row r="235" spans="1:9">
      <c r="A235" s="15" t="s">
        <v>1036</v>
      </c>
      <c r="B235" s="128"/>
      <c r="C235" s="127">
        <v>5982</v>
      </c>
      <c r="F235" s="99">
        <f>+'[32]Trial Balance'!B235</f>
        <v>0</v>
      </c>
      <c r="G235" s="99">
        <f>+'[32]Trial Balance'!C235</f>
        <v>5982</v>
      </c>
      <c r="H235" s="20">
        <f t="shared" si="18"/>
        <v>0</v>
      </c>
      <c r="I235" s="20">
        <f t="shared" si="19"/>
        <v>0</v>
      </c>
    </row>
    <row r="236" spans="1:9">
      <c r="A236" s="15" t="s">
        <v>1037</v>
      </c>
      <c r="B236" s="127">
        <v>8048</v>
      </c>
      <c r="C236" s="128"/>
      <c r="F236" s="99">
        <f>+'[32]Trial Balance'!B236</f>
        <v>8048</v>
      </c>
      <c r="G236" s="99">
        <f>+'[32]Trial Balance'!C236</f>
        <v>0</v>
      </c>
      <c r="H236" s="20">
        <f t="shared" si="18"/>
        <v>0</v>
      </c>
      <c r="I236" s="20">
        <f t="shared" si="19"/>
        <v>0</v>
      </c>
    </row>
    <row r="237" spans="1:9">
      <c r="A237" s="15" t="s">
        <v>695</v>
      </c>
      <c r="B237" s="128"/>
      <c r="C237" s="127">
        <v>700</v>
      </c>
      <c r="F237" s="99">
        <f>+'[32]Trial Balance'!B237</f>
        <v>0</v>
      </c>
      <c r="G237" s="99">
        <f>+'[32]Trial Balance'!C237</f>
        <v>700</v>
      </c>
      <c r="H237" s="20">
        <f t="shared" ref="H237:I240" si="20">+B237-F237</f>
        <v>0</v>
      </c>
      <c r="I237" s="20">
        <f t="shared" si="19"/>
        <v>0</v>
      </c>
    </row>
    <row r="238" spans="1:9">
      <c r="A238" s="15" t="s">
        <v>697</v>
      </c>
      <c r="B238" s="128"/>
      <c r="C238" s="127">
        <v>13556</v>
      </c>
      <c r="F238" s="99">
        <f>+'[32]Trial Balance'!B237</f>
        <v>0</v>
      </c>
      <c r="G238" s="99">
        <f>+'[32]Trial Balance'!C238</f>
        <v>13556</v>
      </c>
      <c r="H238" s="20">
        <f t="shared" si="20"/>
        <v>0</v>
      </c>
      <c r="I238" s="20">
        <f>+C238-G238</f>
        <v>0</v>
      </c>
    </row>
    <row r="239" spans="1:9">
      <c r="A239" s="18" t="s">
        <v>944</v>
      </c>
      <c r="C239" s="131"/>
      <c r="D239" s="93">
        <v>303692</v>
      </c>
      <c r="E239" s="93">
        <v>2239355.85</v>
      </c>
      <c r="H239" s="20"/>
      <c r="I239" s="20"/>
    </row>
    <row r="240" spans="1:9">
      <c r="A240" s="15" t="s">
        <v>1038</v>
      </c>
      <c r="B240" s="128"/>
      <c r="C240" s="127">
        <v>15436</v>
      </c>
      <c r="F240" s="99">
        <f>+'[32]Trial Balance'!B240</f>
        <v>0</v>
      </c>
      <c r="G240" s="99">
        <f>+'[32]Trial Balance'!C240</f>
        <v>15436</v>
      </c>
      <c r="H240" s="20">
        <f t="shared" si="20"/>
        <v>0</v>
      </c>
      <c r="I240" s="20">
        <f t="shared" si="20"/>
        <v>0</v>
      </c>
    </row>
    <row r="241" spans="1:9">
      <c r="A241" s="15" t="s">
        <v>703</v>
      </c>
      <c r="B241" s="128"/>
      <c r="C241" s="127">
        <v>10450</v>
      </c>
      <c r="F241" s="99">
        <f>+'[32]Trial Balance'!B241</f>
        <v>0</v>
      </c>
      <c r="G241" s="99">
        <f>+'[32]Trial Balance'!C241</f>
        <v>10450</v>
      </c>
      <c r="H241" s="20">
        <f t="shared" ref="H241:H256" si="21">+B241-F241</f>
        <v>0</v>
      </c>
      <c r="I241" s="20">
        <f t="shared" ref="I241:I256" si="22">+C241-G241</f>
        <v>0</v>
      </c>
    </row>
    <row r="242" spans="1:9">
      <c r="A242" s="15" t="s">
        <v>704</v>
      </c>
      <c r="B242" s="128"/>
      <c r="C242" s="127">
        <v>761986</v>
      </c>
      <c r="F242" s="99">
        <f>+'[32]Trial Balance'!B242</f>
        <v>0</v>
      </c>
      <c r="G242" s="99">
        <f>+'[32]Trial Balance'!C242</f>
        <v>761986</v>
      </c>
      <c r="H242" s="20">
        <f t="shared" si="21"/>
        <v>0</v>
      </c>
      <c r="I242" s="20">
        <f t="shared" si="22"/>
        <v>0</v>
      </c>
    </row>
    <row r="243" spans="1:9">
      <c r="A243" s="15" t="s">
        <v>1039</v>
      </c>
      <c r="B243" s="128"/>
      <c r="C243" s="127">
        <v>349713</v>
      </c>
      <c r="F243" s="99">
        <f>+'[32]Trial Balance'!B243</f>
        <v>0</v>
      </c>
      <c r="G243" s="99">
        <f>+'[32]Trial Balance'!C243</f>
        <v>349713</v>
      </c>
      <c r="H243" s="20">
        <f t="shared" si="21"/>
        <v>0</v>
      </c>
      <c r="I243" s="20">
        <f t="shared" si="22"/>
        <v>0</v>
      </c>
    </row>
    <row r="244" spans="1:9">
      <c r="A244" s="15" t="s">
        <v>705</v>
      </c>
      <c r="B244" s="128"/>
      <c r="C244" s="127">
        <v>7410</v>
      </c>
      <c r="F244" s="99">
        <f>+'[32]Trial Balance'!B244</f>
        <v>0</v>
      </c>
      <c r="G244" s="99">
        <f>+'[32]Trial Balance'!C244</f>
        <v>7410</v>
      </c>
      <c r="H244" s="20">
        <f t="shared" si="21"/>
        <v>0</v>
      </c>
      <c r="I244" s="20">
        <f t="shared" si="22"/>
        <v>0</v>
      </c>
    </row>
    <row r="245" spans="1:9">
      <c r="A245" s="15" t="s">
        <v>1040</v>
      </c>
      <c r="B245" s="128"/>
      <c r="C245" s="127">
        <v>520</v>
      </c>
      <c r="F245" s="99">
        <f>+'[32]Trial Balance'!B245</f>
        <v>0</v>
      </c>
      <c r="G245" s="99">
        <f>+'[32]Trial Balance'!C245</f>
        <v>520</v>
      </c>
      <c r="H245" s="20">
        <f t="shared" si="21"/>
        <v>0</v>
      </c>
      <c r="I245" s="20">
        <f t="shared" si="22"/>
        <v>0</v>
      </c>
    </row>
    <row r="246" spans="1:9">
      <c r="A246" s="15" t="s">
        <v>706</v>
      </c>
      <c r="B246" s="128"/>
      <c r="C246" s="127">
        <v>20735</v>
      </c>
      <c r="F246" s="99">
        <f>+'[32]Trial Balance'!B246</f>
        <v>0</v>
      </c>
      <c r="G246" s="99">
        <f>+'[32]Trial Balance'!C246</f>
        <v>20735</v>
      </c>
      <c r="H246" s="20">
        <f t="shared" si="21"/>
        <v>0</v>
      </c>
      <c r="I246" s="20">
        <f t="shared" si="22"/>
        <v>0</v>
      </c>
    </row>
    <row r="247" spans="1:9">
      <c r="A247" s="15" t="s">
        <v>707</v>
      </c>
      <c r="B247" s="128"/>
      <c r="C247" s="127">
        <v>60149.2</v>
      </c>
      <c r="F247" s="99">
        <f>+'[32]Trial Balance'!B247</f>
        <v>0</v>
      </c>
      <c r="G247" s="99">
        <f>+'[32]Trial Balance'!C247</f>
        <v>60149.2</v>
      </c>
      <c r="H247" s="20">
        <f t="shared" si="21"/>
        <v>0</v>
      </c>
      <c r="I247" s="20">
        <f t="shared" si="22"/>
        <v>0</v>
      </c>
    </row>
    <row r="248" spans="1:9">
      <c r="A248" s="15" t="s">
        <v>708</v>
      </c>
      <c r="B248" s="128"/>
      <c r="C248" s="127">
        <v>5242</v>
      </c>
      <c r="F248" s="99">
        <f>+'[32]Trial Balance'!B248</f>
        <v>0</v>
      </c>
      <c r="G248" s="99">
        <f>+'[32]Trial Balance'!C248</f>
        <v>5242</v>
      </c>
      <c r="H248" s="20">
        <f t="shared" si="21"/>
        <v>0</v>
      </c>
      <c r="I248" s="20">
        <f t="shared" si="22"/>
        <v>0</v>
      </c>
    </row>
    <row r="249" spans="1:9">
      <c r="A249" s="15" t="s">
        <v>1041</v>
      </c>
      <c r="B249" s="128"/>
      <c r="C249" s="127">
        <v>15434</v>
      </c>
      <c r="F249" s="99">
        <f>+'[32]Trial Balance'!B249</f>
        <v>0</v>
      </c>
      <c r="G249" s="99">
        <f>+'[32]Trial Balance'!C249</f>
        <v>15434</v>
      </c>
      <c r="H249" s="20">
        <f t="shared" si="21"/>
        <v>0</v>
      </c>
      <c r="I249" s="20">
        <f t="shared" si="22"/>
        <v>0</v>
      </c>
    </row>
    <row r="250" spans="1:9">
      <c r="A250" s="15" t="s">
        <v>709</v>
      </c>
      <c r="B250" s="128"/>
      <c r="C250" s="127">
        <v>105624</v>
      </c>
      <c r="F250" s="99">
        <f>+'[32]Trial Balance'!B250</f>
        <v>0</v>
      </c>
      <c r="G250" s="99">
        <f>+'[32]Trial Balance'!C250</f>
        <v>105624</v>
      </c>
      <c r="H250" s="20">
        <f t="shared" si="21"/>
        <v>0</v>
      </c>
      <c r="I250" s="20">
        <f t="shared" si="22"/>
        <v>0</v>
      </c>
    </row>
    <row r="251" spans="1:9">
      <c r="A251" s="15" t="s">
        <v>710</v>
      </c>
      <c r="B251" s="128"/>
      <c r="C251" s="127">
        <v>109016</v>
      </c>
      <c r="F251" s="99">
        <f>+'[32]Trial Balance'!B251</f>
        <v>0</v>
      </c>
      <c r="G251" s="99">
        <f>+'[32]Trial Balance'!C251</f>
        <v>109016</v>
      </c>
      <c r="H251" s="20">
        <f t="shared" si="21"/>
        <v>0</v>
      </c>
      <c r="I251" s="20">
        <f t="shared" si="22"/>
        <v>0</v>
      </c>
    </row>
    <row r="252" spans="1:9">
      <c r="A252" s="15" t="s">
        <v>711</v>
      </c>
      <c r="B252" s="128"/>
      <c r="C252" s="127">
        <v>10324</v>
      </c>
      <c r="F252" s="99">
        <f>+'[32]Trial Balance'!B252</f>
        <v>0</v>
      </c>
      <c r="G252" s="99">
        <f>+'[32]Trial Balance'!C252</f>
        <v>10324</v>
      </c>
      <c r="H252" s="20">
        <f t="shared" si="21"/>
        <v>0</v>
      </c>
      <c r="I252" s="20">
        <f t="shared" si="22"/>
        <v>0</v>
      </c>
    </row>
    <row r="253" spans="1:9">
      <c r="A253" s="15" t="s">
        <v>712</v>
      </c>
      <c r="B253" s="128"/>
      <c r="C253" s="127">
        <v>6670</v>
      </c>
      <c r="F253" s="99">
        <f>+'[32]Trial Balance'!B253</f>
        <v>0</v>
      </c>
      <c r="G253" s="99">
        <f>+'[32]Trial Balance'!C253</f>
        <v>6670</v>
      </c>
      <c r="H253" s="20">
        <f t="shared" si="21"/>
        <v>0</v>
      </c>
      <c r="I253" s="20">
        <f t="shared" si="22"/>
        <v>0</v>
      </c>
    </row>
    <row r="254" spans="1:9">
      <c r="A254" s="15" t="s">
        <v>713</v>
      </c>
      <c r="B254" s="128"/>
      <c r="C254" s="127">
        <v>2785</v>
      </c>
      <c r="F254" s="99">
        <f>+'[32]Trial Balance'!B254</f>
        <v>0</v>
      </c>
      <c r="G254" s="99">
        <f>+'[32]Trial Balance'!C254</f>
        <v>2785</v>
      </c>
      <c r="H254" s="20">
        <f t="shared" si="21"/>
        <v>0</v>
      </c>
      <c r="I254" s="20">
        <f t="shared" si="22"/>
        <v>0</v>
      </c>
    </row>
    <row r="255" spans="1:9">
      <c r="A255" s="15" t="s">
        <v>714</v>
      </c>
      <c r="B255" s="127"/>
      <c r="C255" s="127">
        <v>12000</v>
      </c>
      <c r="F255" s="99">
        <f>+'[32]Trial Balance'!B255</f>
        <v>0</v>
      </c>
      <c r="G255" s="99">
        <f>+'[32]Trial Balance'!C255</f>
        <v>12000</v>
      </c>
      <c r="H255" s="20">
        <f t="shared" si="21"/>
        <v>0</v>
      </c>
      <c r="I255" s="20">
        <f t="shared" si="22"/>
        <v>0</v>
      </c>
    </row>
    <row r="256" spans="1:9">
      <c r="A256" s="15" t="s">
        <v>715</v>
      </c>
      <c r="B256" s="128"/>
      <c r="C256" s="127">
        <v>691664.65</v>
      </c>
      <c r="F256" s="99">
        <f>+'[32]Trial Balance'!B256</f>
        <v>0</v>
      </c>
      <c r="G256" s="99">
        <f>+'[32]Trial Balance'!C256</f>
        <v>691664.65</v>
      </c>
      <c r="H256" s="20">
        <f t="shared" si="21"/>
        <v>0</v>
      </c>
      <c r="I256" s="20">
        <f t="shared" si="22"/>
        <v>0</v>
      </c>
    </row>
    <row r="257" spans="1:9">
      <c r="A257" s="15" t="s">
        <v>716</v>
      </c>
      <c r="B257" s="128"/>
      <c r="C257" s="127">
        <v>15284</v>
      </c>
      <c r="F257" s="99">
        <f>+'[32]Trial Balance'!B257</f>
        <v>0</v>
      </c>
      <c r="G257" s="99">
        <f>+'[32]Trial Balance'!C257</f>
        <v>15284</v>
      </c>
      <c r="H257" s="20">
        <f t="shared" ref="H257:I262" si="23">+B257-F257</f>
        <v>0</v>
      </c>
      <c r="I257" s="20">
        <f>+C257-G257</f>
        <v>0</v>
      </c>
    </row>
    <row r="258" spans="1:9">
      <c r="A258" s="15" t="s">
        <v>717</v>
      </c>
      <c r="B258" s="128"/>
      <c r="C258" s="127">
        <v>6700</v>
      </c>
      <c r="F258" s="99">
        <f>+'[32]Trial Balance'!B258</f>
        <v>0</v>
      </c>
      <c r="G258" s="99">
        <f>+'[32]Trial Balance'!C258</f>
        <v>6700</v>
      </c>
      <c r="H258" s="20">
        <f t="shared" si="23"/>
        <v>0</v>
      </c>
      <c r="I258" s="20">
        <f>+C258-G258</f>
        <v>0</v>
      </c>
    </row>
    <row r="259" spans="1:9">
      <c r="A259" s="15" t="s">
        <v>719</v>
      </c>
      <c r="B259" s="127">
        <v>20283</v>
      </c>
      <c r="C259" s="128"/>
      <c r="F259" s="99">
        <f>+'[32]Trial Balance'!B259</f>
        <v>20283</v>
      </c>
      <c r="G259" s="99">
        <f>+'[32]Trial Balance'!C259</f>
        <v>0</v>
      </c>
      <c r="H259" s="20">
        <f t="shared" si="23"/>
        <v>0</v>
      </c>
      <c r="I259" s="20">
        <f>+C259-G259</f>
        <v>0</v>
      </c>
    </row>
    <row r="260" spans="1:9">
      <c r="A260" s="15" t="s">
        <v>720</v>
      </c>
      <c r="B260" s="128"/>
      <c r="C260" s="127">
        <v>27040</v>
      </c>
      <c r="F260" s="99">
        <f>+'[32]Trial Balance'!B260</f>
        <v>0</v>
      </c>
      <c r="G260" s="99">
        <f>+'[32]Trial Balance'!C260</f>
        <v>27040</v>
      </c>
      <c r="H260" s="20">
        <f t="shared" si="23"/>
        <v>0</v>
      </c>
      <c r="I260" s="20">
        <f>+C260-G260</f>
        <v>0</v>
      </c>
    </row>
    <row r="261" spans="1:9">
      <c r="A261" s="15" t="s">
        <v>721</v>
      </c>
      <c r="B261" s="127">
        <v>5500</v>
      </c>
      <c r="C261" s="128"/>
      <c r="F261" s="99">
        <f>+'[32]Trial Balance'!B261</f>
        <v>5500</v>
      </c>
      <c r="G261" s="99">
        <f>+'[32]Trial Balance'!C261</f>
        <v>0</v>
      </c>
      <c r="H261" s="20">
        <f t="shared" si="23"/>
        <v>0</v>
      </c>
      <c r="I261" s="20">
        <f>+C261-G261</f>
        <v>0</v>
      </c>
    </row>
    <row r="262" spans="1:9">
      <c r="A262" s="15" t="s">
        <v>1042</v>
      </c>
      <c r="B262" s="128"/>
      <c r="C262" s="127">
        <v>24750</v>
      </c>
      <c r="F262" s="99">
        <f>+'[32]Trial Balance'!B262</f>
        <v>0</v>
      </c>
      <c r="G262" s="99">
        <f>+'[32]Trial Balance'!C262</f>
        <v>24750</v>
      </c>
      <c r="H262" s="20">
        <f t="shared" si="23"/>
        <v>0</v>
      </c>
      <c r="I262" s="20">
        <f t="shared" si="23"/>
        <v>0</v>
      </c>
    </row>
    <row r="263" spans="1:9">
      <c r="A263" s="15" t="s">
        <v>1043</v>
      </c>
      <c r="B263" s="127"/>
      <c r="C263" s="127">
        <v>109640</v>
      </c>
      <c r="F263" s="99">
        <f>+'[32]Trial Balance'!B263</f>
        <v>0</v>
      </c>
      <c r="G263" s="99">
        <f>+'[32]Trial Balance'!C263</f>
        <v>109640</v>
      </c>
      <c r="H263" s="20">
        <f t="shared" ref="H263:I267" si="24">+B263-F263</f>
        <v>0</v>
      </c>
      <c r="I263" s="20">
        <f t="shared" si="24"/>
        <v>0</v>
      </c>
    </row>
    <row r="264" spans="1:9">
      <c r="A264" s="15" t="s">
        <v>1044</v>
      </c>
      <c r="B264" s="127"/>
      <c r="C264" s="127">
        <v>14000</v>
      </c>
      <c r="F264" s="99">
        <f>+'[32]Trial Balance'!B264</f>
        <v>0</v>
      </c>
      <c r="G264" s="99">
        <f>+'[32]Trial Balance'!C264</f>
        <v>14000</v>
      </c>
      <c r="H264" s="20">
        <f t="shared" si="24"/>
        <v>0</v>
      </c>
      <c r="I264" s="20">
        <f t="shared" si="24"/>
        <v>0</v>
      </c>
    </row>
    <row r="265" spans="1:9">
      <c r="A265" s="15" t="s">
        <v>1045</v>
      </c>
      <c r="B265" s="128"/>
      <c r="C265" s="127">
        <v>12500</v>
      </c>
      <c r="F265" s="99">
        <f>+'[32]Trial Balance'!B265</f>
        <v>0</v>
      </c>
      <c r="G265" s="99">
        <f>+'[32]Trial Balance'!C265</f>
        <v>12500</v>
      </c>
      <c r="H265" s="20">
        <f t="shared" si="24"/>
        <v>0</v>
      </c>
      <c r="I265" s="20">
        <f t="shared" si="24"/>
        <v>0</v>
      </c>
    </row>
    <row r="266" spans="1:9">
      <c r="A266" s="15" t="s">
        <v>718</v>
      </c>
      <c r="B266" s="128"/>
      <c r="C266" s="127">
        <v>37500</v>
      </c>
      <c r="F266" s="99">
        <f>+'[32]Trial Balance'!B266</f>
        <v>0</v>
      </c>
      <c r="G266" s="99">
        <f>+'[32]Trial Balance'!C266</f>
        <v>37500</v>
      </c>
      <c r="H266" s="20">
        <f t="shared" si="24"/>
        <v>0</v>
      </c>
      <c r="I266" s="20">
        <f t="shared" si="24"/>
        <v>0</v>
      </c>
    </row>
    <row r="267" spans="1:9">
      <c r="A267" s="15" t="s">
        <v>1046</v>
      </c>
      <c r="B267" s="127">
        <v>6000</v>
      </c>
      <c r="C267" s="128"/>
      <c r="F267" s="99">
        <f>+'[32]Trial Balance'!B267</f>
        <v>6000</v>
      </c>
      <c r="G267" s="99">
        <f>+'[32]Trial Balance'!C267</f>
        <v>0</v>
      </c>
      <c r="H267" s="20">
        <f t="shared" si="24"/>
        <v>0</v>
      </c>
      <c r="I267" s="20">
        <f t="shared" si="24"/>
        <v>0</v>
      </c>
    </row>
    <row r="268" spans="1:9">
      <c r="A268" s="18" t="s">
        <v>943</v>
      </c>
      <c r="C268" s="131"/>
      <c r="D268" s="108"/>
      <c r="E268" s="93">
        <v>13250733</v>
      </c>
      <c r="H268" s="20"/>
      <c r="I268" s="20"/>
    </row>
    <row r="269" spans="1:9">
      <c r="A269" s="15" t="s">
        <v>722</v>
      </c>
      <c r="B269" s="128">
        <v>97600</v>
      </c>
      <c r="C269" s="127"/>
      <c r="F269" s="99">
        <f>+'[32]Trial Balance'!B269</f>
        <v>97600</v>
      </c>
      <c r="G269" s="99">
        <f>+'[32]Trial Balance'!C269</f>
        <v>0</v>
      </c>
      <c r="H269" s="20">
        <f>+B269-F269</f>
        <v>0</v>
      </c>
      <c r="I269" s="20">
        <f>+C269-G269</f>
        <v>0</v>
      </c>
    </row>
    <row r="270" spans="1:9">
      <c r="A270" s="15" t="s">
        <v>723</v>
      </c>
      <c r="B270" s="96"/>
      <c r="C270" s="127">
        <v>605000</v>
      </c>
      <c r="F270" s="99">
        <f>+'[32]Trial Balance'!B270</f>
        <v>0</v>
      </c>
      <c r="G270" s="99">
        <f>+'[32]Trial Balance'!C270</f>
        <v>605000</v>
      </c>
      <c r="H270" s="20">
        <f t="shared" ref="H270:H283" si="25">+B270-F270</f>
        <v>0</v>
      </c>
      <c r="I270" s="20">
        <f t="shared" ref="I270:I283" si="26">+C270-G270</f>
        <v>0</v>
      </c>
    </row>
    <row r="271" spans="1:9">
      <c r="A271" s="15" t="s">
        <v>724</v>
      </c>
      <c r="B271" s="96"/>
      <c r="C271" s="127">
        <v>896933</v>
      </c>
      <c r="F271" s="99">
        <f>+'[32]Trial Balance'!B271</f>
        <v>0</v>
      </c>
      <c r="G271" s="99">
        <f>+'[32]Trial Balance'!C271</f>
        <v>896933</v>
      </c>
      <c r="H271" s="20">
        <f t="shared" si="25"/>
        <v>0</v>
      </c>
      <c r="I271" s="20">
        <f t="shared" si="26"/>
        <v>0</v>
      </c>
    </row>
    <row r="272" spans="1:9">
      <c r="A272" s="15" t="s">
        <v>1047</v>
      </c>
      <c r="B272" s="96"/>
      <c r="C272" s="127">
        <v>77000</v>
      </c>
      <c r="F272" s="99">
        <f>+'[32]Trial Balance'!B272</f>
        <v>0</v>
      </c>
      <c r="G272" s="99">
        <f>+'[32]Trial Balance'!C272</f>
        <v>77000</v>
      </c>
      <c r="H272" s="20">
        <f t="shared" si="25"/>
        <v>0</v>
      </c>
      <c r="I272" s="20">
        <f t="shared" si="26"/>
        <v>0</v>
      </c>
    </row>
    <row r="273" spans="1:9">
      <c r="A273" s="15" t="s">
        <v>1048</v>
      </c>
      <c r="B273" s="96"/>
      <c r="C273" s="127">
        <v>105000</v>
      </c>
      <c r="F273" s="99">
        <f>+'[32]Trial Balance'!B273</f>
        <v>0</v>
      </c>
      <c r="G273" s="99">
        <f>+'[32]Trial Balance'!C273</f>
        <v>105000</v>
      </c>
      <c r="H273" s="20">
        <f t="shared" si="25"/>
        <v>0</v>
      </c>
      <c r="I273" s="20">
        <f t="shared" si="26"/>
        <v>0</v>
      </c>
    </row>
    <row r="274" spans="1:9">
      <c r="A274" s="15" t="s">
        <v>1049</v>
      </c>
      <c r="B274" s="96"/>
      <c r="C274" s="127">
        <v>215000</v>
      </c>
      <c r="F274" s="99">
        <f>+'[32]Trial Balance'!B274</f>
        <v>0</v>
      </c>
      <c r="G274" s="99">
        <f>+'[32]Trial Balance'!C274</f>
        <v>215000</v>
      </c>
      <c r="H274" s="20">
        <f t="shared" si="25"/>
        <v>0</v>
      </c>
      <c r="I274" s="20">
        <f t="shared" si="26"/>
        <v>0</v>
      </c>
    </row>
    <row r="275" spans="1:9">
      <c r="A275" s="15" t="s">
        <v>1050</v>
      </c>
      <c r="B275" s="96"/>
      <c r="C275" s="127">
        <v>150000</v>
      </c>
      <c r="F275" s="99">
        <f>+'[32]Trial Balance'!B275</f>
        <v>0</v>
      </c>
      <c r="G275" s="99">
        <f>+'[32]Trial Balance'!C275</f>
        <v>150000</v>
      </c>
      <c r="H275" s="20">
        <f t="shared" si="25"/>
        <v>0</v>
      </c>
      <c r="I275" s="20">
        <f t="shared" si="26"/>
        <v>0</v>
      </c>
    </row>
    <row r="276" spans="1:9">
      <c r="A276" s="15" t="s">
        <v>1051</v>
      </c>
      <c r="B276" s="96"/>
      <c r="C276" s="127">
        <v>147000</v>
      </c>
      <c r="F276" s="99">
        <f>+'[32]Trial Balance'!B276</f>
        <v>0</v>
      </c>
      <c r="G276" s="99">
        <f>+'[32]Trial Balance'!C276</f>
        <v>147000</v>
      </c>
      <c r="H276" s="20">
        <f t="shared" si="25"/>
        <v>0</v>
      </c>
      <c r="I276" s="20">
        <f t="shared" si="26"/>
        <v>0</v>
      </c>
    </row>
    <row r="277" spans="1:9">
      <c r="A277" s="15" t="s">
        <v>1052</v>
      </c>
      <c r="B277" s="96"/>
      <c r="C277" s="127">
        <v>195000</v>
      </c>
      <c r="F277" s="99">
        <f>+'[32]Trial Balance'!B277</f>
        <v>0</v>
      </c>
      <c r="G277" s="99">
        <f>+'[32]Trial Balance'!C277</f>
        <v>195000</v>
      </c>
      <c r="H277" s="20">
        <f t="shared" si="25"/>
        <v>0</v>
      </c>
      <c r="I277" s="20">
        <f t="shared" si="26"/>
        <v>0</v>
      </c>
    </row>
    <row r="278" spans="1:9">
      <c r="A278" s="15" t="s">
        <v>1053</v>
      </c>
      <c r="B278" s="96"/>
      <c r="C278" s="127">
        <v>195000</v>
      </c>
      <c r="F278" s="99">
        <f>+'[32]Trial Balance'!B278</f>
        <v>0</v>
      </c>
      <c r="G278" s="99">
        <f>+'[32]Trial Balance'!C278</f>
        <v>195000</v>
      </c>
      <c r="H278" s="20">
        <f t="shared" si="25"/>
        <v>0</v>
      </c>
      <c r="I278" s="20">
        <f t="shared" si="26"/>
        <v>0</v>
      </c>
    </row>
    <row r="279" spans="1:9">
      <c r="A279" s="15" t="s">
        <v>1054</v>
      </c>
      <c r="B279" s="96"/>
      <c r="C279" s="127">
        <v>167000</v>
      </c>
      <c r="F279" s="99">
        <f>+'[32]Trial Balance'!B279</f>
        <v>0</v>
      </c>
      <c r="G279" s="99">
        <f>+'[32]Trial Balance'!C279</f>
        <v>167000</v>
      </c>
      <c r="H279" s="20">
        <f t="shared" si="25"/>
        <v>0</v>
      </c>
      <c r="I279" s="20">
        <f t="shared" si="26"/>
        <v>0</v>
      </c>
    </row>
    <row r="280" spans="1:9">
      <c r="A280" s="15" t="s">
        <v>1055</v>
      </c>
      <c r="B280" s="96"/>
      <c r="C280" s="127">
        <v>109000</v>
      </c>
      <c r="F280" s="99">
        <f>+'[32]Trial Balance'!B280</f>
        <v>0</v>
      </c>
      <c r="G280" s="99">
        <f>+'[32]Trial Balance'!C280</f>
        <v>109000</v>
      </c>
      <c r="H280" s="20">
        <f t="shared" si="25"/>
        <v>0</v>
      </c>
      <c r="I280" s="20">
        <f t="shared" si="26"/>
        <v>0</v>
      </c>
    </row>
    <row r="281" spans="1:9">
      <c r="A281" s="15" t="s">
        <v>1056</v>
      </c>
      <c r="B281" s="96"/>
      <c r="C281" s="127">
        <v>190000</v>
      </c>
      <c r="F281" s="99">
        <f>+'[32]Trial Balance'!B281</f>
        <v>0</v>
      </c>
      <c r="G281" s="99">
        <f>+'[32]Trial Balance'!C281</f>
        <v>190000</v>
      </c>
      <c r="H281" s="20">
        <f t="shared" si="25"/>
        <v>0</v>
      </c>
      <c r="I281" s="20">
        <f t="shared" si="26"/>
        <v>0</v>
      </c>
    </row>
    <row r="282" spans="1:9">
      <c r="A282" s="15" t="s">
        <v>725</v>
      </c>
      <c r="B282" s="96"/>
      <c r="C282" s="127">
        <v>966108</v>
      </c>
      <c r="F282" s="99">
        <f>+'[32]Trial Balance'!B282</f>
        <v>0</v>
      </c>
      <c r="G282" s="99">
        <f>+'[32]Trial Balance'!C282</f>
        <v>966108</v>
      </c>
      <c r="H282" s="20">
        <f t="shared" si="25"/>
        <v>0</v>
      </c>
      <c r="I282" s="20">
        <f t="shared" si="26"/>
        <v>0</v>
      </c>
    </row>
    <row r="283" spans="1:9">
      <c r="A283" s="15" t="s">
        <v>726</v>
      </c>
      <c r="B283" s="96"/>
      <c r="C283" s="127">
        <v>926480</v>
      </c>
      <c r="F283" s="99">
        <f>+'[32]Trial Balance'!B283</f>
        <v>0</v>
      </c>
      <c r="G283" s="99">
        <f>+'[32]Trial Balance'!C283</f>
        <v>926480</v>
      </c>
      <c r="H283" s="20">
        <f t="shared" si="25"/>
        <v>0</v>
      </c>
      <c r="I283" s="20">
        <f t="shared" si="26"/>
        <v>0</v>
      </c>
    </row>
    <row r="284" spans="1:9">
      <c r="A284" s="15" t="s">
        <v>1057</v>
      </c>
      <c r="B284" s="96"/>
      <c r="C284" s="127">
        <v>225500</v>
      </c>
      <c r="F284" s="99">
        <f>+'[32]Trial Balance'!B284</f>
        <v>0</v>
      </c>
      <c r="G284" s="99">
        <f>+'[32]Trial Balance'!C284</f>
        <v>225500</v>
      </c>
      <c r="H284" s="20">
        <f t="shared" ref="H284:H294" si="27">+B284-F284</f>
        <v>0</v>
      </c>
      <c r="I284" s="20">
        <f t="shared" ref="I284:I294" si="28">+C284-G284</f>
        <v>0</v>
      </c>
    </row>
    <row r="285" spans="1:9">
      <c r="A285" s="15" t="s">
        <v>727</v>
      </c>
      <c r="B285" s="96"/>
      <c r="C285" s="127">
        <v>1231675</v>
      </c>
      <c r="F285" s="99">
        <f>+'[32]Trial Balance'!B285</f>
        <v>0</v>
      </c>
      <c r="G285" s="99">
        <f>+'[32]Trial Balance'!C285</f>
        <v>1231675</v>
      </c>
      <c r="H285" s="20">
        <f t="shared" si="27"/>
        <v>0</v>
      </c>
      <c r="I285" s="20">
        <f t="shared" si="28"/>
        <v>0</v>
      </c>
    </row>
    <row r="286" spans="1:9">
      <c r="A286" s="15" t="s">
        <v>728</v>
      </c>
      <c r="B286" s="96"/>
      <c r="C286" s="127">
        <v>1369637</v>
      </c>
      <c r="F286" s="99">
        <f>+'[32]Trial Balance'!B286</f>
        <v>0</v>
      </c>
      <c r="G286" s="99">
        <f>+'[32]Trial Balance'!C286</f>
        <v>1369637</v>
      </c>
      <c r="H286" s="20">
        <f t="shared" si="27"/>
        <v>0</v>
      </c>
      <c r="I286" s="20">
        <f t="shared" si="28"/>
        <v>0</v>
      </c>
    </row>
    <row r="287" spans="1:9">
      <c r="A287" s="15" t="s">
        <v>1058</v>
      </c>
      <c r="B287" s="96"/>
      <c r="C287" s="127">
        <v>104500</v>
      </c>
      <c r="F287" s="99">
        <f>+'[32]Trial Balance'!B287</f>
        <v>0</v>
      </c>
      <c r="G287" s="99">
        <f>+'[32]Trial Balance'!C287</f>
        <v>104500</v>
      </c>
      <c r="H287" s="20">
        <f t="shared" si="27"/>
        <v>0</v>
      </c>
      <c r="I287" s="20">
        <f t="shared" si="28"/>
        <v>0</v>
      </c>
    </row>
    <row r="288" spans="1:9">
      <c r="A288" s="15" t="s">
        <v>1059</v>
      </c>
      <c r="B288" s="96"/>
      <c r="C288" s="127">
        <v>235000</v>
      </c>
      <c r="F288" s="99">
        <f>+'[32]Trial Balance'!B288</f>
        <v>0</v>
      </c>
      <c r="G288" s="99">
        <f>+'[32]Trial Balance'!C288</f>
        <v>235000</v>
      </c>
      <c r="H288" s="20">
        <f t="shared" si="27"/>
        <v>0</v>
      </c>
      <c r="I288" s="20">
        <f t="shared" si="28"/>
        <v>0</v>
      </c>
    </row>
    <row r="289" spans="1:9">
      <c r="A289" s="15" t="s">
        <v>1060</v>
      </c>
      <c r="B289" s="96"/>
      <c r="C289" s="127">
        <v>105000</v>
      </c>
      <c r="F289" s="99">
        <f>+'[32]Trial Balance'!B289</f>
        <v>0</v>
      </c>
      <c r="G289" s="99">
        <f>+'[32]Trial Balance'!C289</f>
        <v>105000</v>
      </c>
      <c r="H289" s="20">
        <f t="shared" si="27"/>
        <v>0</v>
      </c>
      <c r="I289" s="20">
        <f t="shared" si="28"/>
        <v>0</v>
      </c>
    </row>
    <row r="290" spans="1:9">
      <c r="A290" s="15" t="s">
        <v>1061</v>
      </c>
      <c r="B290" s="96"/>
      <c r="C290" s="127">
        <v>130500</v>
      </c>
      <c r="F290" s="99">
        <f>+'[32]Trial Balance'!B290</f>
        <v>0</v>
      </c>
      <c r="G290" s="99">
        <f>+'[32]Trial Balance'!C290</f>
        <v>130500</v>
      </c>
      <c r="H290" s="20">
        <f t="shared" si="27"/>
        <v>0</v>
      </c>
      <c r="I290" s="20">
        <f t="shared" si="28"/>
        <v>0</v>
      </c>
    </row>
    <row r="291" spans="1:9">
      <c r="A291" s="13" t="s">
        <v>1177</v>
      </c>
      <c r="B291" s="96"/>
      <c r="C291" s="127">
        <v>7147460</v>
      </c>
      <c r="F291" s="99">
        <f>+'[32]Trial Balance'!B291</f>
        <v>0</v>
      </c>
      <c r="G291" s="99">
        <f>+'[32]Trial Balance'!C291</f>
        <v>7147460</v>
      </c>
      <c r="H291" s="20">
        <f t="shared" si="27"/>
        <v>0</v>
      </c>
      <c r="I291" s="20">
        <f t="shared" si="28"/>
        <v>0</v>
      </c>
    </row>
    <row r="292" spans="1:9">
      <c r="A292" s="13" t="s">
        <v>1062</v>
      </c>
      <c r="B292" s="96"/>
      <c r="C292" s="127">
        <v>78862</v>
      </c>
      <c r="F292" s="99">
        <f>+'[32]Trial Balance'!B292</f>
        <v>0</v>
      </c>
      <c r="G292" s="99">
        <f>+'[32]Trial Balance'!C292</f>
        <v>78862</v>
      </c>
      <c r="H292" s="20">
        <f t="shared" si="27"/>
        <v>0</v>
      </c>
      <c r="I292" s="20">
        <f t="shared" si="28"/>
        <v>0</v>
      </c>
    </row>
    <row r="293" spans="1:9">
      <c r="A293" s="13" t="s">
        <v>91</v>
      </c>
      <c r="B293" s="96"/>
      <c r="C293" s="127">
        <v>164991</v>
      </c>
      <c r="F293" s="99">
        <f>+'[32]Trial Balance'!B293</f>
        <v>0</v>
      </c>
      <c r="G293" s="99">
        <f>+'[32]Trial Balance'!C293</f>
        <v>164991</v>
      </c>
      <c r="H293" s="20">
        <f t="shared" si="27"/>
        <v>0</v>
      </c>
      <c r="I293" s="20">
        <f t="shared" si="28"/>
        <v>0</v>
      </c>
    </row>
    <row r="294" spans="1:9">
      <c r="A294" s="13" t="s">
        <v>1063</v>
      </c>
      <c r="B294" s="96"/>
      <c r="C294" s="127">
        <v>681902</v>
      </c>
      <c r="F294" s="99">
        <f>+'[32]Trial Balance'!B294</f>
        <v>0</v>
      </c>
      <c r="G294" s="99">
        <f>+'[32]Trial Balance'!C294</f>
        <v>681902</v>
      </c>
      <c r="H294" s="20">
        <f t="shared" si="27"/>
        <v>0</v>
      </c>
      <c r="I294" s="20">
        <f t="shared" si="28"/>
        <v>0</v>
      </c>
    </row>
    <row r="295" spans="1:9">
      <c r="A295" s="1" t="s">
        <v>39</v>
      </c>
      <c r="D295" s="105">
        <v>115883892.67</v>
      </c>
      <c r="E295" s="109"/>
      <c r="H295" s="20"/>
      <c r="I295" s="20"/>
    </row>
    <row r="296" spans="1:9">
      <c r="A296" s="13" t="s">
        <v>92</v>
      </c>
      <c r="B296" s="104">
        <v>16180849.84</v>
      </c>
      <c r="C296" s="96"/>
      <c r="F296" s="99">
        <f>+'[32]Trial Balance'!B296</f>
        <v>16180849.84</v>
      </c>
      <c r="G296" s="99">
        <f>+'[32]Trial Balance'!C296</f>
        <v>0</v>
      </c>
      <c r="H296" s="20">
        <f t="shared" ref="H296:I301" si="29">+B296-F296</f>
        <v>0</v>
      </c>
      <c r="I296" s="20">
        <f t="shared" si="29"/>
        <v>0</v>
      </c>
    </row>
    <row r="297" spans="1:9">
      <c r="A297" s="13" t="s">
        <v>93</v>
      </c>
      <c r="B297" s="104">
        <f>65245.84+0.02</f>
        <v>65245.859999999993</v>
      </c>
      <c r="C297" s="96"/>
      <c r="F297" s="99">
        <f>+'[32]Trial Balance'!B297</f>
        <v>65245.84</v>
      </c>
      <c r="G297" s="99">
        <f>+'[32]Trial Balance'!C297</f>
        <v>0</v>
      </c>
      <c r="H297" s="20">
        <f t="shared" si="29"/>
        <v>1.9999999996798579E-2</v>
      </c>
      <c r="I297" s="20">
        <f t="shared" si="29"/>
        <v>0</v>
      </c>
    </row>
    <row r="298" spans="1:9">
      <c r="A298" s="13" t="s">
        <v>94</v>
      </c>
      <c r="B298" s="125">
        <v>204280.69</v>
      </c>
      <c r="C298" s="96"/>
      <c r="F298" s="125">
        <v>204280.69</v>
      </c>
      <c r="G298" s="99">
        <f>+'[32]Trial Balance'!C298</f>
        <v>0</v>
      </c>
      <c r="H298" s="20">
        <f t="shared" si="29"/>
        <v>0</v>
      </c>
      <c r="I298" s="20">
        <f t="shared" si="29"/>
        <v>0</v>
      </c>
    </row>
    <row r="299" spans="1:9">
      <c r="A299" s="13" t="s">
        <v>95</v>
      </c>
      <c r="B299" s="104">
        <v>76388646</v>
      </c>
      <c r="C299" s="96"/>
      <c r="F299" s="99">
        <f>+'[32]Trial Balance'!B299</f>
        <v>76388646</v>
      </c>
      <c r="G299" s="99">
        <f>+'[32]Trial Balance'!C299</f>
        <v>0</v>
      </c>
      <c r="H299" s="20">
        <f t="shared" si="29"/>
        <v>0</v>
      </c>
      <c r="I299" s="20">
        <f t="shared" si="29"/>
        <v>0</v>
      </c>
    </row>
    <row r="300" spans="1:9">
      <c r="A300" s="13" t="s">
        <v>83</v>
      </c>
      <c r="B300" s="104">
        <f>13173853.13-2.63</f>
        <v>13173850.5</v>
      </c>
      <c r="C300" s="96"/>
      <c r="F300" s="99">
        <f>+'[32]Trial Balance'!B300</f>
        <v>13173853.130000001</v>
      </c>
      <c r="G300" s="99">
        <f>+'[32]Trial Balance'!C300</f>
        <v>0</v>
      </c>
      <c r="H300" s="20">
        <f t="shared" si="29"/>
        <v>-2.6300000008195639</v>
      </c>
      <c r="I300" s="20">
        <f t="shared" si="29"/>
        <v>0</v>
      </c>
    </row>
    <row r="301" spans="1:9">
      <c r="A301" s="13" t="s">
        <v>942</v>
      </c>
      <c r="B301" s="104">
        <f>2090202.47-1.43</f>
        <v>2090201.04</v>
      </c>
      <c r="C301" s="96"/>
      <c r="F301" s="99">
        <f>+'[32]Trial Balance'!B301</f>
        <v>2090202.47</v>
      </c>
      <c r="G301" s="99">
        <f>+'[32]Trial Balance'!C301</f>
        <v>0</v>
      </c>
      <c r="H301" s="20">
        <f t="shared" si="29"/>
        <v>-1.4299999999348074</v>
      </c>
      <c r="I301" s="20">
        <f t="shared" si="29"/>
        <v>0</v>
      </c>
    </row>
    <row r="302" spans="1:9">
      <c r="A302" s="1" t="s">
        <v>96</v>
      </c>
      <c r="D302" s="105">
        <v>92668628.900000006</v>
      </c>
      <c r="E302" s="105">
        <v>2748616</v>
      </c>
      <c r="H302" s="20"/>
      <c r="I302" s="20"/>
    </row>
    <row r="303" spans="1:9">
      <c r="A303" s="14" t="s">
        <v>97</v>
      </c>
      <c r="D303" s="110">
        <v>20662010</v>
      </c>
      <c r="E303" s="111"/>
      <c r="H303" s="20"/>
      <c r="I303" s="20"/>
    </row>
    <row r="304" spans="1:9">
      <c r="A304" s="17" t="s">
        <v>729</v>
      </c>
      <c r="B304" s="132">
        <v>212010</v>
      </c>
      <c r="C304" s="95"/>
      <c r="F304" s="99">
        <f>+'[32]Trial Balance'!B304</f>
        <v>212010</v>
      </c>
      <c r="G304" s="99">
        <f>+'[32]Trial Balance'!C304</f>
        <v>0</v>
      </c>
      <c r="H304" s="20">
        <f t="shared" ref="H304:I311" si="30">+B304-F304</f>
        <v>0</v>
      </c>
      <c r="I304" s="20">
        <f t="shared" si="30"/>
        <v>0</v>
      </c>
    </row>
    <row r="305" spans="1:9">
      <c r="A305" s="17" t="s">
        <v>730</v>
      </c>
      <c r="B305" s="132">
        <v>20450000</v>
      </c>
      <c r="C305" s="95"/>
      <c r="F305" s="99">
        <f>+'[32]Trial Balance'!B305</f>
        <v>20450000</v>
      </c>
      <c r="G305" s="99">
        <f>+'[32]Trial Balance'!C305</f>
        <v>0</v>
      </c>
      <c r="H305" s="20">
        <f t="shared" si="30"/>
        <v>0</v>
      </c>
      <c r="I305" s="20">
        <f t="shared" si="30"/>
        <v>0</v>
      </c>
    </row>
    <row r="306" spans="1:9">
      <c r="A306" s="14" t="s">
        <v>98</v>
      </c>
      <c r="D306" s="106">
        <v>54957974.259999998</v>
      </c>
      <c r="E306" s="106">
        <v>2748616</v>
      </c>
      <c r="H306" s="20">
        <f t="shared" si="30"/>
        <v>0</v>
      </c>
      <c r="I306" s="20">
        <f t="shared" si="30"/>
        <v>0</v>
      </c>
    </row>
    <row r="307" spans="1:9">
      <c r="A307" s="18" t="s">
        <v>731</v>
      </c>
      <c r="D307" s="107"/>
      <c r="E307" s="113"/>
      <c r="H307" s="20">
        <f t="shared" si="30"/>
        <v>0</v>
      </c>
      <c r="I307" s="20">
        <f t="shared" si="30"/>
        <v>0</v>
      </c>
    </row>
    <row r="308" spans="1:9">
      <c r="A308" s="17" t="s">
        <v>732</v>
      </c>
      <c r="B308" s="132">
        <v>155431</v>
      </c>
      <c r="C308" s="134"/>
      <c r="F308" s="99">
        <f>+'[32]Trial Balance'!B308</f>
        <v>155431</v>
      </c>
      <c r="G308" s="99">
        <f>+'[32]Trial Balance'!C308</f>
        <v>0</v>
      </c>
      <c r="H308" s="20">
        <f t="shared" si="30"/>
        <v>0</v>
      </c>
      <c r="I308" s="20">
        <f t="shared" si="30"/>
        <v>0</v>
      </c>
    </row>
    <row r="309" spans="1:9">
      <c r="A309" s="17" t="s">
        <v>733</v>
      </c>
      <c r="B309" s="132">
        <v>236250</v>
      </c>
      <c r="C309" s="134"/>
      <c r="F309" s="99">
        <f>+'[32]Trial Balance'!B309</f>
        <v>236250</v>
      </c>
      <c r="G309" s="99">
        <f>+'[32]Trial Balance'!C309</f>
        <v>0</v>
      </c>
      <c r="H309" s="20">
        <f t="shared" si="30"/>
        <v>0</v>
      </c>
      <c r="I309" s="20">
        <f t="shared" si="30"/>
        <v>0</v>
      </c>
    </row>
    <row r="310" spans="1:9">
      <c r="A310" s="17" t="s">
        <v>734</v>
      </c>
      <c r="B310" s="132">
        <v>545590</v>
      </c>
      <c r="C310" s="134"/>
      <c r="F310" s="99">
        <f>+'[32]Trial Balance'!B310</f>
        <v>545590</v>
      </c>
      <c r="G310" s="99">
        <f>+'[32]Trial Balance'!C310</f>
        <v>0</v>
      </c>
      <c r="H310" s="20">
        <f t="shared" si="30"/>
        <v>0</v>
      </c>
      <c r="I310" s="20">
        <f t="shared" si="30"/>
        <v>0</v>
      </c>
    </row>
    <row r="311" spans="1:9">
      <c r="A311" s="17" t="s">
        <v>735</v>
      </c>
      <c r="B311" s="132">
        <v>544334</v>
      </c>
      <c r="C311" s="134"/>
      <c r="F311" s="99">
        <f>+'[32]Trial Balance'!B311</f>
        <v>544334</v>
      </c>
      <c r="G311" s="99">
        <f>+'[32]Trial Balance'!C311</f>
        <v>0</v>
      </c>
      <c r="H311" s="20">
        <f t="shared" si="30"/>
        <v>0</v>
      </c>
      <c r="I311" s="20">
        <f t="shared" si="30"/>
        <v>0</v>
      </c>
    </row>
    <row r="312" spans="1:9">
      <c r="A312" s="17" t="s">
        <v>736</v>
      </c>
      <c r="B312" s="132">
        <v>99600</v>
      </c>
      <c r="C312" s="134"/>
      <c r="F312" s="99">
        <f>+'[32]Trial Balance'!B312</f>
        <v>99600</v>
      </c>
      <c r="G312" s="99">
        <f>+'[32]Trial Balance'!C312</f>
        <v>0</v>
      </c>
      <c r="H312" s="20">
        <f t="shared" ref="H312:H317" si="31">+B312-F312</f>
        <v>0</v>
      </c>
      <c r="I312" s="20">
        <f t="shared" ref="I312:I317" si="32">+C312-G312</f>
        <v>0</v>
      </c>
    </row>
    <row r="313" spans="1:9">
      <c r="A313" s="17" t="s">
        <v>737</v>
      </c>
      <c r="B313" s="132">
        <v>367800</v>
      </c>
      <c r="C313" s="134"/>
      <c r="F313" s="99">
        <f>+'[32]Trial Balance'!B313</f>
        <v>367800</v>
      </c>
      <c r="G313" s="99">
        <f>+'[32]Trial Balance'!C313</f>
        <v>0</v>
      </c>
      <c r="H313" s="20">
        <f t="shared" si="31"/>
        <v>0</v>
      </c>
      <c r="I313" s="20">
        <f t="shared" si="32"/>
        <v>0</v>
      </c>
    </row>
    <row r="314" spans="1:9">
      <c r="A314" s="17" t="s">
        <v>738</v>
      </c>
      <c r="B314" s="132">
        <v>190000</v>
      </c>
      <c r="C314" s="134"/>
      <c r="F314" s="99">
        <f>+'[32]Trial Balance'!B314</f>
        <v>190000</v>
      </c>
      <c r="G314" s="99">
        <f>+'[32]Trial Balance'!C314</f>
        <v>0</v>
      </c>
      <c r="H314" s="20">
        <f t="shared" si="31"/>
        <v>0</v>
      </c>
      <c r="I314" s="20">
        <f t="shared" si="32"/>
        <v>0</v>
      </c>
    </row>
    <row r="315" spans="1:9">
      <c r="A315" s="17" t="s">
        <v>739</v>
      </c>
      <c r="B315" s="132">
        <v>583846</v>
      </c>
      <c r="C315" s="134"/>
      <c r="F315" s="99">
        <f>+'[32]Trial Balance'!B315</f>
        <v>583846</v>
      </c>
      <c r="G315" s="99">
        <f>+'[32]Trial Balance'!C315</f>
        <v>0</v>
      </c>
      <c r="H315" s="20">
        <f t="shared" si="31"/>
        <v>0</v>
      </c>
      <c r="I315" s="20">
        <f t="shared" si="32"/>
        <v>0</v>
      </c>
    </row>
    <row r="316" spans="1:9">
      <c r="A316" s="17" t="s">
        <v>1064</v>
      </c>
      <c r="B316" s="132">
        <v>219102</v>
      </c>
      <c r="C316" s="134"/>
      <c r="F316" s="99">
        <f>+'[32]Trial Balance'!B316</f>
        <v>219102</v>
      </c>
      <c r="G316" s="99">
        <f>+'[32]Trial Balance'!C316</f>
        <v>0</v>
      </c>
      <c r="H316" s="20">
        <f t="shared" si="31"/>
        <v>0</v>
      </c>
      <c r="I316" s="20">
        <f t="shared" si="32"/>
        <v>0</v>
      </c>
    </row>
    <row r="317" spans="1:9">
      <c r="A317" s="17" t="s">
        <v>740</v>
      </c>
      <c r="B317" s="132">
        <v>148676.74</v>
      </c>
      <c r="C317" s="134"/>
      <c r="F317" s="99">
        <f>+'[32]Trial Balance'!B317</f>
        <v>148676.74</v>
      </c>
      <c r="G317" s="99">
        <f>+'[32]Trial Balance'!C317</f>
        <v>0</v>
      </c>
      <c r="H317" s="20">
        <f t="shared" si="31"/>
        <v>0</v>
      </c>
      <c r="I317" s="20">
        <f t="shared" si="32"/>
        <v>0</v>
      </c>
    </row>
    <row r="318" spans="1:9">
      <c r="A318" s="17" t="s">
        <v>741</v>
      </c>
      <c r="B318" s="132">
        <v>2090130</v>
      </c>
      <c r="C318" s="134"/>
      <c r="F318" s="99">
        <f>+'[32]Trial Balance'!B318</f>
        <v>2090130</v>
      </c>
      <c r="G318" s="99">
        <f>+'[32]Trial Balance'!C318</f>
        <v>0</v>
      </c>
      <c r="H318" s="20">
        <f t="shared" ref="H318:H353" si="33">+B318-F318</f>
        <v>0</v>
      </c>
      <c r="I318" s="20">
        <f t="shared" ref="I318:I353" si="34">+C318-G318</f>
        <v>0</v>
      </c>
    </row>
    <row r="319" spans="1:9">
      <c r="A319" s="17" t="s">
        <v>1065</v>
      </c>
      <c r="B319" s="132">
        <v>677756</v>
      </c>
      <c r="C319" s="134"/>
      <c r="F319" s="99">
        <f>+'[32]Trial Balance'!B319</f>
        <v>677756</v>
      </c>
      <c r="G319" s="99">
        <f>+'[32]Trial Balance'!C319</f>
        <v>0</v>
      </c>
      <c r="H319" s="20">
        <f t="shared" si="33"/>
        <v>0</v>
      </c>
      <c r="I319" s="20">
        <f t="shared" si="34"/>
        <v>0</v>
      </c>
    </row>
    <row r="320" spans="1:9">
      <c r="A320" s="17" t="s">
        <v>742</v>
      </c>
      <c r="B320" s="132">
        <v>2641202.0099999998</v>
      </c>
      <c r="C320" s="134"/>
      <c r="F320" s="99">
        <f>+'[32]Trial Balance'!B320</f>
        <v>2641202.0099999998</v>
      </c>
      <c r="G320" s="99">
        <f>+'[32]Trial Balance'!C320</f>
        <v>0</v>
      </c>
      <c r="H320" s="20">
        <f t="shared" si="33"/>
        <v>0</v>
      </c>
      <c r="I320" s="20">
        <f t="shared" si="34"/>
        <v>0</v>
      </c>
    </row>
    <row r="321" spans="1:9">
      <c r="A321" s="17" t="s">
        <v>743</v>
      </c>
      <c r="B321" s="132">
        <v>3213880.17</v>
      </c>
      <c r="C321" s="134"/>
      <c r="F321" s="99">
        <f>+'[32]Trial Balance'!B321</f>
        <v>3213880.17</v>
      </c>
      <c r="G321" s="99">
        <f>+'[32]Trial Balance'!C321</f>
        <v>0</v>
      </c>
      <c r="H321" s="20">
        <f t="shared" si="33"/>
        <v>0</v>
      </c>
      <c r="I321" s="20">
        <f t="shared" si="34"/>
        <v>0</v>
      </c>
    </row>
    <row r="322" spans="1:9">
      <c r="A322" s="17" t="s">
        <v>1066</v>
      </c>
      <c r="B322" s="132">
        <v>4717566</v>
      </c>
      <c r="C322" s="134"/>
      <c r="F322" s="99">
        <f>+'[32]Trial Balance'!B322</f>
        <v>4717566</v>
      </c>
      <c r="G322" s="99">
        <f>+'[32]Trial Balance'!C322</f>
        <v>0</v>
      </c>
      <c r="H322" s="20">
        <f t="shared" si="33"/>
        <v>0</v>
      </c>
      <c r="I322" s="20">
        <f t="shared" si="34"/>
        <v>0</v>
      </c>
    </row>
    <row r="323" spans="1:9">
      <c r="A323" s="17" t="s">
        <v>744</v>
      </c>
      <c r="B323" s="132">
        <v>124638</v>
      </c>
      <c r="C323" s="134"/>
      <c r="F323" s="99">
        <f>+'[32]Trial Balance'!B323</f>
        <v>124638</v>
      </c>
      <c r="G323" s="99">
        <f>+'[32]Trial Balance'!C323</f>
        <v>0</v>
      </c>
      <c r="H323" s="20">
        <f t="shared" si="33"/>
        <v>0</v>
      </c>
      <c r="I323" s="20">
        <f t="shared" si="34"/>
        <v>0</v>
      </c>
    </row>
    <row r="324" spans="1:9">
      <c r="A324" s="17" t="s">
        <v>745</v>
      </c>
      <c r="B324" s="132">
        <v>3227333</v>
      </c>
      <c r="C324" s="134"/>
      <c r="F324" s="99">
        <f>+'[32]Trial Balance'!B324</f>
        <v>3227333</v>
      </c>
      <c r="G324" s="99">
        <f>+'[32]Trial Balance'!C324</f>
        <v>0</v>
      </c>
      <c r="H324" s="20">
        <f t="shared" si="33"/>
        <v>0</v>
      </c>
      <c r="I324" s="20">
        <f t="shared" si="34"/>
        <v>0</v>
      </c>
    </row>
    <row r="325" spans="1:9">
      <c r="A325" s="17" t="s">
        <v>746</v>
      </c>
      <c r="B325" s="132">
        <v>19831</v>
      </c>
      <c r="C325" s="134"/>
      <c r="F325" s="99">
        <f>+'[32]Trial Balance'!B325</f>
        <v>19831</v>
      </c>
      <c r="G325" s="99">
        <f>+'[32]Trial Balance'!C325</f>
        <v>0</v>
      </c>
      <c r="H325" s="20">
        <f t="shared" si="33"/>
        <v>0</v>
      </c>
      <c r="I325" s="20">
        <f t="shared" si="34"/>
        <v>0</v>
      </c>
    </row>
    <row r="326" spans="1:9">
      <c r="A326" s="17" t="s">
        <v>747</v>
      </c>
      <c r="B326" s="132">
        <v>1190827</v>
      </c>
      <c r="C326" s="134"/>
      <c r="F326" s="99">
        <f>+'[32]Trial Balance'!B326</f>
        <v>1190827</v>
      </c>
      <c r="G326" s="99">
        <f>+'[32]Trial Balance'!C326</f>
        <v>0</v>
      </c>
      <c r="H326" s="20">
        <f t="shared" si="33"/>
        <v>0</v>
      </c>
      <c r="I326" s="20">
        <f t="shared" si="34"/>
        <v>0</v>
      </c>
    </row>
    <row r="327" spans="1:9">
      <c r="A327" s="17" t="s">
        <v>748</v>
      </c>
      <c r="B327" s="132">
        <v>335266</v>
      </c>
      <c r="C327" s="134"/>
      <c r="F327" s="99">
        <f>+'[32]Trial Balance'!B327</f>
        <v>335266</v>
      </c>
      <c r="G327" s="99">
        <f>+'[32]Trial Balance'!C327</f>
        <v>0</v>
      </c>
      <c r="H327" s="20">
        <f t="shared" si="33"/>
        <v>0</v>
      </c>
      <c r="I327" s="20">
        <f t="shared" si="34"/>
        <v>0</v>
      </c>
    </row>
    <row r="328" spans="1:9">
      <c r="A328" s="17" t="s">
        <v>749</v>
      </c>
      <c r="B328" s="132">
        <v>4618</v>
      </c>
      <c r="C328" s="134"/>
      <c r="F328" s="99">
        <f>+'[32]Trial Balance'!B328</f>
        <v>4618</v>
      </c>
      <c r="G328" s="99">
        <f>+'[32]Trial Balance'!C328</f>
        <v>0</v>
      </c>
      <c r="H328" s="20">
        <f t="shared" si="33"/>
        <v>0</v>
      </c>
      <c r="I328" s="20">
        <f t="shared" si="34"/>
        <v>0</v>
      </c>
    </row>
    <row r="329" spans="1:9">
      <c r="A329" s="17" t="s">
        <v>750</v>
      </c>
      <c r="B329" s="132">
        <v>1262140</v>
      </c>
      <c r="C329" s="134"/>
      <c r="F329" s="99">
        <f>+'[32]Trial Balance'!B329</f>
        <v>1262140</v>
      </c>
      <c r="G329" s="99">
        <f>+'[32]Trial Balance'!C329</f>
        <v>0</v>
      </c>
      <c r="H329" s="20">
        <f t="shared" si="33"/>
        <v>0</v>
      </c>
      <c r="I329" s="20">
        <f t="shared" si="34"/>
        <v>0</v>
      </c>
    </row>
    <row r="330" spans="1:9">
      <c r="A330" s="17" t="s">
        <v>751</v>
      </c>
      <c r="B330" s="132">
        <v>46517</v>
      </c>
      <c r="C330" s="134"/>
      <c r="F330" s="99">
        <f>+'[32]Trial Balance'!B330</f>
        <v>46517</v>
      </c>
      <c r="G330" s="99">
        <f>+'[32]Trial Balance'!C330</f>
        <v>0</v>
      </c>
      <c r="H330" s="20">
        <f t="shared" si="33"/>
        <v>0</v>
      </c>
      <c r="I330" s="20">
        <f t="shared" si="34"/>
        <v>0</v>
      </c>
    </row>
    <row r="331" spans="1:9">
      <c r="A331" s="17" t="s">
        <v>752</v>
      </c>
      <c r="B331" s="132">
        <v>910133</v>
      </c>
      <c r="C331" s="134"/>
      <c r="F331" s="99">
        <f>+'[32]Trial Balance'!B331</f>
        <v>910133</v>
      </c>
      <c r="G331" s="99">
        <f>+'[32]Trial Balance'!C331</f>
        <v>0</v>
      </c>
      <c r="H331" s="20">
        <f t="shared" si="33"/>
        <v>0</v>
      </c>
      <c r="I331" s="20">
        <f t="shared" si="34"/>
        <v>0</v>
      </c>
    </row>
    <row r="332" spans="1:9">
      <c r="A332" s="17" t="s">
        <v>753</v>
      </c>
      <c r="B332" s="132">
        <v>607145.86</v>
      </c>
      <c r="C332" s="134"/>
      <c r="F332" s="99">
        <f>+'[32]Trial Balance'!B332</f>
        <v>607145.86</v>
      </c>
      <c r="G332" s="99">
        <f>+'[32]Trial Balance'!C332</f>
        <v>0</v>
      </c>
      <c r="H332" s="20">
        <f t="shared" si="33"/>
        <v>0</v>
      </c>
      <c r="I332" s="20">
        <f t="shared" si="34"/>
        <v>0</v>
      </c>
    </row>
    <row r="333" spans="1:9">
      <c r="A333" s="17" t="s">
        <v>754</v>
      </c>
      <c r="B333" s="132">
        <v>1582102</v>
      </c>
      <c r="C333" s="134"/>
      <c r="F333" s="99">
        <f>+'[32]Trial Balance'!B333</f>
        <v>1582102</v>
      </c>
      <c r="G333" s="99">
        <f>+'[32]Trial Balance'!C333</f>
        <v>0</v>
      </c>
      <c r="H333" s="20">
        <f t="shared" si="33"/>
        <v>0</v>
      </c>
      <c r="I333" s="20">
        <f t="shared" si="34"/>
        <v>0</v>
      </c>
    </row>
    <row r="334" spans="1:9">
      <c r="A334" s="17" t="s">
        <v>1067</v>
      </c>
      <c r="B334" s="132">
        <v>3822255</v>
      </c>
      <c r="C334" s="134"/>
      <c r="F334" s="99">
        <f>+'[32]Trial Balance'!B334</f>
        <v>3822255</v>
      </c>
      <c r="G334" s="99">
        <f>+'[32]Trial Balance'!C334</f>
        <v>0</v>
      </c>
      <c r="H334" s="20">
        <f t="shared" si="33"/>
        <v>0</v>
      </c>
      <c r="I334" s="20">
        <f t="shared" si="34"/>
        <v>0</v>
      </c>
    </row>
    <row r="335" spans="1:9">
      <c r="A335" s="17" t="s">
        <v>1068</v>
      </c>
      <c r="B335" s="132">
        <v>26293</v>
      </c>
      <c r="C335" s="134"/>
      <c r="F335" s="99">
        <f>+'[32]Trial Balance'!B335</f>
        <v>26293</v>
      </c>
      <c r="G335" s="99">
        <f>+'[32]Trial Balance'!C335</f>
        <v>0</v>
      </c>
      <c r="H335" s="20">
        <f t="shared" si="33"/>
        <v>0</v>
      </c>
      <c r="I335" s="20">
        <f t="shared" si="34"/>
        <v>0</v>
      </c>
    </row>
    <row r="336" spans="1:9">
      <c r="A336" s="17" t="s">
        <v>755</v>
      </c>
      <c r="B336" s="132">
        <v>64196</v>
      </c>
      <c r="C336" s="134"/>
      <c r="F336" s="99">
        <f>+'[32]Trial Balance'!B336</f>
        <v>64196</v>
      </c>
      <c r="G336" s="99">
        <f>+'[32]Trial Balance'!C336</f>
        <v>0</v>
      </c>
      <c r="H336" s="20">
        <f t="shared" si="33"/>
        <v>0</v>
      </c>
      <c r="I336" s="20">
        <f t="shared" si="34"/>
        <v>0</v>
      </c>
    </row>
    <row r="337" spans="1:9">
      <c r="A337" s="17" t="s">
        <v>756</v>
      </c>
      <c r="B337" s="132">
        <v>98880</v>
      </c>
      <c r="C337" s="134"/>
      <c r="F337" s="99">
        <f>+'[32]Trial Balance'!B337</f>
        <v>98880</v>
      </c>
      <c r="G337" s="99">
        <f>+'[32]Trial Balance'!C337</f>
        <v>0</v>
      </c>
      <c r="H337" s="20">
        <f t="shared" si="33"/>
        <v>0</v>
      </c>
      <c r="I337" s="20">
        <f t="shared" si="34"/>
        <v>0</v>
      </c>
    </row>
    <row r="338" spans="1:9">
      <c r="A338" s="17" t="s">
        <v>1069</v>
      </c>
      <c r="B338" s="132">
        <v>39089</v>
      </c>
      <c r="C338" s="134"/>
      <c r="F338" s="99">
        <f>+'[32]Trial Balance'!B338</f>
        <v>39089</v>
      </c>
      <c r="G338" s="99">
        <f>+'[32]Trial Balance'!C338</f>
        <v>0</v>
      </c>
      <c r="H338" s="20">
        <f t="shared" si="33"/>
        <v>0</v>
      </c>
      <c r="I338" s="20">
        <f t="shared" si="34"/>
        <v>0</v>
      </c>
    </row>
    <row r="339" spans="1:9">
      <c r="A339" s="17" t="s">
        <v>757</v>
      </c>
      <c r="B339" s="132">
        <v>223362</v>
      </c>
      <c r="C339" s="134"/>
      <c r="F339" s="99">
        <f>+'[32]Trial Balance'!B339</f>
        <v>223362</v>
      </c>
      <c r="G339" s="99">
        <f>+'[32]Trial Balance'!C339</f>
        <v>0</v>
      </c>
      <c r="H339" s="20">
        <f t="shared" si="33"/>
        <v>0</v>
      </c>
      <c r="I339" s="20">
        <f t="shared" si="34"/>
        <v>0</v>
      </c>
    </row>
    <row r="340" spans="1:9">
      <c r="A340" s="17" t="s">
        <v>1070</v>
      </c>
      <c r="B340" s="132">
        <v>1539059</v>
      </c>
      <c r="C340" s="134"/>
      <c r="F340" s="99">
        <f>+'[32]Trial Balance'!B340</f>
        <v>1539059</v>
      </c>
      <c r="G340" s="99">
        <f>+'[32]Trial Balance'!C340</f>
        <v>0</v>
      </c>
      <c r="H340" s="20">
        <f t="shared" si="33"/>
        <v>0</v>
      </c>
      <c r="I340" s="20">
        <f t="shared" si="34"/>
        <v>0</v>
      </c>
    </row>
    <row r="341" spans="1:9">
      <c r="A341" s="17" t="s">
        <v>758</v>
      </c>
      <c r="B341" s="132">
        <v>83725</v>
      </c>
      <c r="C341" s="134"/>
      <c r="F341" s="99">
        <f>+'[32]Trial Balance'!B341</f>
        <v>83725</v>
      </c>
      <c r="G341" s="99">
        <f>+'[32]Trial Balance'!C341</f>
        <v>0</v>
      </c>
      <c r="H341" s="20">
        <f t="shared" si="33"/>
        <v>0</v>
      </c>
      <c r="I341" s="20">
        <f t="shared" si="34"/>
        <v>0</v>
      </c>
    </row>
    <row r="342" spans="1:9">
      <c r="A342" s="17" t="s">
        <v>759</v>
      </c>
      <c r="B342" s="132">
        <v>682162</v>
      </c>
      <c r="C342" s="134"/>
      <c r="F342" s="99">
        <f>+'[32]Trial Balance'!B342</f>
        <v>682162</v>
      </c>
      <c r="G342" s="99">
        <f>+'[32]Trial Balance'!C342</f>
        <v>0</v>
      </c>
      <c r="H342" s="20">
        <f t="shared" si="33"/>
        <v>0</v>
      </c>
      <c r="I342" s="20">
        <f t="shared" si="34"/>
        <v>0</v>
      </c>
    </row>
    <row r="343" spans="1:9">
      <c r="A343" s="17" t="s">
        <v>760</v>
      </c>
      <c r="B343" s="134"/>
      <c r="C343" s="132">
        <v>520308</v>
      </c>
      <c r="F343" s="99">
        <f>+'[32]Trial Balance'!B343</f>
        <v>0</v>
      </c>
      <c r="G343" s="99">
        <f>+'[32]Trial Balance'!C343</f>
        <v>520308</v>
      </c>
      <c r="H343" s="20">
        <f t="shared" si="33"/>
        <v>0</v>
      </c>
      <c r="I343" s="20">
        <f t="shared" si="34"/>
        <v>0</v>
      </c>
    </row>
    <row r="344" spans="1:9">
      <c r="A344" s="17" t="s">
        <v>761</v>
      </c>
      <c r="B344" s="132">
        <v>598527</v>
      </c>
      <c r="C344" s="134"/>
      <c r="F344" s="99">
        <f>+'[32]Trial Balance'!B344</f>
        <v>598527</v>
      </c>
      <c r="G344" s="99">
        <f>+'[32]Trial Balance'!C344</f>
        <v>0</v>
      </c>
      <c r="H344" s="20">
        <f t="shared" si="33"/>
        <v>0</v>
      </c>
      <c r="I344" s="20">
        <f t="shared" si="34"/>
        <v>0</v>
      </c>
    </row>
    <row r="345" spans="1:9">
      <c r="A345" s="17" t="s">
        <v>762</v>
      </c>
      <c r="B345" s="132">
        <v>106744</v>
      </c>
      <c r="C345" s="134"/>
      <c r="F345" s="99">
        <f>+'[32]Trial Balance'!B345</f>
        <v>106744</v>
      </c>
      <c r="G345" s="99">
        <f>+'[32]Trial Balance'!C345</f>
        <v>0</v>
      </c>
      <c r="H345" s="20">
        <f t="shared" si="33"/>
        <v>0</v>
      </c>
      <c r="I345" s="20">
        <f t="shared" si="34"/>
        <v>0</v>
      </c>
    </row>
    <row r="346" spans="1:9">
      <c r="A346" s="17" t="s">
        <v>1071</v>
      </c>
      <c r="B346" s="132">
        <v>2932744</v>
      </c>
      <c r="C346" s="134"/>
      <c r="F346" s="99">
        <f>+'[32]Trial Balance'!B346</f>
        <v>2932744</v>
      </c>
      <c r="G346" s="99">
        <f>+'[32]Trial Balance'!C346</f>
        <v>0</v>
      </c>
      <c r="H346" s="20">
        <f t="shared" si="33"/>
        <v>0</v>
      </c>
      <c r="I346" s="20">
        <f t="shared" si="34"/>
        <v>0</v>
      </c>
    </row>
    <row r="347" spans="1:9">
      <c r="A347" s="17" t="s">
        <v>763</v>
      </c>
      <c r="B347" s="132">
        <v>25127</v>
      </c>
      <c r="C347" s="134"/>
      <c r="F347" s="99">
        <f>+'[32]Trial Balance'!B347</f>
        <v>25127</v>
      </c>
      <c r="G347" s="99">
        <f>+'[32]Trial Balance'!C347</f>
        <v>0</v>
      </c>
      <c r="H347" s="20">
        <f t="shared" si="33"/>
        <v>0</v>
      </c>
      <c r="I347" s="20">
        <f t="shared" si="34"/>
        <v>0</v>
      </c>
    </row>
    <row r="348" spans="1:9">
      <c r="A348" s="17" t="s">
        <v>764</v>
      </c>
      <c r="B348" s="132">
        <v>788243</v>
      </c>
      <c r="C348" s="134"/>
      <c r="F348" s="99">
        <f>+'[32]Trial Balance'!B348</f>
        <v>788243</v>
      </c>
      <c r="G348" s="99">
        <f>+'[32]Trial Balance'!C348</f>
        <v>0</v>
      </c>
      <c r="H348" s="20">
        <f t="shared" si="33"/>
        <v>0</v>
      </c>
      <c r="I348" s="20">
        <f t="shared" si="34"/>
        <v>0</v>
      </c>
    </row>
    <row r="349" spans="1:9">
      <c r="A349" s="17" t="s">
        <v>765</v>
      </c>
      <c r="B349" s="132">
        <v>59720</v>
      </c>
      <c r="C349" s="134"/>
      <c r="F349" s="99">
        <f>+'[32]Trial Balance'!B349</f>
        <v>59720</v>
      </c>
      <c r="G349" s="99">
        <f>+'[32]Trial Balance'!C349</f>
        <v>0</v>
      </c>
      <c r="H349" s="20">
        <f t="shared" si="33"/>
        <v>0</v>
      </c>
      <c r="I349" s="20">
        <f t="shared" si="34"/>
        <v>0</v>
      </c>
    </row>
    <row r="350" spans="1:9">
      <c r="A350" s="17" t="s">
        <v>766</v>
      </c>
      <c r="B350" s="132">
        <v>6395</v>
      </c>
      <c r="C350" s="134"/>
      <c r="F350" s="99">
        <f>+'[32]Trial Balance'!B350</f>
        <v>6395</v>
      </c>
      <c r="G350" s="99">
        <f>+'[32]Trial Balance'!C350</f>
        <v>0</v>
      </c>
      <c r="H350" s="20">
        <f t="shared" si="33"/>
        <v>0</v>
      </c>
      <c r="I350" s="20">
        <f t="shared" si="34"/>
        <v>0</v>
      </c>
    </row>
    <row r="351" spans="1:9">
      <c r="A351" s="17" t="s">
        <v>767</v>
      </c>
      <c r="B351" s="132">
        <v>10740</v>
      </c>
      <c r="C351" s="134"/>
      <c r="F351" s="99">
        <f>+'[32]Trial Balance'!B351</f>
        <v>10740</v>
      </c>
      <c r="G351" s="99">
        <f>+'[32]Trial Balance'!C351</f>
        <v>0</v>
      </c>
      <c r="H351" s="20">
        <f t="shared" si="33"/>
        <v>0</v>
      </c>
      <c r="I351" s="20">
        <f t="shared" si="34"/>
        <v>0</v>
      </c>
    </row>
    <row r="352" spans="1:9">
      <c r="A352" s="17" t="s">
        <v>768</v>
      </c>
      <c r="B352" s="132">
        <v>38625</v>
      </c>
      <c r="C352" s="134"/>
      <c r="F352" s="99">
        <f>+'[32]Trial Balance'!B352</f>
        <v>38625</v>
      </c>
      <c r="G352" s="99">
        <f>+'[32]Trial Balance'!C352</f>
        <v>0</v>
      </c>
      <c r="H352" s="20">
        <f t="shared" si="33"/>
        <v>0</v>
      </c>
      <c r="I352" s="20">
        <f t="shared" si="34"/>
        <v>0</v>
      </c>
    </row>
    <row r="353" spans="1:9">
      <c r="A353" s="17" t="s">
        <v>769</v>
      </c>
      <c r="B353" s="132">
        <v>233374</v>
      </c>
      <c r="C353" s="134"/>
      <c r="F353" s="99">
        <f>+'[32]Trial Balance'!B353</f>
        <v>233374</v>
      </c>
      <c r="G353" s="99">
        <f>+'[32]Trial Balance'!C353</f>
        <v>0</v>
      </c>
      <c r="H353" s="20">
        <f t="shared" si="33"/>
        <v>0</v>
      </c>
      <c r="I353" s="20">
        <f t="shared" si="34"/>
        <v>0</v>
      </c>
    </row>
    <row r="354" spans="1:9">
      <c r="A354" s="17" t="s">
        <v>1072</v>
      </c>
      <c r="B354" s="132">
        <v>2747603</v>
      </c>
      <c r="C354" s="134"/>
      <c r="F354" s="99">
        <f>+'[32]Trial Balance'!B354</f>
        <v>2747603</v>
      </c>
      <c r="G354" s="99">
        <f>+'[32]Trial Balance'!C354</f>
        <v>0</v>
      </c>
      <c r="H354" s="20">
        <f t="shared" ref="H354:H362" si="35">+B354-F354</f>
        <v>0</v>
      </c>
      <c r="I354" s="20">
        <f t="shared" ref="I354:I362" si="36">+C354-G354</f>
        <v>0</v>
      </c>
    </row>
    <row r="355" spans="1:9">
      <c r="A355" s="17" t="s">
        <v>770</v>
      </c>
      <c r="B355" s="132">
        <v>233363</v>
      </c>
      <c r="C355" s="134"/>
      <c r="F355" s="99">
        <f>+'[32]Trial Balance'!B355</f>
        <v>233363</v>
      </c>
      <c r="G355" s="99">
        <f>+'[32]Trial Balance'!C355</f>
        <v>0</v>
      </c>
      <c r="H355" s="20">
        <f t="shared" si="35"/>
        <v>0</v>
      </c>
      <c r="I355" s="20">
        <f t="shared" si="36"/>
        <v>0</v>
      </c>
    </row>
    <row r="356" spans="1:9">
      <c r="A356" s="17" t="s">
        <v>771</v>
      </c>
      <c r="B356" s="132">
        <v>795750</v>
      </c>
      <c r="C356" s="134"/>
      <c r="F356" s="99">
        <f>+'[32]Trial Balance'!B356</f>
        <v>795750</v>
      </c>
      <c r="G356" s="99">
        <f>+'[32]Trial Balance'!C356</f>
        <v>0</v>
      </c>
      <c r="H356" s="20">
        <f t="shared" si="35"/>
        <v>0</v>
      </c>
      <c r="I356" s="20">
        <f t="shared" si="36"/>
        <v>0</v>
      </c>
    </row>
    <row r="357" spans="1:9">
      <c r="A357" s="17" t="s">
        <v>772</v>
      </c>
      <c r="B357" s="132">
        <v>1838505</v>
      </c>
      <c r="C357" s="134"/>
      <c r="F357" s="99">
        <f>+'[32]Trial Balance'!B357</f>
        <v>1838505</v>
      </c>
      <c r="G357" s="99">
        <f>+'[32]Trial Balance'!C357</f>
        <v>0</v>
      </c>
      <c r="H357" s="20">
        <f t="shared" si="35"/>
        <v>0</v>
      </c>
      <c r="I357" s="20">
        <f t="shared" si="36"/>
        <v>0</v>
      </c>
    </row>
    <row r="358" spans="1:9">
      <c r="A358" s="17" t="s">
        <v>773</v>
      </c>
      <c r="B358" s="132">
        <v>797849</v>
      </c>
      <c r="C358" s="134"/>
      <c r="F358" s="99">
        <f>+'[32]Trial Balance'!B358</f>
        <v>797849</v>
      </c>
      <c r="G358" s="99">
        <f>+'[32]Trial Balance'!C358</f>
        <v>0</v>
      </c>
      <c r="H358" s="20">
        <f t="shared" si="35"/>
        <v>0</v>
      </c>
      <c r="I358" s="20">
        <f t="shared" si="36"/>
        <v>0</v>
      </c>
    </row>
    <row r="359" spans="1:9">
      <c r="A359" s="17" t="s">
        <v>774</v>
      </c>
      <c r="B359" s="132">
        <v>121740</v>
      </c>
      <c r="C359" s="134"/>
      <c r="F359" s="99">
        <f>+'[32]Trial Balance'!B359</f>
        <v>121740</v>
      </c>
      <c r="G359" s="99">
        <f>+'[32]Trial Balance'!C359</f>
        <v>0</v>
      </c>
      <c r="H359" s="20">
        <f t="shared" si="35"/>
        <v>0</v>
      </c>
      <c r="I359" s="20">
        <f t="shared" si="36"/>
        <v>0</v>
      </c>
    </row>
    <row r="360" spans="1:9">
      <c r="A360" s="17" t="s">
        <v>775</v>
      </c>
      <c r="B360" s="132">
        <v>233091</v>
      </c>
      <c r="C360" s="134"/>
      <c r="F360" s="99">
        <f>+'[32]Trial Balance'!B360</f>
        <v>233091</v>
      </c>
      <c r="G360" s="99">
        <f>+'[32]Trial Balance'!C360</f>
        <v>0</v>
      </c>
      <c r="H360" s="20">
        <f t="shared" si="35"/>
        <v>0</v>
      </c>
      <c r="I360" s="20">
        <f t="shared" si="36"/>
        <v>0</v>
      </c>
    </row>
    <row r="361" spans="1:9">
      <c r="A361" s="17" t="s">
        <v>1073</v>
      </c>
      <c r="B361" s="132">
        <v>7343</v>
      </c>
      <c r="C361" s="134"/>
      <c r="F361" s="99">
        <f>+'[32]Trial Balance'!B361</f>
        <v>7343</v>
      </c>
      <c r="G361" s="99">
        <f>+'[32]Trial Balance'!C361</f>
        <v>0</v>
      </c>
      <c r="H361" s="20">
        <f t="shared" si="35"/>
        <v>0</v>
      </c>
      <c r="I361" s="20">
        <f t="shared" si="36"/>
        <v>0</v>
      </c>
    </row>
    <row r="362" spans="1:9">
      <c r="A362" s="17" t="s">
        <v>776</v>
      </c>
      <c r="B362" s="132">
        <v>198114</v>
      </c>
      <c r="C362" s="134"/>
      <c r="F362" s="99">
        <f>+'[32]Trial Balance'!B362</f>
        <v>198114</v>
      </c>
      <c r="G362" s="99">
        <f>+'[32]Trial Balance'!C362</f>
        <v>0</v>
      </c>
      <c r="H362" s="20">
        <f t="shared" si="35"/>
        <v>0</v>
      </c>
      <c r="I362" s="20">
        <f t="shared" si="36"/>
        <v>0</v>
      </c>
    </row>
    <row r="363" spans="1:9">
      <c r="A363" s="17" t="s">
        <v>777</v>
      </c>
      <c r="B363" s="132">
        <v>120356</v>
      </c>
      <c r="C363" s="134"/>
      <c r="F363" s="99">
        <f>+'[32]Trial Balance'!B363</f>
        <v>120356</v>
      </c>
      <c r="G363" s="99">
        <f>+'[32]Trial Balance'!C363</f>
        <v>0</v>
      </c>
      <c r="H363" s="20">
        <f t="shared" ref="H363:H371" si="37">+B363-F363</f>
        <v>0</v>
      </c>
      <c r="I363" s="20">
        <f t="shared" ref="I363:I371" si="38">+C363-G363</f>
        <v>0</v>
      </c>
    </row>
    <row r="364" spans="1:9">
      <c r="A364" s="17" t="s">
        <v>778</v>
      </c>
      <c r="B364" s="132">
        <v>792531</v>
      </c>
      <c r="C364" s="134"/>
      <c r="F364" s="99">
        <f>+'[32]Trial Balance'!B364</f>
        <v>792531</v>
      </c>
      <c r="G364" s="99">
        <f>+'[32]Trial Balance'!C364</f>
        <v>0</v>
      </c>
      <c r="H364" s="20">
        <f t="shared" si="37"/>
        <v>0</v>
      </c>
      <c r="I364" s="20">
        <f t="shared" si="38"/>
        <v>0</v>
      </c>
    </row>
    <row r="365" spans="1:9">
      <c r="A365" s="17" t="s">
        <v>779</v>
      </c>
      <c r="B365" s="132">
        <v>1107960</v>
      </c>
      <c r="C365" s="134"/>
      <c r="F365" s="99">
        <f>+'[32]Trial Balance'!B365</f>
        <v>1107960</v>
      </c>
      <c r="G365" s="99">
        <f>+'[32]Trial Balance'!C365</f>
        <v>0</v>
      </c>
      <c r="H365" s="20">
        <f t="shared" si="37"/>
        <v>0</v>
      </c>
      <c r="I365" s="20">
        <f t="shared" si="38"/>
        <v>0</v>
      </c>
    </row>
    <row r="366" spans="1:9">
      <c r="A366" s="17" t="s">
        <v>780</v>
      </c>
      <c r="B366" s="132">
        <v>118545</v>
      </c>
      <c r="C366" s="134"/>
      <c r="F366" s="99">
        <f>+'[32]Trial Balance'!B366</f>
        <v>118545</v>
      </c>
      <c r="G366" s="99">
        <f>+'[32]Trial Balance'!C366</f>
        <v>0</v>
      </c>
      <c r="H366" s="20">
        <f t="shared" si="37"/>
        <v>0</v>
      </c>
      <c r="I366" s="20">
        <f t="shared" si="38"/>
        <v>0</v>
      </c>
    </row>
    <row r="367" spans="1:9">
      <c r="A367" s="17" t="s">
        <v>781</v>
      </c>
      <c r="B367" s="132">
        <v>1786986</v>
      </c>
      <c r="C367" s="134"/>
      <c r="F367" s="99">
        <f>+'[32]Trial Balance'!B367</f>
        <v>1786986</v>
      </c>
      <c r="G367" s="99">
        <f>+'[32]Trial Balance'!C367</f>
        <v>0</v>
      </c>
      <c r="H367" s="20">
        <f t="shared" si="37"/>
        <v>0</v>
      </c>
      <c r="I367" s="20">
        <f t="shared" si="38"/>
        <v>0</v>
      </c>
    </row>
    <row r="368" spans="1:9">
      <c r="A368" s="17" t="s">
        <v>782</v>
      </c>
      <c r="B368" s="132">
        <v>1070809</v>
      </c>
      <c r="C368" s="134"/>
      <c r="F368" s="99">
        <f>+'[32]Trial Balance'!B368</f>
        <v>1070809</v>
      </c>
      <c r="G368" s="99">
        <f>+'[32]Trial Balance'!C368</f>
        <v>0</v>
      </c>
      <c r="H368" s="20">
        <f t="shared" si="37"/>
        <v>0</v>
      </c>
      <c r="I368" s="20">
        <f t="shared" si="38"/>
        <v>0</v>
      </c>
    </row>
    <row r="369" spans="1:9">
      <c r="A369" s="17" t="s">
        <v>783</v>
      </c>
      <c r="B369" s="132">
        <v>2662058</v>
      </c>
      <c r="C369" s="134"/>
      <c r="F369" s="99">
        <f>+'[32]Trial Balance'!B369</f>
        <v>2662058</v>
      </c>
      <c r="G369" s="99">
        <f>+'[32]Trial Balance'!C369</f>
        <v>0</v>
      </c>
      <c r="H369" s="20">
        <f t="shared" si="37"/>
        <v>0</v>
      </c>
      <c r="I369" s="20">
        <f t="shared" si="38"/>
        <v>0</v>
      </c>
    </row>
    <row r="370" spans="1:9">
      <c r="A370" s="17" t="s">
        <v>1074</v>
      </c>
      <c r="B370" s="132">
        <v>132476</v>
      </c>
      <c r="C370" s="132"/>
      <c r="F370" s="99">
        <f>+'[32]Trial Balance'!B370</f>
        <v>132476</v>
      </c>
      <c r="G370" s="99">
        <f>+'[32]Trial Balance'!C370</f>
        <v>0</v>
      </c>
      <c r="H370" s="20">
        <f t="shared" si="37"/>
        <v>0</v>
      </c>
      <c r="I370" s="20">
        <f t="shared" si="38"/>
        <v>0</v>
      </c>
    </row>
    <row r="371" spans="1:9">
      <c r="A371" s="17" t="s">
        <v>784</v>
      </c>
      <c r="B371" s="132">
        <v>242444</v>
      </c>
      <c r="C371" s="134"/>
      <c r="F371" s="99">
        <f>+'[32]Trial Balance'!B371</f>
        <v>242444</v>
      </c>
      <c r="G371" s="99">
        <f>+'[32]Trial Balance'!C371</f>
        <v>0</v>
      </c>
      <c r="H371" s="20">
        <f t="shared" si="37"/>
        <v>0</v>
      </c>
      <c r="I371" s="20">
        <f t="shared" si="38"/>
        <v>0</v>
      </c>
    </row>
    <row r="372" spans="1:9">
      <c r="A372" s="17" t="s">
        <v>1075</v>
      </c>
      <c r="B372" s="132">
        <v>53934</v>
      </c>
      <c r="C372" s="134"/>
      <c r="F372" s="99">
        <f>+'[32]Trial Balance'!B372</f>
        <v>53934</v>
      </c>
      <c r="G372" s="99">
        <f>+'[32]Trial Balance'!C372</f>
        <v>0</v>
      </c>
      <c r="H372" s="20">
        <f t="shared" ref="H372:H380" si="39">+B372-F372</f>
        <v>0</v>
      </c>
      <c r="I372" s="20">
        <f t="shared" ref="I372:I380" si="40">+C372-G372</f>
        <v>0</v>
      </c>
    </row>
    <row r="373" spans="1:9">
      <c r="A373" s="17" t="s">
        <v>785</v>
      </c>
      <c r="B373" s="132">
        <v>141152</v>
      </c>
      <c r="C373" s="134"/>
      <c r="F373" s="99">
        <f>+'[32]Trial Balance'!B373</f>
        <v>141152</v>
      </c>
      <c r="G373" s="99">
        <f>+'[32]Trial Balance'!C373</f>
        <v>0</v>
      </c>
      <c r="H373" s="20">
        <f t="shared" si="39"/>
        <v>0</v>
      </c>
      <c r="I373" s="20">
        <f t="shared" si="40"/>
        <v>0</v>
      </c>
    </row>
    <row r="374" spans="1:9">
      <c r="A374" s="17" t="s">
        <v>786</v>
      </c>
      <c r="B374" s="132">
        <v>139556.68</v>
      </c>
      <c r="C374" s="134"/>
      <c r="F374" s="99">
        <f>+'[32]Trial Balance'!B374</f>
        <v>139556.68</v>
      </c>
      <c r="G374" s="99">
        <f>+'[32]Trial Balance'!C374</f>
        <v>0</v>
      </c>
      <c r="H374" s="20">
        <f t="shared" si="39"/>
        <v>0</v>
      </c>
      <c r="I374" s="20">
        <f t="shared" si="40"/>
        <v>0</v>
      </c>
    </row>
    <row r="375" spans="1:9">
      <c r="A375" s="17" t="s">
        <v>787</v>
      </c>
      <c r="B375" s="132">
        <v>99043</v>
      </c>
      <c r="C375" s="134"/>
      <c r="F375" s="99">
        <f>+'[32]Trial Balance'!B375</f>
        <v>99043</v>
      </c>
      <c r="G375" s="99">
        <f>+'[32]Trial Balance'!C375</f>
        <v>0</v>
      </c>
      <c r="H375" s="20">
        <f t="shared" si="39"/>
        <v>0</v>
      </c>
      <c r="I375" s="20">
        <f t="shared" si="40"/>
        <v>0</v>
      </c>
    </row>
    <row r="376" spans="1:9">
      <c r="A376" s="17" t="s">
        <v>788</v>
      </c>
      <c r="B376" s="132">
        <v>123227</v>
      </c>
      <c r="C376" s="134"/>
      <c r="F376" s="99">
        <f>+'[32]Trial Balance'!B376</f>
        <v>123227</v>
      </c>
      <c r="G376" s="99">
        <f>+'[32]Trial Balance'!C376</f>
        <v>0</v>
      </c>
      <c r="H376" s="20">
        <f t="shared" si="39"/>
        <v>0</v>
      </c>
      <c r="I376" s="20">
        <f t="shared" si="40"/>
        <v>0</v>
      </c>
    </row>
    <row r="377" spans="1:9">
      <c r="A377" s="17" t="s">
        <v>789</v>
      </c>
      <c r="B377" s="132">
        <v>909980</v>
      </c>
      <c r="C377" s="134"/>
      <c r="F377" s="99">
        <f>+'[32]Trial Balance'!B377</f>
        <v>909980</v>
      </c>
      <c r="G377" s="99">
        <f>+'[32]Trial Balance'!C377</f>
        <v>0</v>
      </c>
      <c r="H377" s="20">
        <f t="shared" si="39"/>
        <v>0</v>
      </c>
      <c r="I377" s="20">
        <f t="shared" si="40"/>
        <v>0</v>
      </c>
    </row>
    <row r="378" spans="1:9">
      <c r="A378" s="17" t="s">
        <v>790</v>
      </c>
      <c r="B378" s="132">
        <v>94992</v>
      </c>
      <c r="C378" s="134"/>
      <c r="F378" s="99">
        <f>+'[32]Trial Balance'!B378</f>
        <v>94992</v>
      </c>
      <c r="G378" s="99">
        <f>+'[32]Trial Balance'!C378</f>
        <v>0</v>
      </c>
      <c r="H378" s="20">
        <f t="shared" si="39"/>
        <v>0</v>
      </c>
      <c r="I378" s="20">
        <f t="shared" si="40"/>
        <v>0</v>
      </c>
    </row>
    <row r="379" spans="1:9">
      <c r="A379" s="17" t="s">
        <v>791</v>
      </c>
      <c r="B379" s="132">
        <v>460474</v>
      </c>
      <c r="C379" s="134"/>
      <c r="F379" s="99">
        <f>+'[32]Trial Balance'!B379</f>
        <v>460474</v>
      </c>
      <c r="G379" s="99">
        <f>+'[32]Trial Balance'!C379</f>
        <v>0</v>
      </c>
      <c r="H379" s="20">
        <f t="shared" si="39"/>
        <v>0</v>
      </c>
      <c r="I379" s="20">
        <f t="shared" si="40"/>
        <v>0</v>
      </c>
    </row>
    <row r="380" spans="1:9">
      <c r="A380" s="17" t="s">
        <v>792</v>
      </c>
      <c r="B380" s="132">
        <v>347944</v>
      </c>
      <c r="C380" s="134"/>
      <c r="F380" s="99">
        <f>+'[32]Trial Balance'!B380</f>
        <v>347944</v>
      </c>
      <c r="G380" s="99">
        <f>+'[32]Trial Balance'!C380</f>
        <v>0</v>
      </c>
      <c r="H380" s="20">
        <f t="shared" si="39"/>
        <v>0</v>
      </c>
      <c r="I380" s="20">
        <f t="shared" si="40"/>
        <v>0</v>
      </c>
    </row>
    <row r="381" spans="1:9">
      <c r="A381" s="15" t="s">
        <v>1178</v>
      </c>
      <c r="B381" s="132">
        <v>43000</v>
      </c>
      <c r="C381" s="134"/>
      <c r="F381" s="99">
        <f>+'[32]Trial Balance'!B381</f>
        <v>43000</v>
      </c>
      <c r="G381" s="99">
        <f>+'[32]Trial Balance'!C381</f>
        <v>0</v>
      </c>
      <c r="H381" s="20">
        <f t="shared" ref="H381:H392" si="41">+B381-F381</f>
        <v>0</v>
      </c>
      <c r="I381" s="20">
        <f t="shared" ref="I381:I392" si="42">+C381-G381</f>
        <v>0</v>
      </c>
    </row>
    <row r="382" spans="1:9">
      <c r="A382" s="17" t="s">
        <v>793</v>
      </c>
      <c r="B382" s="132">
        <v>9152</v>
      </c>
      <c r="C382" s="134"/>
      <c r="F382" s="99">
        <f>+'[32]Trial Balance'!B382</f>
        <v>9152</v>
      </c>
      <c r="G382" s="99">
        <f>+'[32]Trial Balance'!C382</f>
        <v>0</v>
      </c>
      <c r="H382" s="20">
        <f t="shared" si="41"/>
        <v>0</v>
      </c>
      <c r="I382" s="20">
        <f t="shared" si="42"/>
        <v>0</v>
      </c>
    </row>
    <row r="383" spans="1:9">
      <c r="A383" s="17" t="s">
        <v>794</v>
      </c>
      <c r="B383" s="132">
        <v>474051.8</v>
      </c>
      <c r="C383" s="134"/>
      <c r="F383" s="99">
        <f>+'[32]Trial Balance'!B383</f>
        <v>474051.8</v>
      </c>
      <c r="G383" s="99">
        <f>+'[32]Trial Balance'!C383</f>
        <v>0</v>
      </c>
      <c r="H383" s="20">
        <f t="shared" si="41"/>
        <v>0</v>
      </c>
      <c r="I383" s="20">
        <f t="shared" si="42"/>
        <v>0</v>
      </c>
    </row>
    <row r="384" spans="1:9">
      <c r="A384" s="17" t="s">
        <v>795</v>
      </c>
      <c r="B384" s="132">
        <v>384405</v>
      </c>
      <c r="C384" s="134"/>
      <c r="F384" s="99">
        <f>+'[32]Trial Balance'!B384</f>
        <v>384405</v>
      </c>
      <c r="G384" s="99">
        <f>+'[32]Trial Balance'!C384</f>
        <v>0</v>
      </c>
      <c r="H384" s="20">
        <f t="shared" si="41"/>
        <v>0</v>
      </c>
      <c r="I384" s="20">
        <f t="shared" si="42"/>
        <v>0</v>
      </c>
    </row>
    <row r="385" spans="1:9">
      <c r="A385" s="17" t="s">
        <v>796</v>
      </c>
      <c r="B385" s="132">
        <v>357068</v>
      </c>
      <c r="C385" s="134"/>
      <c r="F385" s="99">
        <f>+'[32]Trial Balance'!B385</f>
        <v>357068</v>
      </c>
      <c r="G385" s="99">
        <f>+'[32]Trial Balance'!C385</f>
        <v>0</v>
      </c>
      <c r="H385" s="20">
        <f t="shared" si="41"/>
        <v>0</v>
      </c>
      <c r="I385" s="20">
        <f t="shared" si="42"/>
        <v>0</v>
      </c>
    </row>
    <row r="386" spans="1:9">
      <c r="A386" s="17" t="s">
        <v>797</v>
      </c>
      <c r="B386" s="132">
        <v>322179</v>
      </c>
      <c r="C386" s="134"/>
      <c r="F386" s="99">
        <f>+'[32]Trial Balance'!B386</f>
        <v>322179</v>
      </c>
      <c r="G386" s="99">
        <f>+'[32]Trial Balance'!C386</f>
        <v>0</v>
      </c>
      <c r="H386" s="20">
        <f t="shared" si="41"/>
        <v>0</v>
      </c>
      <c r="I386" s="20">
        <f t="shared" si="42"/>
        <v>0</v>
      </c>
    </row>
    <row r="387" spans="1:9">
      <c r="A387" s="17" t="s">
        <v>798</v>
      </c>
      <c r="B387" s="132">
        <v>22179</v>
      </c>
      <c r="C387" s="134"/>
      <c r="F387" s="99">
        <f>+'[32]Trial Balance'!B387</f>
        <v>22179</v>
      </c>
      <c r="G387" s="99">
        <f>+'[32]Trial Balance'!C387</f>
        <v>0</v>
      </c>
      <c r="H387" s="20">
        <f t="shared" si="41"/>
        <v>0</v>
      </c>
      <c r="I387" s="20">
        <f t="shared" si="42"/>
        <v>0</v>
      </c>
    </row>
    <row r="388" spans="1:9">
      <c r="A388" s="17" t="s">
        <v>799</v>
      </c>
      <c r="B388" s="132">
        <v>322179</v>
      </c>
      <c r="C388" s="134"/>
      <c r="F388" s="99">
        <f>+'[32]Trial Balance'!B388</f>
        <v>322179</v>
      </c>
      <c r="G388" s="99">
        <f>+'[32]Trial Balance'!C388</f>
        <v>0</v>
      </c>
      <c r="H388" s="20">
        <f t="shared" si="41"/>
        <v>0</v>
      </c>
      <c r="I388" s="20">
        <f t="shared" si="42"/>
        <v>0</v>
      </c>
    </row>
    <row r="389" spans="1:9">
      <c r="A389" s="17" t="s">
        <v>800</v>
      </c>
      <c r="B389" s="132">
        <v>44308</v>
      </c>
      <c r="C389" s="134"/>
      <c r="F389" s="99">
        <f>+'[32]Trial Balance'!B389</f>
        <v>44308</v>
      </c>
      <c r="G389" s="99">
        <f>+'[32]Trial Balance'!C389</f>
        <v>0</v>
      </c>
      <c r="H389" s="20">
        <f t="shared" si="41"/>
        <v>0</v>
      </c>
      <c r="I389" s="20">
        <f t="shared" si="42"/>
        <v>0</v>
      </c>
    </row>
    <row r="390" spans="1:9">
      <c r="A390" s="17" t="s">
        <v>801</v>
      </c>
      <c r="B390" s="132">
        <v>36845</v>
      </c>
      <c r="C390" s="134"/>
      <c r="F390" s="99">
        <f>+'[32]Trial Balance'!B390</f>
        <v>36845</v>
      </c>
      <c r="G390" s="99">
        <f>+'[32]Trial Balance'!C390</f>
        <v>0</v>
      </c>
      <c r="H390" s="20">
        <f t="shared" si="41"/>
        <v>0</v>
      </c>
      <c r="I390" s="20">
        <f t="shared" si="42"/>
        <v>0</v>
      </c>
    </row>
    <row r="391" spans="1:9">
      <c r="A391" s="17" t="s">
        <v>1076</v>
      </c>
      <c r="B391" s="132">
        <v>87472</v>
      </c>
      <c r="C391" s="134"/>
      <c r="F391" s="99">
        <f>+'[32]Trial Balance'!B391</f>
        <v>87472</v>
      </c>
      <c r="G391" s="99">
        <f>+'[32]Trial Balance'!C391</f>
        <v>0</v>
      </c>
      <c r="H391" s="20">
        <f t="shared" si="41"/>
        <v>0</v>
      </c>
      <c r="I391" s="20">
        <f t="shared" si="42"/>
        <v>0</v>
      </c>
    </row>
    <row r="392" spans="1:9">
      <c r="A392" s="17" t="s">
        <v>802</v>
      </c>
      <c r="B392" s="132">
        <v>157637</v>
      </c>
      <c r="C392" s="134"/>
      <c r="F392" s="99">
        <f>+'[32]Trial Balance'!B392</f>
        <v>157637</v>
      </c>
      <c r="G392" s="99">
        <f>+'[32]Trial Balance'!C392</f>
        <v>0</v>
      </c>
      <c r="H392" s="20">
        <f t="shared" si="41"/>
        <v>0</v>
      </c>
      <c r="I392" s="20">
        <f t="shared" si="42"/>
        <v>0</v>
      </c>
    </row>
    <row r="393" spans="1:9">
      <c r="A393" s="17" t="s">
        <v>803</v>
      </c>
      <c r="B393" s="132">
        <v>5297</v>
      </c>
      <c r="C393" s="134"/>
      <c r="F393" s="99">
        <f>+'[32]Trial Balance'!B393</f>
        <v>5297</v>
      </c>
      <c r="G393" s="99">
        <f>+'[32]Trial Balance'!C393</f>
        <v>0</v>
      </c>
      <c r="H393" s="20">
        <f>+B393-F393</f>
        <v>0</v>
      </c>
      <c r="I393" s="20">
        <f>+C393-G393</f>
        <v>0</v>
      </c>
    </row>
    <row r="394" spans="1:9">
      <c r="A394" s="14" t="s">
        <v>69</v>
      </c>
      <c r="D394" s="106">
        <v>61649</v>
      </c>
      <c r="E394" s="114"/>
      <c r="H394" s="20"/>
      <c r="I394" s="20"/>
    </row>
    <row r="395" spans="1:9">
      <c r="A395" s="17" t="s">
        <v>260</v>
      </c>
      <c r="B395" s="132">
        <v>61649</v>
      </c>
      <c r="C395" s="95"/>
      <c r="F395" s="99">
        <f>+'[32]Trial Balance'!B395</f>
        <v>61649</v>
      </c>
      <c r="G395" s="99">
        <f>+'[32]Trial Balance'!C395</f>
        <v>0</v>
      </c>
      <c r="H395" s="20">
        <f>+B395-F395</f>
        <v>0</v>
      </c>
      <c r="I395" s="20">
        <f>+C395-G395</f>
        <v>0</v>
      </c>
    </row>
    <row r="396" spans="1:9">
      <c r="A396" s="14" t="s">
        <v>70</v>
      </c>
      <c r="D396" s="106">
        <v>9919728.6400000006</v>
      </c>
      <c r="E396" s="114"/>
      <c r="H396" s="20"/>
      <c r="I396" s="20"/>
    </row>
    <row r="397" spans="1:9">
      <c r="A397" s="18" t="s">
        <v>804</v>
      </c>
      <c r="D397" s="107">
        <v>7211220.6699999999</v>
      </c>
      <c r="E397" s="113"/>
      <c r="H397" s="20"/>
      <c r="I397" s="20"/>
    </row>
    <row r="398" spans="1:9">
      <c r="A398" s="15" t="s">
        <v>805</v>
      </c>
      <c r="B398" s="127">
        <v>40176.58</v>
      </c>
      <c r="C398" s="96"/>
      <c r="F398" s="99">
        <f>+'[32]Trial Balance'!B398</f>
        <v>40176.58</v>
      </c>
      <c r="G398" s="99">
        <f>+'[32]Trial Balance'!C398</f>
        <v>0</v>
      </c>
      <c r="H398" s="20">
        <f>+B398-F398</f>
        <v>0</v>
      </c>
      <c r="I398" s="20">
        <f>+C398-G398</f>
        <v>0</v>
      </c>
    </row>
    <row r="399" spans="1:9">
      <c r="A399" s="15" t="s">
        <v>806</v>
      </c>
      <c r="B399" s="127">
        <v>12797.11</v>
      </c>
      <c r="C399" s="96"/>
      <c r="F399" s="99">
        <f>+'[32]Trial Balance'!B399</f>
        <v>12797.11</v>
      </c>
      <c r="G399" s="99">
        <f>+'[32]Trial Balance'!C399</f>
        <v>0</v>
      </c>
      <c r="H399" s="20">
        <f t="shared" ref="H399:H415" si="43">+B399-F399</f>
        <v>0</v>
      </c>
      <c r="I399" s="20">
        <f t="shared" ref="I399:I415" si="44">+C399-G399</f>
        <v>0</v>
      </c>
    </row>
    <row r="400" spans="1:9">
      <c r="A400" s="15" t="s">
        <v>807</v>
      </c>
      <c r="B400" s="127">
        <v>16789.22</v>
      </c>
      <c r="C400" s="96"/>
      <c r="F400" s="99">
        <f>+'[32]Trial Balance'!B400</f>
        <v>16789.22</v>
      </c>
      <c r="G400" s="99">
        <f>+'[32]Trial Balance'!C400</f>
        <v>0</v>
      </c>
      <c r="H400" s="20">
        <f t="shared" si="43"/>
        <v>0</v>
      </c>
      <c r="I400" s="20">
        <f t="shared" si="44"/>
        <v>0</v>
      </c>
    </row>
    <row r="401" spans="1:9">
      <c r="A401" s="15" t="s">
        <v>808</v>
      </c>
      <c r="B401" s="127">
        <v>1018399.21</v>
      </c>
      <c r="C401" s="96"/>
      <c r="F401" s="99">
        <f>+'[32]Trial Balance'!B401</f>
        <v>1018399.21</v>
      </c>
      <c r="G401" s="99">
        <f>+'[32]Trial Balance'!C401</f>
        <v>0</v>
      </c>
      <c r="H401" s="20">
        <f t="shared" si="43"/>
        <v>0</v>
      </c>
      <c r="I401" s="20">
        <f t="shared" si="44"/>
        <v>0</v>
      </c>
    </row>
    <row r="402" spans="1:9">
      <c r="A402" s="15" t="s">
        <v>809</v>
      </c>
      <c r="B402" s="127">
        <v>3188407</v>
      </c>
      <c r="C402" s="96"/>
      <c r="F402" s="99">
        <f>+'[32]Trial Balance'!B402</f>
        <v>3188407</v>
      </c>
      <c r="G402" s="99">
        <f>+'[32]Trial Balance'!C402</f>
        <v>0</v>
      </c>
      <c r="H402" s="20">
        <f t="shared" si="43"/>
        <v>0</v>
      </c>
      <c r="I402" s="20">
        <f t="shared" si="44"/>
        <v>0</v>
      </c>
    </row>
    <row r="403" spans="1:9">
      <c r="A403" s="15" t="s">
        <v>810</v>
      </c>
      <c r="B403" s="127">
        <v>13566</v>
      </c>
      <c r="C403" s="96"/>
      <c r="F403" s="99">
        <f>+'[32]Trial Balance'!B403</f>
        <v>13566</v>
      </c>
      <c r="G403" s="99">
        <f>+'[32]Trial Balance'!C403</f>
        <v>0</v>
      </c>
      <c r="H403" s="20">
        <f t="shared" si="43"/>
        <v>0</v>
      </c>
      <c r="I403" s="20">
        <f t="shared" si="44"/>
        <v>0</v>
      </c>
    </row>
    <row r="404" spans="1:9">
      <c r="A404" s="15" t="s">
        <v>261</v>
      </c>
      <c r="B404" s="127">
        <v>1921759.17</v>
      </c>
      <c r="C404" s="96"/>
      <c r="F404" s="99">
        <f>+'[32]Trial Balance'!B404</f>
        <v>1921759.17</v>
      </c>
      <c r="G404" s="99">
        <f>+'[32]Trial Balance'!C404</f>
        <v>0</v>
      </c>
      <c r="H404" s="20">
        <f t="shared" si="43"/>
        <v>0</v>
      </c>
      <c r="I404" s="20">
        <f t="shared" si="44"/>
        <v>0</v>
      </c>
    </row>
    <row r="405" spans="1:9">
      <c r="A405" s="15" t="s">
        <v>811</v>
      </c>
      <c r="B405" s="127">
        <v>720398.51</v>
      </c>
      <c r="C405" s="96"/>
      <c r="F405" s="99">
        <f>+'[32]Trial Balance'!B405</f>
        <v>720398.51</v>
      </c>
      <c r="G405" s="99">
        <f>+'[32]Trial Balance'!C405</f>
        <v>0</v>
      </c>
      <c r="H405" s="20">
        <f t="shared" si="43"/>
        <v>0</v>
      </c>
      <c r="I405" s="20">
        <f t="shared" si="44"/>
        <v>0</v>
      </c>
    </row>
    <row r="406" spans="1:9">
      <c r="A406" s="15" t="s">
        <v>812</v>
      </c>
      <c r="B406" s="127">
        <v>244512</v>
      </c>
      <c r="C406" s="96"/>
      <c r="F406" s="99">
        <f>+'[32]Trial Balance'!B406</f>
        <v>244512</v>
      </c>
      <c r="G406" s="99">
        <f>+'[32]Trial Balance'!C406</f>
        <v>0</v>
      </c>
      <c r="H406" s="20">
        <f t="shared" si="43"/>
        <v>0</v>
      </c>
      <c r="I406" s="20">
        <f t="shared" si="44"/>
        <v>0</v>
      </c>
    </row>
    <row r="407" spans="1:9">
      <c r="A407" s="15" t="s">
        <v>813</v>
      </c>
      <c r="B407" s="127">
        <v>21297.87</v>
      </c>
      <c r="C407" s="96"/>
      <c r="F407" s="99">
        <f>+'[32]Trial Balance'!B407</f>
        <v>21297.87</v>
      </c>
      <c r="G407" s="99">
        <f>+'[32]Trial Balance'!C407</f>
        <v>0</v>
      </c>
      <c r="H407" s="20">
        <f t="shared" si="43"/>
        <v>0</v>
      </c>
      <c r="I407" s="20">
        <f t="shared" si="44"/>
        <v>0</v>
      </c>
    </row>
    <row r="408" spans="1:9">
      <c r="A408" s="15" t="s">
        <v>814</v>
      </c>
      <c r="B408" s="127">
        <v>13118</v>
      </c>
      <c r="C408" s="96"/>
      <c r="F408" s="99">
        <f>+'[32]Trial Balance'!B408</f>
        <v>13118</v>
      </c>
      <c r="G408" s="99">
        <f>+'[32]Trial Balance'!C408</f>
        <v>0</v>
      </c>
      <c r="H408" s="20">
        <f t="shared" si="43"/>
        <v>0</v>
      </c>
      <c r="I408" s="20">
        <f t="shared" si="44"/>
        <v>0</v>
      </c>
    </row>
    <row r="409" spans="1:9">
      <c r="A409" s="18" t="s">
        <v>815</v>
      </c>
      <c r="D409" s="93">
        <v>2708507.97</v>
      </c>
      <c r="E409" s="108"/>
      <c r="H409" s="20"/>
      <c r="I409" s="20"/>
    </row>
    <row r="410" spans="1:9">
      <c r="A410" s="15" t="s">
        <v>816</v>
      </c>
      <c r="B410" s="127">
        <v>11681.17</v>
      </c>
      <c r="C410" s="96"/>
      <c r="F410" s="99">
        <f>+'[32]Trial Balance'!B410</f>
        <v>11681.17</v>
      </c>
      <c r="G410" s="99">
        <f>+'[32]Trial Balance'!C410</f>
        <v>0</v>
      </c>
      <c r="H410" s="20">
        <f t="shared" si="43"/>
        <v>0</v>
      </c>
      <c r="I410" s="20">
        <f t="shared" si="44"/>
        <v>0</v>
      </c>
    </row>
    <row r="411" spans="1:9">
      <c r="A411" s="15" t="s">
        <v>817</v>
      </c>
      <c r="B411" s="127">
        <v>310065.43</v>
      </c>
      <c r="C411" s="96"/>
      <c r="F411" s="99">
        <f>+'[32]Trial Balance'!B411</f>
        <v>310065.43</v>
      </c>
      <c r="G411" s="99">
        <f>+'[32]Trial Balance'!C411</f>
        <v>0</v>
      </c>
      <c r="H411" s="20">
        <f t="shared" si="43"/>
        <v>0</v>
      </c>
      <c r="I411" s="20">
        <f t="shared" si="44"/>
        <v>0</v>
      </c>
    </row>
    <row r="412" spans="1:9">
      <c r="A412" s="15" t="s">
        <v>818</v>
      </c>
      <c r="B412" s="127">
        <v>401697.98</v>
      </c>
      <c r="C412" s="96"/>
      <c r="F412" s="99">
        <f>+'[32]Trial Balance'!B412</f>
        <v>401697.98</v>
      </c>
      <c r="G412" s="99">
        <f>+'[32]Trial Balance'!C412</f>
        <v>0</v>
      </c>
      <c r="H412" s="20">
        <f t="shared" si="43"/>
        <v>0</v>
      </c>
      <c r="I412" s="20">
        <f t="shared" si="44"/>
        <v>0</v>
      </c>
    </row>
    <row r="413" spans="1:9">
      <c r="A413" s="15" t="s">
        <v>819</v>
      </c>
      <c r="B413" s="127">
        <v>1948083</v>
      </c>
      <c r="C413" s="96"/>
      <c r="F413" s="99">
        <f>+'[32]Trial Balance'!B413</f>
        <v>1948083</v>
      </c>
      <c r="G413" s="99">
        <f>+'[32]Trial Balance'!C413</f>
        <v>0</v>
      </c>
      <c r="H413" s="20">
        <f t="shared" si="43"/>
        <v>0</v>
      </c>
      <c r="I413" s="20">
        <f t="shared" si="44"/>
        <v>0</v>
      </c>
    </row>
    <row r="414" spans="1:9">
      <c r="A414" s="15" t="s">
        <v>820</v>
      </c>
      <c r="B414" s="127">
        <v>11037.14</v>
      </c>
      <c r="C414" s="96"/>
      <c r="F414" s="99">
        <f>+'[32]Trial Balance'!B414</f>
        <v>11037.14</v>
      </c>
      <c r="G414" s="99">
        <f>+'[32]Trial Balance'!C414</f>
        <v>0</v>
      </c>
      <c r="H414" s="20">
        <f t="shared" si="43"/>
        <v>0</v>
      </c>
      <c r="I414" s="20">
        <f t="shared" si="44"/>
        <v>0</v>
      </c>
    </row>
    <row r="415" spans="1:9">
      <c r="A415" s="15" t="s">
        <v>821</v>
      </c>
      <c r="B415" s="127">
        <v>25943.25</v>
      </c>
      <c r="C415" s="96"/>
      <c r="F415" s="99">
        <f>+'[32]Trial Balance'!B415</f>
        <v>25943.25</v>
      </c>
      <c r="G415" s="99">
        <f>+'[32]Trial Balance'!C415</f>
        <v>0</v>
      </c>
      <c r="H415" s="20">
        <f t="shared" si="43"/>
        <v>0</v>
      </c>
      <c r="I415" s="20">
        <f t="shared" si="44"/>
        <v>0</v>
      </c>
    </row>
    <row r="416" spans="1:9">
      <c r="A416" s="13" t="s">
        <v>99</v>
      </c>
      <c r="B416" s="127">
        <v>6288329</v>
      </c>
      <c r="C416" s="96"/>
      <c r="F416" s="99">
        <f>+'[32]Trial Balance'!B416</f>
        <v>6288329</v>
      </c>
      <c r="G416" s="99">
        <f>+'[32]Trial Balance'!C416</f>
        <v>0</v>
      </c>
      <c r="H416" s="20">
        <f>+B416-F416</f>
        <v>0</v>
      </c>
      <c r="I416" s="20">
        <f>+C416-G416</f>
        <v>0</v>
      </c>
    </row>
    <row r="417" spans="1:9">
      <c r="A417" s="13" t="s">
        <v>1077</v>
      </c>
      <c r="B417" s="127">
        <v>778938</v>
      </c>
      <c r="C417" s="96"/>
      <c r="F417" s="99">
        <f>+'[32]Trial Balance'!B417</f>
        <v>778938</v>
      </c>
      <c r="G417" s="99">
        <f>+'[32]Trial Balance'!C417</f>
        <v>0</v>
      </c>
      <c r="H417" s="20">
        <f>+B417-F417</f>
        <v>0</v>
      </c>
      <c r="I417" s="20">
        <f>+C417-G417</f>
        <v>0</v>
      </c>
    </row>
    <row r="418" spans="1:9">
      <c r="A418" s="1" t="s">
        <v>100</v>
      </c>
      <c r="D418" s="105">
        <v>139203703.09999999</v>
      </c>
      <c r="E418" s="105">
        <v>134066568</v>
      </c>
      <c r="H418" s="20"/>
      <c r="I418" s="20"/>
    </row>
    <row r="419" spans="1:9">
      <c r="A419" s="13" t="s">
        <v>822</v>
      </c>
      <c r="B419" s="128"/>
      <c r="C419" s="127">
        <v>201</v>
      </c>
      <c r="F419" s="99">
        <f>+'[32]Trial Balance'!B419</f>
        <v>0</v>
      </c>
      <c r="G419" s="99">
        <f>+'[32]Trial Balance'!C419</f>
        <v>201</v>
      </c>
      <c r="H419" s="20">
        <f>+B419-F419</f>
        <v>0</v>
      </c>
      <c r="I419" s="20">
        <f>+C419-G419</f>
        <v>0</v>
      </c>
    </row>
    <row r="420" spans="1:9">
      <c r="A420" s="13" t="s">
        <v>823</v>
      </c>
      <c r="B420" s="128"/>
      <c r="C420" s="127">
        <v>2</v>
      </c>
      <c r="F420" s="99">
        <f>+'[32]Trial Balance'!B420</f>
        <v>0</v>
      </c>
      <c r="G420" s="99">
        <f>+'[32]Trial Balance'!C420</f>
        <v>2</v>
      </c>
      <c r="H420" s="20">
        <f t="shared" ref="H420:H481" si="45">+B420-F420</f>
        <v>0</v>
      </c>
      <c r="I420" s="20">
        <f t="shared" ref="I420:I481" si="46">+C420-G420</f>
        <v>0</v>
      </c>
    </row>
    <row r="421" spans="1:9">
      <c r="A421" s="13" t="s">
        <v>824</v>
      </c>
      <c r="B421" s="128"/>
      <c r="C421" s="127">
        <v>800</v>
      </c>
      <c r="F421" s="99">
        <f>+'[32]Trial Balance'!B421</f>
        <v>0</v>
      </c>
      <c r="G421" s="99">
        <f>+'[32]Trial Balance'!C421</f>
        <v>800</v>
      </c>
      <c r="H421" s="20">
        <f t="shared" si="45"/>
        <v>0</v>
      </c>
      <c r="I421" s="20">
        <f t="shared" si="46"/>
        <v>0</v>
      </c>
    </row>
    <row r="422" spans="1:9">
      <c r="A422" s="13" t="s">
        <v>825</v>
      </c>
      <c r="B422" s="127">
        <v>2727</v>
      </c>
      <c r="C422" s="128"/>
      <c r="F422" s="99">
        <f>+'[32]Trial Balance'!B422</f>
        <v>2727</v>
      </c>
      <c r="G422" s="99">
        <f>+'[32]Trial Balance'!C422</f>
        <v>0</v>
      </c>
      <c r="H422" s="20">
        <f t="shared" si="45"/>
        <v>0</v>
      </c>
      <c r="I422" s="20">
        <f t="shared" si="46"/>
        <v>0</v>
      </c>
    </row>
    <row r="423" spans="1:9">
      <c r="A423" s="13" t="s">
        <v>826</v>
      </c>
      <c r="B423" s="127">
        <v>12468.4</v>
      </c>
      <c r="C423" s="128"/>
      <c r="F423" s="99">
        <f>+'[32]Trial Balance'!B423</f>
        <v>12468.4</v>
      </c>
      <c r="G423" s="99">
        <f>+'[32]Trial Balance'!C423</f>
        <v>0</v>
      </c>
      <c r="H423" s="20">
        <f t="shared" si="45"/>
        <v>0</v>
      </c>
      <c r="I423" s="20">
        <f t="shared" si="46"/>
        <v>0</v>
      </c>
    </row>
    <row r="424" spans="1:9">
      <c r="A424" s="13" t="s">
        <v>827</v>
      </c>
      <c r="B424" s="127">
        <v>1657</v>
      </c>
      <c r="C424" s="128"/>
      <c r="F424" s="99">
        <f>+'[32]Trial Balance'!B424</f>
        <v>1657</v>
      </c>
      <c r="G424" s="99">
        <f>+'[32]Trial Balance'!C424</f>
        <v>0</v>
      </c>
      <c r="H424" s="20">
        <f t="shared" si="45"/>
        <v>0</v>
      </c>
      <c r="I424" s="20">
        <f t="shared" si="46"/>
        <v>0</v>
      </c>
    </row>
    <row r="425" spans="1:9">
      <c r="A425" s="13" t="s">
        <v>828</v>
      </c>
      <c r="B425" s="127">
        <v>3476.45</v>
      </c>
      <c r="C425" s="128"/>
      <c r="F425" s="99">
        <f>+'[32]Trial Balance'!B425</f>
        <v>3476.45</v>
      </c>
      <c r="G425" s="99">
        <f>+'[32]Trial Balance'!C425</f>
        <v>0</v>
      </c>
      <c r="H425" s="20">
        <f t="shared" si="45"/>
        <v>0</v>
      </c>
      <c r="I425" s="20">
        <f t="shared" si="46"/>
        <v>0</v>
      </c>
    </row>
    <row r="426" spans="1:9">
      <c r="A426" s="13" t="s">
        <v>829</v>
      </c>
      <c r="B426" s="127">
        <v>210769</v>
      </c>
      <c r="C426" s="128"/>
      <c r="F426" s="99">
        <f>+'[32]Trial Balance'!B426</f>
        <v>210769</v>
      </c>
      <c r="G426" s="99">
        <f>+'[32]Trial Balance'!C426</f>
        <v>0</v>
      </c>
      <c r="H426" s="20">
        <f t="shared" si="45"/>
        <v>0</v>
      </c>
      <c r="I426" s="20">
        <f t="shared" si="46"/>
        <v>0</v>
      </c>
    </row>
    <row r="427" spans="1:9">
      <c r="A427" s="13" t="s">
        <v>1078</v>
      </c>
      <c r="B427" s="127">
        <v>107441</v>
      </c>
      <c r="C427" s="128"/>
      <c r="F427" s="99">
        <f>+'[32]Trial Balance'!B427</f>
        <v>107441</v>
      </c>
      <c r="G427" s="99">
        <f>+'[32]Trial Balance'!C427</f>
        <v>0</v>
      </c>
      <c r="H427" s="20">
        <f t="shared" si="45"/>
        <v>0</v>
      </c>
      <c r="I427" s="20">
        <f t="shared" si="46"/>
        <v>0</v>
      </c>
    </row>
    <row r="428" spans="1:9">
      <c r="A428" s="13" t="s">
        <v>830</v>
      </c>
      <c r="B428" s="128"/>
      <c r="C428" s="127">
        <v>500</v>
      </c>
      <c r="F428" s="99">
        <f>+'[32]Trial Balance'!B428</f>
        <v>0</v>
      </c>
      <c r="G428" s="99">
        <f>+'[32]Trial Balance'!C428</f>
        <v>500</v>
      </c>
      <c r="H428" s="20">
        <f t="shared" si="45"/>
        <v>0</v>
      </c>
      <c r="I428" s="20">
        <f t="shared" si="46"/>
        <v>0</v>
      </c>
    </row>
    <row r="429" spans="1:9">
      <c r="A429" s="13" t="s">
        <v>831</v>
      </c>
      <c r="B429" s="127">
        <v>145726</v>
      </c>
      <c r="C429" s="128"/>
      <c r="F429" s="99">
        <f>+'[32]Trial Balance'!B429</f>
        <v>145726</v>
      </c>
      <c r="G429" s="99">
        <f>+'[32]Trial Balance'!C429</f>
        <v>0</v>
      </c>
      <c r="H429" s="20">
        <f t="shared" si="45"/>
        <v>0</v>
      </c>
      <c r="I429" s="20">
        <f t="shared" si="46"/>
        <v>0</v>
      </c>
    </row>
    <row r="430" spans="1:9">
      <c r="A430" s="13" t="s">
        <v>832</v>
      </c>
      <c r="B430" s="127">
        <v>2903</v>
      </c>
      <c r="C430" s="128"/>
      <c r="F430" s="99">
        <f>+'[32]Trial Balance'!B430</f>
        <v>2903</v>
      </c>
      <c r="G430" s="99">
        <f>+'[32]Trial Balance'!C430</f>
        <v>0</v>
      </c>
      <c r="H430" s="20">
        <f t="shared" si="45"/>
        <v>0</v>
      </c>
      <c r="I430" s="20">
        <f t="shared" si="46"/>
        <v>0</v>
      </c>
    </row>
    <row r="431" spans="1:9">
      <c r="A431" s="13" t="s">
        <v>1079</v>
      </c>
      <c r="B431" s="127">
        <v>120040</v>
      </c>
      <c r="C431" s="128"/>
      <c r="F431" s="99">
        <f>+'[32]Trial Balance'!B431</f>
        <v>120040</v>
      </c>
      <c r="G431" s="99">
        <f>+'[32]Trial Balance'!C431</f>
        <v>0</v>
      </c>
      <c r="H431" s="20">
        <f t="shared" si="45"/>
        <v>0</v>
      </c>
      <c r="I431" s="20">
        <f t="shared" si="46"/>
        <v>0</v>
      </c>
    </row>
    <row r="432" spans="1:9">
      <c r="A432" s="13" t="s">
        <v>833</v>
      </c>
      <c r="B432" s="127">
        <v>35571</v>
      </c>
      <c r="C432" s="128"/>
      <c r="F432" s="99">
        <f>+'[32]Trial Balance'!B432</f>
        <v>35571</v>
      </c>
      <c r="G432" s="99">
        <f>+'[32]Trial Balance'!C432</f>
        <v>0</v>
      </c>
      <c r="H432" s="20">
        <f t="shared" si="45"/>
        <v>0</v>
      </c>
      <c r="I432" s="20">
        <f t="shared" si="46"/>
        <v>0</v>
      </c>
    </row>
    <row r="433" spans="1:9">
      <c r="A433" s="13" t="s">
        <v>834</v>
      </c>
      <c r="B433" s="127">
        <v>29579.599999999999</v>
      </c>
      <c r="C433" s="128"/>
      <c r="F433" s="99">
        <f>+'[32]Trial Balance'!B433</f>
        <v>29579.599999999999</v>
      </c>
      <c r="G433" s="99">
        <f>+'[32]Trial Balance'!C433</f>
        <v>0</v>
      </c>
      <c r="H433" s="20">
        <f t="shared" si="45"/>
        <v>0</v>
      </c>
      <c r="I433" s="20">
        <f t="shared" si="46"/>
        <v>0</v>
      </c>
    </row>
    <row r="434" spans="1:9">
      <c r="A434" s="13" t="s">
        <v>1080</v>
      </c>
      <c r="B434" s="127">
        <v>98014</v>
      </c>
      <c r="C434" s="128"/>
      <c r="F434" s="99">
        <f>+'[32]Trial Balance'!B434</f>
        <v>98014</v>
      </c>
      <c r="G434" s="99">
        <f>+'[32]Trial Balance'!C434</f>
        <v>0</v>
      </c>
      <c r="H434" s="20">
        <f t="shared" si="45"/>
        <v>0</v>
      </c>
      <c r="I434" s="20">
        <f t="shared" si="46"/>
        <v>0</v>
      </c>
    </row>
    <row r="435" spans="1:9">
      <c r="A435" s="13" t="s">
        <v>1081</v>
      </c>
      <c r="B435" s="127">
        <v>99951</v>
      </c>
      <c r="C435" s="128"/>
      <c r="F435" s="99">
        <f>+'[32]Trial Balance'!B435</f>
        <v>99951</v>
      </c>
      <c r="G435" s="99">
        <f>+'[32]Trial Balance'!C435</f>
        <v>0</v>
      </c>
      <c r="H435" s="20">
        <f t="shared" si="45"/>
        <v>0</v>
      </c>
      <c r="I435" s="20">
        <f t="shared" si="46"/>
        <v>0</v>
      </c>
    </row>
    <row r="436" spans="1:9">
      <c r="A436" s="13" t="s">
        <v>835</v>
      </c>
      <c r="B436" s="128"/>
      <c r="C436" s="127">
        <v>2000</v>
      </c>
      <c r="F436" s="99">
        <f>+'[32]Trial Balance'!B436</f>
        <v>0</v>
      </c>
      <c r="G436" s="99">
        <f>+'[32]Trial Balance'!C436</f>
        <v>2000</v>
      </c>
      <c r="H436" s="20">
        <f t="shared" si="45"/>
        <v>0</v>
      </c>
      <c r="I436" s="20">
        <f t="shared" si="46"/>
        <v>0</v>
      </c>
    </row>
    <row r="437" spans="1:9">
      <c r="A437" s="13" t="s">
        <v>1082</v>
      </c>
      <c r="B437" s="127">
        <v>76977</v>
      </c>
      <c r="C437" s="128"/>
      <c r="F437" s="99">
        <f>+'[32]Trial Balance'!B437</f>
        <v>76977</v>
      </c>
      <c r="G437" s="99">
        <f>+'[32]Trial Balance'!C437</f>
        <v>0</v>
      </c>
      <c r="H437" s="20">
        <f t="shared" si="45"/>
        <v>0</v>
      </c>
      <c r="I437" s="20">
        <f t="shared" si="46"/>
        <v>0</v>
      </c>
    </row>
    <row r="438" spans="1:9">
      <c r="A438" s="13" t="s">
        <v>836</v>
      </c>
      <c r="B438" s="127">
        <v>88647</v>
      </c>
      <c r="C438" s="128"/>
      <c r="F438" s="99">
        <f>+'[32]Trial Balance'!B438</f>
        <v>88647</v>
      </c>
      <c r="G438" s="99">
        <f>+'[32]Trial Balance'!C438</f>
        <v>0</v>
      </c>
      <c r="H438" s="20">
        <f t="shared" si="45"/>
        <v>0</v>
      </c>
      <c r="I438" s="20">
        <f t="shared" si="46"/>
        <v>0</v>
      </c>
    </row>
    <row r="439" spans="1:9">
      <c r="A439" s="13" t="s">
        <v>1083</v>
      </c>
      <c r="B439" s="127">
        <v>368059</v>
      </c>
      <c r="C439" s="128"/>
      <c r="F439" s="99">
        <f>+'[32]Trial Balance'!B439</f>
        <v>368059</v>
      </c>
      <c r="G439" s="99">
        <f>+'[32]Trial Balance'!C439</f>
        <v>0</v>
      </c>
      <c r="H439" s="20">
        <f t="shared" si="45"/>
        <v>0</v>
      </c>
      <c r="I439" s="20">
        <f t="shared" si="46"/>
        <v>0</v>
      </c>
    </row>
    <row r="440" spans="1:9">
      <c r="A440" s="13" t="s">
        <v>837</v>
      </c>
      <c r="B440" s="127">
        <v>75</v>
      </c>
      <c r="C440" s="128"/>
      <c r="F440" s="99">
        <f>+'[32]Trial Balance'!B440</f>
        <v>75</v>
      </c>
      <c r="G440" s="99">
        <f>+'[32]Trial Balance'!C440</f>
        <v>0</v>
      </c>
      <c r="H440" s="20">
        <f t="shared" si="45"/>
        <v>0</v>
      </c>
      <c r="I440" s="20">
        <f t="shared" si="46"/>
        <v>0</v>
      </c>
    </row>
    <row r="441" spans="1:9">
      <c r="A441" s="13" t="s">
        <v>838</v>
      </c>
      <c r="B441" s="127">
        <v>5578</v>
      </c>
      <c r="C441" s="128"/>
      <c r="F441" s="99">
        <f>+'[32]Trial Balance'!B441</f>
        <v>5578</v>
      </c>
      <c r="G441" s="99">
        <f>+'[32]Trial Balance'!C441</f>
        <v>0</v>
      </c>
      <c r="H441" s="20">
        <f t="shared" si="45"/>
        <v>0</v>
      </c>
      <c r="I441" s="20">
        <f t="shared" si="46"/>
        <v>0</v>
      </c>
    </row>
    <row r="442" spans="1:9">
      <c r="A442" s="13" t="s">
        <v>839</v>
      </c>
      <c r="B442" s="127">
        <v>22244</v>
      </c>
      <c r="C442" s="128"/>
      <c r="F442" s="99">
        <f>+'[32]Trial Balance'!B442</f>
        <v>22244</v>
      </c>
      <c r="G442" s="99">
        <f>+'[32]Trial Balance'!C442</f>
        <v>0</v>
      </c>
      <c r="H442" s="20">
        <f t="shared" si="45"/>
        <v>0</v>
      </c>
      <c r="I442" s="20">
        <f t="shared" si="46"/>
        <v>0</v>
      </c>
    </row>
    <row r="443" spans="1:9">
      <c r="A443" s="13" t="s">
        <v>1084</v>
      </c>
      <c r="B443" s="127">
        <v>90316</v>
      </c>
      <c r="C443" s="128"/>
      <c r="F443" s="99">
        <f>+'[32]Trial Balance'!B443</f>
        <v>90316</v>
      </c>
      <c r="G443" s="99">
        <f>+'[32]Trial Balance'!C443</f>
        <v>0</v>
      </c>
      <c r="H443" s="20">
        <f t="shared" si="45"/>
        <v>0</v>
      </c>
      <c r="I443" s="20">
        <f t="shared" si="46"/>
        <v>0</v>
      </c>
    </row>
    <row r="444" spans="1:9">
      <c r="A444" s="13" t="s">
        <v>840</v>
      </c>
      <c r="B444" s="127">
        <v>18095</v>
      </c>
      <c r="C444" s="128"/>
      <c r="F444" s="99">
        <f>+'[32]Trial Balance'!B444</f>
        <v>18095</v>
      </c>
      <c r="G444" s="99">
        <f>+'[32]Trial Balance'!C444</f>
        <v>0</v>
      </c>
      <c r="H444" s="20">
        <f t="shared" si="45"/>
        <v>0</v>
      </c>
      <c r="I444" s="20">
        <f t="shared" si="46"/>
        <v>0</v>
      </c>
    </row>
    <row r="445" spans="1:9">
      <c r="A445" s="13" t="s">
        <v>841</v>
      </c>
      <c r="B445" s="127">
        <v>31056</v>
      </c>
      <c r="C445" s="128"/>
      <c r="F445" s="99">
        <f>+'[32]Trial Balance'!B445</f>
        <v>31056</v>
      </c>
      <c r="G445" s="99">
        <f>+'[32]Trial Balance'!C445</f>
        <v>0</v>
      </c>
      <c r="H445" s="20">
        <f t="shared" si="45"/>
        <v>0</v>
      </c>
      <c r="I445" s="20">
        <f t="shared" si="46"/>
        <v>0</v>
      </c>
    </row>
    <row r="446" spans="1:9">
      <c r="A446" s="13" t="s">
        <v>842</v>
      </c>
      <c r="B446" s="127">
        <v>27512</v>
      </c>
      <c r="C446" s="128"/>
      <c r="F446" s="99">
        <f>+'[32]Trial Balance'!B446</f>
        <v>27512</v>
      </c>
      <c r="G446" s="99">
        <f>+'[32]Trial Balance'!C446</f>
        <v>0</v>
      </c>
      <c r="H446" s="20">
        <f t="shared" si="45"/>
        <v>0</v>
      </c>
      <c r="I446" s="20">
        <f t="shared" si="46"/>
        <v>0</v>
      </c>
    </row>
    <row r="447" spans="1:9">
      <c r="A447" s="13" t="s">
        <v>843</v>
      </c>
      <c r="B447" s="128"/>
      <c r="C447" s="127">
        <v>2000</v>
      </c>
      <c r="F447" s="99">
        <f>+'[32]Trial Balance'!B447</f>
        <v>0</v>
      </c>
      <c r="G447" s="99">
        <f>+'[32]Trial Balance'!C447</f>
        <v>2000</v>
      </c>
      <c r="H447" s="20">
        <f t="shared" si="45"/>
        <v>0</v>
      </c>
      <c r="I447" s="20">
        <f t="shared" si="46"/>
        <v>0</v>
      </c>
    </row>
    <row r="448" spans="1:9">
      <c r="A448" s="13" t="s">
        <v>1085</v>
      </c>
      <c r="B448" s="127">
        <v>87517</v>
      </c>
      <c r="C448" s="128"/>
      <c r="F448" s="99">
        <f>+'[32]Trial Balance'!B448</f>
        <v>87517</v>
      </c>
      <c r="G448" s="99">
        <f>+'[32]Trial Balance'!C448</f>
        <v>0</v>
      </c>
      <c r="H448" s="20">
        <f t="shared" si="45"/>
        <v>0</v>
      </c>
      <c r="I448" s="20">
        <f t="shared" si="46"/>
        <v>0</v>
      </c>
    </row>
    <row r="449" spans="1:9">
      <c r="A449" s="13" t="s">
        <v>844</v>
      </c>
      <c r="B449" s="128"/>
      <c r="C449" s="127">
        <v>2100</v>
      </c>
      <c r="F449" s="99">
        <f>+'[32]Trial Balance'!B449</f>
        <v>0</v>
      </c>
      <c r="G449" s="99">
        <f>+'[32]Trial Balance'!C449</f>
        <v>2100</v>
      </c>
      <c r="H449" s="20">
        <f t="shared" si="45"/>
        <v>0</v>
      </c>
      <c r="I449" s="20">
        <f t="shared" si="46"/>
        <v>0</v>
      </c>
    </row>
    <row r="450" spans="1:9">
      <c r="A450" s="13" t="s">
        <v>845</v>
      </c>
      <c r="B450" s="128"/>
      <c r="C450" s="127">
        <v>5745</v>
      </c>
      <c r="F450" s="99">
        <f>+'[32]Trial Balance'!B450</f>
        <v>0</v>
      </c>
      <c r="G450" s="99">
        <f>+'[32]Trial Balance'!C450</f>
        <v>5745</v>
      </c>
      <c r="H450" s="20">
        <f t="shared" si="45"/>
        <v>0</v>
      </c>
      <c r="I450" s="20">
        <f t="shared" si="46"/>
        <v>0</v>
      </c>
    </row>
    <row r="451" spans="1:9">
      <c r="A451" s="13" t="s">
        <v>846</v>
      </c>
      <c r="B451" s="127">
        <v>3188</v>
      </c>
      <c r="C451" s="128"/>
      <c r="F451" s="99">
        <f>+'[32]Trial Balance'!B451</f>
        <v>3188</v>
      </c>
      <c r="G451" s="99">
        <f>+'[32]Trial Balance'!C451</f>
        <v>0</v>
      </c>
      <c r="H451" s="20">
        <f t="shared" si="45"/>
        <v>0</v>
      </c>
      <c r="I451" s="20">
        <f t="shared" si="46"/>
        <v>0</v>
      </c>
    </row>
    <row r="452" spans="1:9">
      <c r="A452" s="13" t="s">
        <v>847</v>
      </c>
      <c r="B452" s="127">
        <v>4000</v>
      </c>
      <c r="C452" s="128"/>
      <c r="F452" s="99">
        <f>+'[32]Trial Balance'!B452</f>
        <v>4000</v>
      </c>
      <c r="G452" s="99">
        <f>+'[32]Trial Balance'!C452</f>
        <v>0</v>
      </c>
      <c r="H452" s="20">
        <f t="shared" si="45"/>
        <v>0</v>
      </c>
      <c r="I452" s="20">
        <f t="shared" si="46"/>
        <v>0</v>
      </c>
    </row>
    <row r="453" spans="1:9">
      <c r="A453" s="13" t="s">
        <v>848</v>
      </c>
      <c r="B453" s="127">
        <v>13714</v>
      </c>
      <c r="C453" s="128"/>
      <c r="F453" s="99">
        <f>+'[32]Trial Balance'!B453</f>
        <v>13714</v>
      </c>
      <c r="G453" s="99">
        <f>+'[32]Trial Balance'!C453</f>
        <v>0</v>
      </c>
      <c r="H453" s="20">
        <f t="shared" si="45"/>
        <v>0</v>
      </c>
      <c r="I453" s="20">
        <f t="shared" si="46"/>
        <v>0</v>
      </c>
    </row>
    <row r="454" spans="1:9">
      <c r="A454" s="13" t="s">
        <v>849</v>
      </c>
      <c r="B454" s="128"/>
      <c r="C454" s="127">
        <v>1000</v>
      </c>
      <c r="F454" s="99">
        <f>+'[32]Trial Balance'!B454</f>
        <v>0</v>
      </c>
      <c r="G454" s="99">
        <f>+'[32]Trial Balance'!C454</f>
        <v>1000</v>
      </c>
      <c r="H454" s="20">
        <f t="shared" si="45"/>
        <v>0</v>
      </c>
      <c r="I454" s="20">
        <f t="shared" si="46"/>
        <v>0</v>
      </c>
    </row>
    <row r="455" spans="1:9">
      <c r="A455" s="13" t="s">
        <v>850</v>
      </c>
      <c r="B455" s="127">
        <v>2950</v>
      </c>
      <c r="C455" s="128"/>
      <c r="F455" s="99">
        <f>+'[32]Trial Balance'!B455</f>
        <v>2950</v>
      </c>
      <c r="G455" s="99">
        <f>+'[32]Trial Balance'!C455</f>
        <v>0</v>
      </c>
      <c r="H455" s="20">
        <f t="shared" si="45"/>
        <v>0</v>
      </c>
      <c r="I455" s="20">
        <f t="shared" si="46"/>
        <v>0</v>
      </c>
    </row>
    <row r="456" spans="1:9">
      <c r="A456" s="13" t="s">
        <v>851</v>
      </c>
      <c r="B456" s="127">
        <v>552.70000000000005</v>
      </c>
      <c r="C456" s="128"/>
      <c r="F456" s="99">
        <f>+'[32]Trial Balance'!B456</f>
        <v>552.70000000000005</v>
      </c>
      <c r="G456" s="99">
        <f>+'[32]Trial Balance'!C456</f>
        <v>0</v>
      </c>
      <c r="H456" s="20">
        <f t="shared" si="45"/>
        <v>0</v>
      </c>
      <c r="I456" s="20">
        <f t="shared" si="46"/>
        <v>0</v>
      </c>
    </row>
    <row r="457" spans="1:9">
      <c r="A457" s="13" t="s">
        <v>1086</v>
      </c>
      <c r="B457" s="127">
        <v>17250</v>
      </c>
      <c r="C457" s="128"/>
      <c r="F457" s="99">
        <f>+'[32]Trial Balance'!B457</f>
        <v>17250</v>
      </c>
      <c r="G457" s="99">
        <f>+'[32]Trial Balance'!C457</f>
        <v>0</v>
      </c>
      <c r="H457" s="20">
        <f t="shared" si="45"/>
        <v>0</v>
      </c>
      <c r="I457" s="20">
        <f t="shared" si="46"/>
        <v>0</v>
      </c>
    </row>
    <row r="458" spans="1:9">
      <c r="A458" s="13" t="s">
        <v>852</v>
      </c>
      <c r="B458" s="127">
        <v>21394.9</v>
      </c>
      <c r="C458" s="128"/>
      <c r="F458" s="99">
        <f>+'[32]Trial Balance'!B458</f>
        <v>21394.9</v>
      </c>
      <c r="G458" s="99">
        <f>+'[32]Trial Balance'!C458</f>
        <v>0</v>
      </c>
      <c r="H458" s="20">
        <f t="shared" si="45"/>
        <v>0</v>
      </c>
      <c r="I458" s="20">
        <f t="shared" si="46"/>
        <v>0</v>
      </c>
    </row>
    <row r="459" spans="1:9">
      <c r="A459" s="13" t="s">
        <v>853</v>
      </c>
      <c r="B459" s="127">
        <v>9400</v>
      </c>
      <c r="C459" s="128"/>
      <c r="F459" s="99">
        <f>+'[32]Trial Balance'!B459</f>
        <v>9400</v>
      </c>
      <c r="G459" s="99">
        <f>+'[32]Trial Balance'!C459</f>
        <v>0</v>
      </c>
      <c r="H459" s="20">
        <f t="shared" si="45"/>
        <v>0</v>
      </c>
      <c r="I459" s="20">
        <f t="shared" si="46"/>
        <v>0</v>
      </c>
    </row>
    <row r="460" spans="1:9">
      <c r="A460" s="13" t="s">
        <v>1087</v>
      </c>
      <c r="B460" s="128"/>
      <c r="C460" s="127">
        <v>2469</v>
      </c>
      <c r="F460" s="99">
        <f>+'[32]Trial Balance'!B460</f>
        <v>0</v>
      </c>
      <c r="G460" s="99">
        <f>+'[32]Trial Balance'!C460</f>
        <v>2469</v>
      </c>
      <c r="H460" s="20">
        <f t="shared" si="45"/>
        <v>0</v>
      </c>
      <c r="I460" s="20">
        <f t="shared" si="46"/>
        <v>0</v>
      </c>
    </row>
    <row r="461" spans="1:9">
      <c r="A461" s="13" t="s">
        <v>854</v>
      </c>
      <c r="B461" s="128"/>
      <c r="C461" s="127">
        <v>2494</v>
      </c>
      <c r="F461" s="99">
        <f>+'[32]Trial Balance'!B461</f>
        <v>0</v>
      </c>
      <c r="G461" s="99">
        <f>+'[32]Trial Balance'!C461</f>
        <v>2494</v>
      </c>
      <c r="H461" s="20">
        <f t="shared" si="45"/>
        <v>0</v>
      </c>
      <c r="I461" s="20">
        <f t="shared" si="46"/>
        <v>0</v>
      </c>
    </row>
    <row r="462" spans="1:9">
      <c r="A462" s="13" t="s">
        <v>855</v>
      </c>
      <c r="B462" s="127">
        <v>2194350.7000000002</v>
      </c>
      <c r="C462" s="128"/>
      <c r="F462" s="99">
        <f>+'[32]Trial Balance'!B462</f>
        <v>2194350.7000000002</v>
      </c>
      <c r="G462" s="99">
        <f>+'[32]Trial Balance'!C462</f>
        <v>0</v>
      </c>
      <c r="H462" s="20">
        <f t="shared" si="45"/>
        <v>0</v>
      </c>
      <c r="I462" s="20">
        <f t="shared" si="46"/>
        <v>0</v>
      </c>
    </row>
    <row r="463" spans="1:9">
      <c r="A463" s="13" t="s">
        <v>256</v>
      </c>
      <c r="B463" s="127">
        <v>133217064</v>
      </c>
      <c r="C463" s="128"/>
      <c r="F463" s="99">
        <f>+'[32]Trial Balance'!B463</f>
        <v>133217064</v>
      </c>
      <c r="G463" s="99">
        <f>+'[32]Trial Balance'!C463</f>
        <v>0</v>
      </c>
      <c r="H463" s="20">
        <f t="shared" si="45"/>
        <v>0</v>
      </c>
      <c r="I463" s="20">
        <f t="shared" si="46"/>
        <v>0</v>
      </c>
    </row>
    <row r="464" spans="1:9">
      <c r="A464" s="13" t="s">
        <v>856</v>
      </c>
      <c r="B464" s="127">
        <v>821304</v>
      </c>
      <c r="C464" s="128"/>
      <c r="F464" s="99">
        <f>+'[32]Trial Balance'!B464</f>
        <v>821304</v>
      </c>
      <c r="G464" s="99">
        <f>+'[32]Trial Balance'!C464</f>
        <v>0</v>
      </c>
      <c r="H464" s="20">
        <f t="shared" si="45"/>
        <v>0</v>
      </c>
      <c r="I464" s="20">
        <f t="shared" si="46"/>
        <v>0</v>
      </c>
    </row>
    <row r="465" spans="1:9">
      <c r="A465" s="13" t="s">
        <v>857</v>
      </c>
      <c r="B465" s="128"/>
      <c r="C465" s="127">
        <v>92754516</v>
      </c>
      <c r="F465" s="99">
        <f>+'[32]Trial Balance'!B465</f>
        <v>0</v>
      </c>
      <c r="G465" s="99">
        <f>+'[32]Trial Balance'!C465</f>
        <v>92754516</v>
      </c>
      <c r="H465" s="20">
        <f t="shared" si="45"/>
        <v>0</v>
      </c>
      <c r="I465" s="20">
        <f t="shared" si="46"/>
        <v>0</v>
      </c>
    </row>
    <row r="466" spans="1:9">
      <c r="A466" s="13" t="s">
        <v>858</v>
      </c>
      <c r="B466" s="128"/>
      <c r="C466" s="127">
        <v>41283852</v>
      </c>
      <c r="F466" s="99">
        <f>+'[32]Trial Balance'!B466</f>
        <v>0</v>
      </c>
      <c r="G466" s="99">
        <f>+'[32]Trial Balance'!C466</f>
        <v>41283852</v>
      </c>
      <c r="H466" s="20">
        <f t="shared" si="45"/>
        <v>0</v>
      </c>
      <c r="I466" s="20">
        <f t="shared" si="46"/>
        <v>0</v>
      </c>
    </row>
    <row r="467" spans="1:9">
      <c r="A467" s="13" t="s">
        <v>859</v>
      </c>
      <c r="B467" s="127">
        <v>10812</v>
      </c>
      <c r="C467" s="128"/>
      <c r="F467" s="99">
        <f>+'[32]Trial Balance'!B467</f>
        <v>10812</v>
      </c>
      <c r="G467" s="99">
        <f>+'[32]Trial Balance'!C467</f>
        <v>0</v>
      </c>
      <c r="H467" s="20">
        <f t="shared" si="45"/>
        <v>0</v>
      </c>
      <c r="I467" s="20">
        <f t="shared" si="46"/>
        <v>0</v>
      </c>
    </row>
    <row r="468" spans="1:9">
      <c r="A468" s="13" t="s">
        <v>860</v>
      </c>
      <c r="B468" s="127">
        <v>6042</v>
      </c>
      <c r="C468" s="128"/>
      <c r="F468" s="99">
        <f>+'[32]Trial Balance'!B468</f>
        <v>6042</v>
      </c>
      <c r="G468" s="99">
        <f>+'[32]Trial Balance'!C468</f>
        <v>0</v>
      </c>
      <c r="H468" s="20">
        <f t="shared" si="45"/>
        <v>0</v>
      </c>
      <c r="I468" s="20">
        <f t="shared" si="46"/>
        <v>0</v>
      </c>
    </row>
    <row r="469" spans="1:9">
      <c r="A469" s="13" t="s">
        <v>1088</v>
      </c>
      <c r="B469" s="127">
        <v>54037</v>
      </c>
      <c r="C469" s="128"/>
      <c r="F469" s="99">
        <f>+'[32]Trial Balance'!B469</f>
        <v>54037</v>
      </c>
      <c r="G469" s="99">
        <f>+'[32]Trial Balance'!C469</f>
        <v>0</v>
      </c>
      <c r="H469" s="20">
        <f t="shared" si="45"/>
        <v>0</v>
      </c>
      <c r="I469" s="20">
        <f t="shared" si="46"/>
        <v>0</v>
      </c>
    </row>
    <row r="470" spans="1:9">
      <c r="A470" s="13" t="s">
        <v>861</v>
      </c>
      <c r="B470" s="128"/>
      <c r="C470" s="127">
        <v>6589</v>
      </c>
      <c r="F470" s="99">
        <f>+'[32]Trial Balance'!B470</f>
        <v>0</v>
      </c>
      <c r="G470" s="99">
        <f>+'[32]Trial Balance'!C470</f>
        <v>6589</v>
      </c>
      <c r="H470" s="20">
        <f t="shared" si="45"/>
        <v>0</v>
      </c>
      <c r="I470" s="20">
        <f t="shared" si="46"/>
        <v>0</v>
      </c>
    </row>
    <row r="471" spans="1:9">
      <c r="A471" s="13" t="s">
        <v>862</v>
      </c>
      <c r="B471" s="128"/>
      <c r="C471" s="127">
        <v>2000</v>
      </c>
      <c r="F471" s="99">
        <f>+'[32]Trial Balance'!B471</f>
        <v>0</v>
      </c>
      <c r="G471" s="99">
        <f>+'[32]Trial Balance'!C471</f>
        <v>2000</v>
      </c>
      <c r="H471" s="20">
        <f t="shared" si="45"/>
        <v>0</v>
      </c>
      <c r="I471" s="20">
        <f t="shared" si="46"/>
        <v>0</v>
      </c>
    </row>
    <row r="472" spans="1:9">
      <c r="A472" s="13" t="s">
        <v>863</v>
      </c>
      <c r="B472" s="127">
        <v>34200.5</v>
      </c>
      <c r="C472" s="128"/>
      <c r="F472" s="99">
        <f>+'[32]Trial Balance'!B472</f>
        <v>34200.5</v>
      </c>
      <c r="G472" s="99">
        <f>+'[32]Trial Balance'!C472</f>
        <v>0</v>
      </c>
      <c r="H472" s="20">
        <f t="shared" si="45"/>
        <v>0</v>
      </c>
      <c r="I472" s="20">
        <f t="shared" si="46"/>
        <v>0</v>
      </c>
    </row>
    <row r="473" spans="1:9">
      <c r="A473" s="13" t="s">
        <v>1089</v>
      </c>
      <c r="B473" s="127">
        <v>41461.199999999997</v>
      </c>
      <c r="C473" s="128"/>
      <c r="F473" s="99">
        <f>+'[32]Trial Balance'!B473</f>
        <v>41461.199999999997</v>
      </c>
      <c r="G473" s="99">
        <f>+'[32]Trial Balance'!C473</f>
        <v>0</v>
      </c>
      <c r="H473" s="20">
        <f t="shared" si="45"/>
        <v>0</v>
      </c>
      <c r="I473" s="20">
        <f t="shared" si="46"/>
        <v>0</v>
      </c>
    </row>
    <row r="474" spans="1:9">
      <c r="A474" s="13" t="s">
        <v>864</v>
      </c>
      <c r="B474" s="127">
        <v>19090</v>
      </c>
      <c r="C474" s="128"/>
      <c r="F474" s="99">
        <f>+'[32]Trial Balance'!B474</f>
        <v>19090</v>
      </c>
      <c r="G474" s="99">
        <f>+'[32]Trial Balance'!C474</f>
        <v>0</v>
      </c>
      <c r="H474" s="20">
        <f t="shared" si="45"/>
        <v>0</v>
      </c>
      <c r="I474" s="20">
        <f t="shared" si="46"/>
        <v>0</v>
      </c>
    </row>
    <row r="475" spans="1:9">
      <c r="A475" s="13" t="s">
        <v>865</v>
      </c>
      <c r="B475" s="127">
        <v>6188</v>
      </c>
      <c r="C475" s="128"/>
      <c r="F475" s="99">
        <f>+'[32]Trial Balance'!B475</f>
        <v>6188</v>
      </c>
      <c r="G475" s="99">
        <f>+'[32]Trial Balance'!C475</f>
        <v>0</v>
      </c>
      <c r="H475" s="20">
        <f t="shared" si="45"/>
        <v>0</v>
      </c>
      <c r="I475" s="20">
        <f t="shared" si="46"/>
        <v>0</v>
      </c>
    </row>
    <row r="476" spans="1:9">
      <c r="A476" s="13" t="s">
        <v>866</v>
      </c>
      <c r="B476" s="127">
        <v>6576</v>
      </c>
      <c r="C476" s="128"/>
      <c r="F476" s="99">
        <f>+'[32]Trial Balance'!B476</f>
        <v>6576</v>
      </c>
      <c r="G476" s="99">
        <f>+'[32]Trial Balance'!C476</f>
        <v>0</v>
      </c>
      <c r="H476" s="20">
        <f t="shared" si="45"/>
        <v>0</v>
      </c>
      <c r="I476" s="20">
        <f t="shared" si="46"/>
        <v>0</v>
      </c>
    </row>
    <row r="477" spans="1:9">
      <c r="A477" s="13" t="s">
        <v>867</v>
      </c>
      <c r="B477" s="127">
        <v>486</v>
      </c>
      <c r="C477" s="128"/>
      <c r="F477" s="99">
        <f>+'[32]Trial Balance'!B477</f>
        <v>486</v>
      </c>
      <c r="G477" s="99">
        <f>+'[32]Trial Balance'!C477</f>
        <v>0</v>
      </c>
      <c r="H477" s="20">
        <f t="shared" si="45"/>
        <v>0</v>
      </c>
      <c r="I477" s="20">
        <f t="shared" si="46"/>
        <v>0</v>
      </c>
    </row>
    <row r="478" spans="1:9">
      <c r="A478" s="13" t="s">
        <v>868</v>
      </c>
      <c r="B478" s="127">
        <v>2101</v>
      </c>
      <c r="C478" s="128"/>
      <c r="F478" s="99">
        <f>+'[32]Trial Balance'!B478</f>
        <v>2101</v>
      </c>
      <c r="G478" s="99">
        <f>+'[32]Trial Balance'!C478</f>
        <v>0</v>
      </c>
      <c r="H478" s="20">
        <f t="shared" si="45"/>
        <v>0</v>
      </c>
      <c r="I478" s="20">
        <f t="shared" si="46"/>
        <v>0</v>
      </c>
    </row>
    <row r="479" spans="1:9">
      <c r="A479" s="13" t="s">
        <v>1090</v>
      </c>
      <c r="B479" s="127">
        <v>13957</v>
      </c>
      <c r="C479" s="128"/>
      <c r="F479" s="99">
        <f>+'[32]Trial Balance'!B479</f>
        <v>13957</v>
      </c>
      <c r="G479" s="99">
        <f>+'[32]Trial Balance'!C479</f>
        <v>0</v>
      </c>
      <c r="H479" s="20">
        <f t="shared" si="45"/>
        <v>0</v>
      </c>
      <c r="I479" s="20">
        <f t="shared" si="46"/>
        <v>0</v>
      </c>
    </row>
    <row r="480" spans="1:9">
      <c r="A480" s="13" t="s">
        <v>869</v>
      </c>
      <c r="B480" s="128"/>
      <c r="C480" s="127">
        <v>300</v>
      </c>
      <c r="F480" s="99">
        <f>+'[32]Trial Balance'!B480</f>
        <v>0</v>
      </c>
      <c r="G480" s="99">
        <f>+'[32]Trial Balance'!C480</f>
        <v>300</v>
      </c>
      <c r="H480" s="20">
        <f t="shared" si="45"/>
        <v>0</v>
      </c>
      <c r="I480" s="20">
        <f t="shared" si="46"/>
        <v>0</v>
      </c>
    </row>
    <row r="481" spans="1:9">
      <c r="A481" s="13" t="s">
        <v>941</v>
      </c>
      <c r="B481" s="127">
        <v>177835.35</v>
      </c>
      <c r="C481" s="128"/>
      <c r="F481" s="99">
        <f>+'[32]Trial Balance'!B481</f>
        <v>177835.35</v>
      </c>
      <c r="G481" s="99">
        <f>+'[32]Trial Balance'!C481</f>
        <v>0</v>
      </c>
      <c r="H481" s="20">
        <f t="shared" si="45"/>
        <v>0</v>
      </c>
      <c r="I481" s="20">
        <f t="shared" si="46"/>
        <v>0</v>
      </c>
    </row>
    <row r="482" spans="1:9">
      <c r="A482" s="1" t="s">
        <v>101</v>
      </c>
      <c r="D482" s="105">
        <v>566446</v>
      </c>
      <c r="E482" s="105">
        <v>30390</v>
      </c>
      <c r="H482" s="20"/>
      <c r="I482" s="20"/>
    </row>
    <row r="483" spans="1:9">
      <c r="A483" s="13" t="s">
        <v>870</v>
      </c>
      <c r="B483" s="128"/>
      <c r="C483" s="127">
        <f>6033.5+5.8</f>
        <v>6039.3</v>
      </c>
      <c r="E483" s="100"/>
      <c r="F483" s="99">
        <f>+'[32]Trial Balance'!B483</f>
        <v>0</v>
      </c>
      <c r="G483" s="99">
        <f>+'[32]Trial Balance'!C483</f>
        <v>6033.5</v>
      </c>
      <c r="H483" s="20">
        <f>+B483-F483</f>
        <v>0</v>
      </c>
      <c r="I483" s="20">
        <f>+C483-G483</f>
        <v>5.8000000000001819</v>
      </c>
    </row>
    <row r="484" spans="1:9">
      <c r="A484" s="13" t="s">
        <v>1091</v>
      </c>
      <c r="B484" s="127">
        <v>5000</v>
      </c>
      <c r="C484" s="128"/>
      <c r="F484" s="99">
        <f>+'[32]Trial Balance'!B484</f>
        <v>5000</v>
      </c>
      <c r="G484" s="99">
        <f>+'[32]Trial Balance'!C484</f>
        <v>0</v>
      </c>
      <c r="H484" s="20">
        <f t="shared" ref="H484:H505" si="47">+B484-F484</f>
        <v>0</v>
      </c>
      <c r="I484" s="20">
        <f t="shared" ref="I484:I505" si="48">+C484-G484</f>
        <v>0</v>
      </c>
    </row>
    <row r="485" spans="1:9">
      <c r="A485" s="13" t="s">
        <v>871</v>
      </c>
      <c r="B485" s="128"/>
      <c r="C485" s="127">
        <v>272.5</v>
      </c>
      <c r="F485" s="99">
        <f>+'[32]Trial Balance'!B485</f>
        <v>0</v>
      </c>
      <c r="G485" s="99">
        <f>+'[32]Trial Balance'!C485</f>
        <v>272.5</v>
      </c>
      <c r="H485" s="20">
        <f t="shared" si="47"/>
        <v>0</v>
      </c>
      <c r="I485" s="20">
        <f t="shared" si="48"/>
        <v>0</v>
      </c>
    </row>
    <row r="486" spans="1:9">
      <c r="A486" s="13" t="s">
        <v>872</v>
      </c>
      <c r="B486" s="128"/>
      <c r="C486" s="127">
        <v>7988</v>
      </c>
      <c r="F486" s="99">
        <f>+'[32]Trial Balance'!B486</f>
        <v>0</v>
      </c>
      <c r="G486" s="99">
        <f>+'[32]Trial Balance'!C486</f>
        <v>7988</v>
      </c>
      <c r="H486" s="20">
        <f t="shared" si="47"/>
        <v>0</v>
      </c>
      <c r="I486" s="20">
        <f t="shared" si="48"/>
        <v>0</v>
      </c>
    </row>
    <row r="487" spans="1:9">
      <c r="A487" s="13" t="s">
        <v>873</v>
      </c>
      <c r="B487" s="127">
        <v>12060</v>
      </c>
      <c r="C487" s="128"/>
      <c r="F487" s="99">
        <f>+'[32]Trial Balance'!B487</f>
        <v>12060</v>
      </c>
      <c r="G487" s="99">
        <f>+'[32]Trial Balance'!C487</f>
        <v>0</v>
      </c>
      <c r="H487" s="20">
        <f t="shared" si="47"/>
        <v>0</v>
      </c>
      <c r="I487" s="20">
        <f t="shared" si="48"/>
        <v>0</v>
      </c>
    </row>
    <row r="488" spans="1:9">
      <c r="A488" s="13" t="s">
        <v>874</v>
      </c>
      <c r="B488" s="127">
        <v>149621.20000000001</v>
      </c>
      <c r="C488" s="128"/>
      <c r="F488" s="99">
        <f>+'[32]Trial Balance'!B488</f>
        <v>149621.20000000001</v>
      </c>
      <c r="G488" s="99">
        <f>+'[32]Trial Balance'!C488</f>
        <v>0</v>
      </c>
      <c r="H488" s="20">
        <f t="shared" si="47"/>
        <v>0</v>
      </c>
      <c r="I488" s="20">
        <f t="shared" si="48"/>
        <v>0</v>
      </c>
    </row>
    <row r="489" spans="1:9">
      <c r="A489" s="13" t="s">
        <v>875</v>
      </c>
      <c r="B489" s="127">
        <v>908</v>
      </c>
      <c r="C489" s="128"/>
      <c r="F489" s="99">
        <f>+'[32]Trial Balance'!B489</f>
        <v>908</v>
      </c>
      <c r="G489" s="99">
        <f>+'[32]Trial Balance'!C489</f>
        <v>0</v>
      </c>
      <c r="H489" s="20">
        <f t="shared" si="47"/>
        <v>0</v>
      </c>
      <c r="I489" s="20">
        <f t="shared" si="48"/>
        <v>0</v>
      </c>
    </row>
    <row r="490" spans="1:9">
      <c r="A490" s="13" t="s">
        <v>876</v>
      </c>
      <c r="B490" s="128"/>
      <c r="C490" s="127">
        <v>3702</v>
      </c>
      <c r="F490" s="99">
        <f>+'[32]Trial Balance'!B490</f>
        <v>0</v>
      </c>
      <c r="G490" s="99">
        <f>+'[32]Trial Balance'!C490</f>
        <v>3702</v>
      </c>
      <c r="H490" s="20">
        <f t="shared" si="47"/>
        <v>0</v>
      </c>
      <c r="I490" s="20">
        <f t="shared" si="48"/>
        <v>0</v>
      </c>
    </row>
    <row r="491" spans="1:9">
      <c r="A491" s="13" t="s">
        <v>877</v>
      </c>
      <c r="B491" s="127">
        <v>175587</v>
      </c>
      <c r="C491" s="128"/>
      <c r="F491" s="99">
        <f>+'[32]Trial Balance'!B491</f>
        <v>175587</v>
      </c>
      <c r="G491" s="99">
        <f>+'[32]Trial Balance'!C491</f>
        <v>0</v>
      </c>
      <c r="H491" s="20">
        <f t="shared" si="47"/>
        <v>0</v>
      </c>
      <c r="I491" s="20">
        <f t="shared" si="48"/>
        <v>0</v>
      </c>
    </row>
    <row r="492" spans="1:9">
      <c r="A492" s="13" t="s">
        <v>878</v>
      </c>
      <c r="B492" s="127">
        <v>165678</v>
      </c>
      <c r="C492" s="128"/>
      <c r="F492" s="99">
        <f>+'[32]Trial Balance'!B492</f>
        <v>165678</v>
      </c>
      <c r="G492" s="99">
        <f>+'[32]Trial Balance'!C492</f>
        <v>0</v>
      </c>
      <c r="H492" s="20">
        <f t="shared" si="47"/>
        <v>0</v>
      </c>
      <c r="I492" s="20">
        <f t="shared" si="48"/>
        <v>0</v>
      </c>
    </row>
    <row r="493" spans="1:9">
      <c r="A493" s="13" t="s">
        <v>879</v>
      </c>
      <c r="B493" s="128"/>
      <c r="C493" s="127">
        <v>3763</v>
      </c>
      <c r="F493" s="99">
        <f>+'[32]Trial Balance'!B493</f>
        <v>0</v>
      </c>
      <c r="G493" s="99">
        <f>+'[32]Trial Balance'!C493</f>
        <v>3763</v>
      </c>
      <c r="H493" s="20">
        <f t="shared" si="47"/>
        <v>0</v>
      </c>
      <c r="I493" s="20">
        <f t="shared" si="48"/>
        <v>0</v>
      </c>
    </row>
    <row r="494" spans="1:9">
      <c r="A494" s="13" t="s">
        <v>880</v>
      </c>
      <c r="B494" s="127">
        <v>1381.5</v>
      </c>
      <c r="C494" s="128"/>
      <c r="F494" s="99">
        <f>+'[32]Trial Balance'!B494</f>
        <v>1381.5</v>
      </c>
      <c r="G494" s="99">
        <f>+'[32]Trial Balance'!C494</f>
        <v>0</v>
      </c>
      <c r="H494" s="20">
        <f t="shared" si="47"/>
        <v>0</v>
      </c>
      <c r="I494" s="20">
        <f t="shared" si="48"/>
        <v>0</v>
      </c>
    </row>
    <row r="495" spans="1:9">
      <c r="A495" s="13" t="s">
        <v>881</v>
      </c>
      <c r="B495" s="127">
        <v>11269</v>
      </c>
      <c r="C495" s="128"/>
      <c r="F495" s="99">
        <f>+'[32]Trial Balance'!B495</f>
        <v>11269</v>
      </c>
      <c r="G495" s="99">
        <f>+'[32]Trial Balance'!C495</f>
        <v>0</v>
      </c>
      <c r="H495" s="20">
        <f t="shared" si="47"/>
        <v>0</v>
      </c>
      <c r="I495" s="20">
        <f t="shared" si="48"/>
        <v>0</v>
      </c>
    </row>
    <row r="496" spans="1:9">
      <c r="A496" s="13" t="s">
        <v>882</v>
      </c>
      <c r="B496" s="127">
        <v>11000</v>
      </c>
      <c r="C496" s="128"/>
      <c r="F496" s="99">
        <f>+'[32]Trial Balance'!B496</f>
        <v>11000</v>
      </c>
      <c r="G496" s="99">
        <f>+'[32]Trial Balance'!C496</f>
        <v>0</v>
      </c>
      <c r="H496" s="20">
        <f t="shared" si="47"/>
        <v>0</v>
      </c>
      <c r="I496" s="20">
        <f t="shared" si="48"/>
        <v>0</v>
      </c>
    </row>
    <row r="497" spans="1:9">
      <c r="A497" s="13" t="s">
        <v>1092</v>
      </c>
      <c r="B497" s="127">
        <v>2000</v>
      </c>
      <c r="C497" s="128"/>
      <c r="F497" s="99">
        <f>+'[32]Trial Balance'!B497</f>
        <v>2000</v>
      </c>
      <c r="G497" s="99">
        <f>+'[32]Trial Balance'!C497</f>
        <v>0</v>
      </c>
      <c r="H497" s="20">
        <f t="shared" si="47"/>
        <v>0</v>
      </c>
      <c r="I497" s="20">
        <f t="shared" si="48"/>
        <v>0</v>
      </c>
    </row>
    <row r="498" spans="1:9">
      <c r="A498" s="13" t="s">
        <v>883</v>
      </c>
      <c r="B498" s="128"/>
      <c r="C498" s="127">
        <v>8631</v>
      </c>
      <c r="F498" s="99">
        <f>+'[32]Trial Balance'!B498</f>
        <v>0</v>
      </c>
      <c r="G498" s="99">
        <f>+'[32]Trial Balance'!C498</f>
        <v>8631</v>
      </c>
      <c r="H498" s="20">
        <f t="shared" si="47"/>
        <v>0</v>
      </c>
      <c r="I498" s="20">
        <f t="shared" si="48"/>
        <v>0</v>
      </c>
    </row>
    <row r="499" spans="1:9">
      <c r="A499" s="13" t="s">
        <v>884</v>
      </c>
      <c r="B499" s="127">
        <v>15009.3</v>
      </c>
      <c r="C499" s="128"/>
      <c r="F499" s="99">
        <f>+'[32]Trial Balance'!B499</f>
        <v>15009.3</v>
      </c>
      <c r="G499" s="99">
        <f>+'[32]Trial Balance'!C499</f>
        <v>0</v>
      </c>
      <c r="H499" s="20">
        <f t="shared" si="47"/>
        <v>0</v>
      </c>
      <c r="I499" s="20">
        <f t="shared" si="48"/>
        <v>0</v>
      </c>
    </row>
    <row r="500" spans="1:9">
      <c r="A500" s="13" t="s">
        <v>885</v>
      </c>
      <c r="B500" s="127">
        <v>3634</v>
      </c>
      <c r="C500" s="128"/>
      <c r="F500" s="99">
        <f>+'[32]Trial Balance'!B500</f>
        <v>3634</v>
      </c>
      <c r="G500" s="99">
        <f>+'[32]Trial Balance'!C500</f>
        <v>0</v>
      </c>
      <c r="H500" s="20">
        <f t="shared" si="47"/>
        <v>0</v>
      </c>
      <c r="I500" s="20">
        <f t="shared" si="48"/>
        <v>0</v>
      </c>
    </row>
    <row r="501" spans="1:9">
      <c r="A501" s="13" t="s">
        <v>886</v>
      </c>
      <c r="B501" s="127">
        <v>4686</v>
      </c>
      <c r="C501" s="128"/>
      <c r="F501" s="99">
        <f>+'[32]Trial Balance'!B501</f>
        <v>4686</v>
      </c>
      <c r="G501" s="99">
        <f>+'[32]Trial Balance'!C501</f>
        <v>0</v>
      </c>
      <c r="H501" s="20">
        <f t="shared" si="47"/>
        <v>0</v>
      </c>
      <c r="I501" s="20">
        <f t="shared" si="48"/>
        <v>0</v>
      </c>
    </row>
    <row r="502" spans="1:9">
      <c r="A502" s="13" t="s">
        <v>1093</v>
      </c>
      <c r="B502" s="127">
        <v>100</v>
      </c>
      <c r="C502" s="128"/>
      <c r="F502" s="99">
        <f>+'[32]Trial Balance'!B502</f>
        <v>100</v>
      </c>
      <c r="G502" s="99">
        <f>+'[32]Trial Balance'!C502</f>
        <v>0</v>
      </c>
      <c r="H502" s="20">
        <f t="shared" si="47"/>
        <v>0</v>
      </c>
      <c r="I502" s="20">
        <f t="shared" si="48"/>
        <v>0</v>
      </c>
    </row>
    <row r="503" spans="1:9">
      <c r="A503" s="13" t="s">
        <v>1094</v>
      </c>
      <c r="B503" s="127">
        <v>2000</v>
      </c>
      <c r="C503" s="128"/>
      <c r="F503" s="99">
        <f>+'[32]Trial Balance'!B503</f>
        <v>2000</v>
      </c>
      <c r="G503" s="99">
        <f>+'[32]Trial Balance'!C503</f>
        <v>0</v>
      </c>
      <c r="H503" s="20">
        <f t="shared" si="47"/>
        <v>0</v>
      </c>
      <c r="I503" s="20">
        <f t="shared" si="48"/>
        <v>0</v>
      </c>
    </row>
    <row r="504" spans="1:9">
      <c r="A504" s="13" t="s">
        <v>887</v>
      </c>
      <c r="B504" s="127">
        <v>500</v>
      </c>
      <c r="C504" s="128"/>
      <c r="F504" s="99">
        <f>+'[32]Trial Balance'!B504</f>
        <v>500</v>
      </c>
      <c r="G504" s="99">
        <f>+'[32]Trial Balance'!C504</f>
        <v>0</v>
      </c>
      <c r="H504" s="20">
        <f t="shared" si="47"/>
        <v>0</v>
      </c>
      <c r="I504" s="20">
        <f t="shared" si="48"/>
        <v>0</v>
      </c>
    </row>
    <row r="505" spans="1:9">
      <c r="A505" s="13" t="s">
        <v>888</v>
      </c>
      <c r="B505" s="127">
        <v>750</v>
      </c>
      <c r="C505" s="128"/>
      <c r="F505" s="99">
        <f>+'[32]Trial Balance'!B505</f>
        <v>750</v>
      </c>
      <c r="G505" s="99">
        <f>+'[32]Trial Balance'!C505</f>
        <v>0</v>
      </c>
      <c r="H505" s="20">
        <f t="shared" si="47"/>
        <v>0</v>
      </c>
      <c r="I505" s="20">
        <f t="shared" si="48"/>
        <v>0</v>
      </c>
    </row>
    <row r="506" spans="1:9">
      <c r="A506" s="13" t="s">
        <v>889</v>
      </c>
      <c r="B506" s="127">
        <v>5262</v>
      </c>
      <c r="C506" s="128"/>
      <c r="F506" s="99">
        <f>+'[32]Trial Balance'!B506</f>
        <v>5262</v>
      </c>
      <c r="G506" s="99">
        <f>+'[32]Trial Balance'!C506</f>
        <v>0</v>
      </c>
      <c r="H506" s="20">
        <f>+B506-F506</f>
        <v>0</v>
      </c>
      <c r="I506" s="20">
        <f>+C506-G506</f>
        <v>0</v>
      </c>
    </row>
    <row r="507" spans="1:9">
      <c r="A507" s="1" t="s">
        <v>102</v>
      </c>
      <c r="D507" s="109"/>
      <c r="E507" s="105">
        <v>291504896.24000001</v>
      </c>
      <c r="H507" s="20"/>
      <c r="I507" s="20"/>
    </row>
    <row r="508" spans="1:9">
      <c r="A508" s="13" t="s">
        <v>103</v>
      </c>
      <c r="B508" s="96"/>
      <c r="C508" s="127">
        <v>295878716.24000001</v>
      </c>
      <c r="F508" s="99">
        <f>+'[32]Trial Balance'!B508</f>
        <v>0</v>
      </c>
      <c r="G508" s="99">
        <f>+'[32]Trial Balance'!C508</f>
        <v>295878716.24000001</v>
      </c>
      <c r="H508" s="20">
        <f t="shared" ref="H508:I510" si="49">+B508-F508</f>
        <v>0</v>
      </c>
      <c r="I508" s="20">
        <f t="shared" si="49"/>
        <v>0</v>
      </c>
    </row>
    <row r="509" spans="1:9">
      <c r="A509" s="1" t="s">
        <v>104</v>
      </c>
      <c r="D509" s="105">
        <v>93762421.010000005</v>
      </c>
      <c r="E509" s="109"/>
      <c r="H509" s="20">
        <f t="shared" si="49"/>
        <v>0</v>
      </c>
      <c r="I509" s="20">
        <f t="shared" si="49"/>
        <v>0</v>
      </c>
    </row>
    <row r="510" spans="1:9">
      <c r="A510" s="13" t="s">
        <v>105</v>
      </c>
      <c r="B510" s="127">
        <v>833870</v>
      </c>
      <c r="C510" s="96"/>
      <c r="F510" s="99">
        <f>+'[32]Trial Balance'!B510</f>
        <v>833870</v>
      </c>
      <c r="G510" s="99">
        <f>+'[32]Trial Balance'!C510</f>
        <v>0</v>
      </c>
      <c r="H510" s="20">
        <f t="shared" si="49"/>
        <v>0</v>
      </c>
      <c r="I510" s="20">
        <f t="shared" si="49"/>
        <v>0</v>
      </c>
    </row>
    <row r="511" spans="1:9">
      <c r="A511" s="13" t="s">
        <v>1095</v>
      </c>
      <c r="B511" s="127">
        <v>47281</v>
      </c>
      <c r="C511" s="96"/>
      <c r="F511" s="99">
        <f>+'[32]Trial Balance'!B511</f>
        <v>47281</v>
      </c>
      <c r="G511" s="99">
        <f>+'[32]Trial Balance'!C511</f>
        <v>0</v>
      </c>
      <c r="H511" s="20">
        <f t="shared" ref="H511:H541" si="50">+B511-F511</f>
        <v>0</v>
      </c>
      <c r="I511" s="20">
        <f t="shared" ref="I511:I541" si="51">+C511-G511</f>
        <v>0</v>
      </c>
    </row>
    <row r="512" spans="1:9">
      <c r="A512" s="13" t="s">
        <v>106</v>
      </c>
      <c r="B512" s="127">
        <v>3005846</v>
      </c>
      <c r="C512" s="96"/>
      <c r="F512" s="99">
        <f>+'[32]Trial Balance'!B512</f>
        <v>3005846</v>
      </c>
      <c r="G512" s="99">
        <f>+'[32]Trial Balance'!C512</f>
        <v>0</v>
      </c>
      <c r="H512" s="20">
        <f t="shared" si="50"/>
        <v>0</v>
      </c>
      <c r="I512" s="20">
        <f t="shared" si="51"/>
        <v>0</v>
      </c>
    </row>
    <row r="513" spans="1:9">
      <c r="A513" s="13" t="s">
        <v>107</v>
      </c>
      <c r="B513" s="127">
        <v>982481</v>
      </c>
      <c r="C513" s="96"/>
      <c r="F513" s="99">
        <f>+'[32]Trial Balance'!B513</f>
        <v>982481</v>
      </c>
      <c r="G513" s="99">
        <f>+'[32]Trial Balance'!C513</f>
        <v>0</v>
      </c>
      <c r="H513" s="20">
        <f t="shared" si="50"/>
        <v>0</v>
      </c>
      <c r="I513" s="20">
        <f t="shared" si="51"/>
        <v>0</v>
      </c>
    </row>
    <row r="514" spans="1:9">
      <c r="A514" s="13" t="s">
        <v>108</v>
      </c>
      <c r="B514" s="127">
        <v>517358</v>
      </c>
      <c r="C514" s="96"/>
      <c r="F514" s="99">
        <f>+'[32]Trial Balance'!B514</f>
        <v>517358</v>
      </c>
      <c r="G514" s="99">
        <f>+'[32]Trial Balance'!C514</f>
        <v>0</v>
      </c>
      <c r="H514" s="20">
        <f t="shared" si="50"/>
        <v>0</v>
      </c>
      <c r="I514" s="20">
        <f t="shared" si="51"/>
        <v>0</v>
      </c>
    </row>
    <row r="515" spans="1:9">
      <c r="A515" s="13" t="s">
        <v>109</v>
      </c>
      <c r="B515" s="127">
        <v>674807</v>
      </c>
      <c r="C515" s="96"/>
      <c r="F515" s="99">
        <f>+'[32]Trial Balance'!B515</f>
        <v>674807</v>
      </c>
      <c r="G515" s="99">
        <f>+'[32]Trial Balance'!C515</f>
        <v>0</v>
      </c>
      <c r="H515" s="20">
        <f t="shared" si="50"/>
        <v>0</v>
      </c>
      <c r="I515" s="20">
        <f t="shared" si="51"/>
        <v>0</v>
      </c>
    </row>
    <row r="516" spans="1:9">
      <c r="A516" s="13" t="s">
        <v>110</v>
      </c>
      <c r="B516" s="127">
        <v>6116627</v>
      </c>
      <c r="C516" s="96"/>
      <c r="F516" s="99">
        <f>+'[32]Trial Balance'!B516</f>
        <v>6116627</v>
      </c>
      <c r="G516" s="99">
        <f>+'[32]Trial Balance'!C516</f>
        <v>0</v>
      </c>
      <c r="H516" s="20">
        <f t="shared" si="50"/>
        <v>0</v>
      </c>
      <c r="I516" s="20">
        <f t="shared" si="51"/>
        <v>0</v>
      </c>
    </row>
    <row r="517" spans="1:9">
      <c r="A517" s="13" t="s">
        <v>111</v>
      </c>
      <c r="B517" s="127">
        <v>972832</v>
      </c>
      <c r="C517" s="96"/>
      <c r="F517" s="99">
        <f>+'[32]Trial Balance'!B517</f>
        <v>972832</v>
      </c>
      <c r="G517" s="99">
        <f>+'[32]Trial Balance'!C517</f>
        <v>0</v>
      </c>
      <c r="H517" s="20">
        <f t="shared" si="50"/>
        <v>0</v>
      </c>
      <c r="I517" s="20">
        <f t="shared" si="51"/>
        <v>0</v>
      </c>
    </row>
    <row r="518" spans="1:9">
      <c r="A518" s="13" t="s">
        <v>112</v>
      </c>
      <c r="B518" s="127">
        <v>9275655</v>
      </c>
      <c r="C518" s="96"/>
      <c r="F518" s="99">
        <f>+'[32]Trial Balance'!B518</f>
        <v>9275655</v>
      </c>
      <c r="G518" s="99">
        <f>+'[32]Trial Balance'!C518</f>
        <v>0</v>
      </c>
      <c r="H518" s="20">
        <f t="shared" si="50"/>
        <v>0</v>
      </c>
      <c r="I518" s="20">
        <f t="shared" si="51"/>
        <v>0</v>
      </c>
    </row>
    <row r="519" spans="1:9">
      <c r="A519" s="13" t="s">
        <v>113</v>
      </c>
      <c r="B519" s="127">
        <v>1055019</v>
      </c>
      <c r="C519" s="96"/>
      <c r="F519" s="99">
        <f>+'[32]Trial Balance'!B519</f>
        <v>1055019</v>
      </c>
      <c r="G519" s="99">
        <f>+'[32]Trial Balance'!C519</f>
        <v>0</v>
      </c>
      <c r="H519" s="20">
        <f t="shared" si="50"/>
        <v>0</v>
      </c>
      <c r="I519" s="20">
        <f t="shared" si="51"/>
        <v>0</v>
      </c>
    </row>
    <row r="520" spans="1:9">
      <c r="A520" s="13" t="s">
        <v>114</v>
      </c>
      <c r="B520" s="127">
        <v>59685</v>
      </c>
      <c r="C520" s="96"/>
      <c r="F520" s="99">
        <f>+'[32]Trial Balance'!B520</f>
        <v>59685</v>
      </c>
      <c r="G520" s="99">
        <f>+'[32]Trial Balance'!C520</f>
        <v>0</v>
      </c>
      <c r="H520" s="20">
        <f t="shared" si="50"/>
        <v>0</v>
      </c>
      <c r="I520" s="20">
        <f t="shared" si="51"/>
        <v>0</v>
      </c>
    </row>
    <row r="521" spans="1:9">
      <c r="A521" s="13" t="s">
        <v>890</v>
      </c>
      <c r="B521" s="127">
        <v>800</v>
      </c>
      <c r="C521" s="96"/>
      <c r="F521" s="99">
        <f>+'[32]Trial Balance'!B521</f>
        <v>800</v>
      </c>
      <c r="G521" s="99">
        <f>+'[32]Trial Balance'!C521</f>
        <v>0</v>
      </c>
      <c r="H521" s="20">
        <f t="shared" si="50"/>
        <v>0</v>
      </c>
      <c r="I521" s="20">
        <f t="shared" si="51"/>
        <v>0</v>
      </c>
    </row>
    <row r="522" spans="1:9">
      <c r="A522" s="13" t="s">
        <v>115</v>
      </c>
      <c r="B522" s="127">
        <v>175472</v>
      </c>
      <c r="C522" s="96"/>
      <c r="F522" s="99">
        <f>+'[32]Trial Balance'!B522</f>
        <v>175472</v>
      </c>
      <c r="G522" s="99">
        <f>+'[32]Trial Balance'!C522</f>
        <v>0</v>
      </c>
      <c r="H522" s="20">
        <f t="shared" si="50"/>
        <v>0</v>
      </c>
      <c r="I522" s="20">
        <f t="shared" si="51"/>
        <v>0</v>
      </c>
    </row>
    <row r="523" spans="1:9">
      <c r="A523" s="13" t="s">
        <v>116</v>
      </c>
      <c r="B523" s="127">
        <v>2867376</v>
      </c>
      <c r="C523" s="96"/>
      <c r="F523" s="99">
        <f>+'[32]Trial Balance'!B523</f>
        <v>2867376</v>
      </c>
      <c r="G523" s="99">
        <f>+'[32]Trial Balance'!C523</f>
        <v>0</v>
      </c>
      <c r="H523" s="20">
        <f t="shared" si="50"/>
        <v>0</v>
      </c>
      <c r="I523" s="20">
        <f t="shared" si="51"/>
        <v>0</v>
      </c>
    </row>
    <row r="524" spans="1:9">
      <c r="A524" s="13" t="s">
        <v>117</v>
      </c>
      <c r="B524" s="127">
        <v>80899</v>
      </c>
      <c r="C524" s="96"/>
      <c r="F524" s="99">
        <f>+'[32]Trial Balance'!B524</f>
        <v>80899</v>
      </c>
      <c r="G524" s="99">
        <f>+'[32]Trial Balance'!C524</f>
        <v>0</v>
      </c>
      <c r="H524" s="20">
        <f t="shared" si="50"/>
        <v>0</v>
      </c>
      <c r="I524" s="20">
        <f t="shared" si="51"/>
        <v>0</v>
      </c>
    </row>
    <row r="525" spans="1:9">
      <c r="A525" s="13" t="s">
        <v>118</v>
      </c>
      <c r="B525" s="127">
        <v>35360</v>
      </c>
      <c r="C525" s="96"/>
      <c r="F525" s="99">
        <f>+'[32]Trial Balance'!B525</f>
        <v>35360</v>
      </c>
      <c r="G525" s="99">
        <f>+'[32]Trial Balance'!C525</f>
        <v>0</v>
      </c>
      <c r="H525" s="20">
        <f t="shared" si="50"/>
        <v>0</v>
      </c>
      <c r="I525" s="20">
        <f t="shared" si="51"/>
        <v>0</v>
      </c>
    </row>
    <row r="526" spans="1:9">
      <c r="A526" s="13" t="s">
        <v>940</v>
      </c>
      <c r="B526" s="127">
        <v>831891</v>
      </c>
      <c r="C526" s="96"/>
      <c r="F526" s="99">
        <f>+'[32]Trial Balance'!B526</f>
        <v>831891</v>
      </c>
      <c r="G526" s="99">
        <f>+'[32]Trial Balance'!C526</f>
        <v>0</v>
      </c>
      <c r="H526" s="20">
        <f t="shared" si="50"/>
        <v>0</v>
      </c>
      <c r="I526" s="20">
        <f t="shared" si="51"/>
        <v>0</v>
      </c>
    </row>
    <row r="527" spans="1:9">
      <c r="A527" s="13" t="s">
        <v>119</v>
      </c>
      <c r="B527" s="127">
        <v>1992562</v>
      </c>
      <c r="C527" s="96"/>
      <c r="F527" s="99">
        <f>+'[32]Trial Balance'!B527</f>
        <v>1992562</v>
      </c>
      <c r="G527" s="99">
        <f>+'[32]Trial Balance'!C527</f>
        <v>0</v>
      </c>
      <c r="H527" s="20">
        <f t="shared" si="50"/>
        <v>0</v>
      </c>
      <c r="I527" s="20">
        <f t="shared" si="51"/>
        <v>0</v>
      </c>
    </row>
    <row r="528" spans="1:9">
      <c r="A528" s="13" t="s">
        <v>120</v>
      </c>
      <c r="B528" s="127">
        <v>4147111</v>
      </c>
      <c r="C528" s="96"/>
      <c r="F528" s="99">
        <f>+'[32]Trial Balance'!B528</f>
        <v>4147111</v>
      </c>
      <c r="G528" s="99">
        <f>+'[32]Trial Balance'!C528</f>
        <v>0</v>
      </c>
      <c r="H528" s="20">
        <f t="shared" si="50"/>
        <v>0</v>
      </c>
      <c r="I528" s="20">
        <f t="shared" si="51"/>
        <v>0</v>
      </c>
    </row>
    <row r="529" spans="1:9">
      <c r="A529" s="13" t="s">
        <v>939</v>
      </c>
      <c r="B529" s="127">
        <v>5192936.71</v>
      </c>
      <c r="C529" s="96"/>
      <c r="F529" s="99">
        <f>+'[32]Trial Balance'!B529</f>
        <v>5192936.71</v>
      </c>
      <c r="G529" s="99">
        <f>+'[32]Trial Balance'!C529</f>
        <v>0</v>
      </c>
      <c r="H529" s="20">
        <f t="shared" si="50"/>
        <v>0</v>
      </c>
      <c r="I529" s="20">
        <f t="shared" si="51"/>
        <v>0</v>
      </c>
    </row>
    <row r="530" spans="1:9">
      <c r="A530" s="13" t="s">
        <v>938</v>
      </c>
      <c r="B530" s="127">
        <v>1255419</v>
      </c>
      <c r="C530" s="96"/>
      <c r="F530" s="99">
        <f>+'[32]Trial Balance'!B530</f>
        <v>1255419</v>
      </c>
      <c r="G530" s="99">
        <f>+'[32]Trial Balance'!C530</f>
        <v>0</v>
      </c>
      <c r="H530" s="20">
        <f t="shared" si="50"/>
        <v>0</v>
      </c>
      <c r="I530" s="20">
        <f t="shared" si="51"/>
        <v>0</v>
      </c>
    </row>
    <row r="531" spans="1:9">
      <c r="A531" s="13" t="s">
        <v>937</v>
      </c>
      <c r="B531" s="127">
        <v>191180</v>
      </c>
      <c r="C531" s="96"/>
      <c r="F531" s="99">
        <f>+'[32]Trial Balance'!B531</f>
        <v>191180</v>
      </c>
      <c r="G531" s="99">
        <f>+'[32]Trial Balance'!C531</f>
        <v>0</v>
      </c>
      <c r="H531" s="20">
        <f t="shared" si="50"/>
        <v>0</v>
      </c>
      <c r="I531" s="20">
        <f t="shared" si="51"/>
        <v>0</v>
      </c>
    </row>
    <row r="532" spans="1:9">
      <c r="A532" s="13" t="s">
        <v>936</v>
      </c>
      <c r="B532" s="127">
        <v>2621832</v>
      </c>
      <c r="C532" s="96"/>
      <c r="F532" s="99">
        <f>+'[32]Trial Balance'!B532</f>
        <v>2621832</v>
      </c>
      <c r="G532" s="99">
        <f>+'[32]Trial Balance'!C532</f>
        <v>0</v>
      </c>
      <c r="H532" s="20">
        <f t="shared" si="50"/>
        <v>0</v>
      </c>
      <c r="I532" s="20">
        <f t="shared" si="51"/>
        <v>0</v>
      </c>
    </row>
    <row r="533" spans="1:9">
      <c r="A533" s="13" t="s">
        <v>935</v>
      </c>
      <c r="B533" s="127">
        <v>381472.8</v>
      </c>
      <c r="C533" s="96"/>
      <c r="F533" s="99">
        <f>+'[32]Trial Balance'!B533</f>
        <v>381472.8</v>
      </c>
      <c r="G533" s="99">
        <f>+'[32]Trial Balance'!C533</f>
        <v>0</v>
      </c>
      <c r="H533" s="20">
        <f t="shared" si="50"/>
        <v>0</v>
      </c>
      <c r="I533" s="20">
        <f t="shared" si="51"/>
        <v>0</v>
      </c>
    </row>
    <row r="534" spans="1:9">
      <c r="A534" s="13" t="s">
        <v>121</v>
      </c>
      <c r="B534" s="127">
        <v>4011318</v>
      </c>
      <c r="C534" s="96"/>
      <c r="F534" s="99">
        <f>+'[32]Trial Balance'!B534</f>
        <v>4011318</v>
      </c>
      <c r="G534" s="99">
        <f>+'[32]Trial Balance'!C534</f>
        <v>0</v>
      </c>
      <c r="H534" s="20">
        <f t="shared" si="50"/>
        <v>0</v>
      </c>
      <c r="I534" s="20">
        <f t="shared" si="51"/>
        <v>0</v>
      </c>
    </row>
    <row r="535" spans="1:9">
      <c r="A535" s="13" t="s">
        <v>934</v>
      </c>
      <c r="B535" s="127">
        <v>690873</v>
      </c>
      <c r="C535" s="96"/>
      <c r="F535" s="99">
        <f>+'[32]Trial Balance'!B535</f>
        <v>690873</v>
      </c>
      <c r="G535" s="99">
        <f>+'[32]Trial Balance'!C535</f>
        <v>0</v>
      </c>
      <c r="H535" s="20">
        <f t="shared" si="50"/>
        <v>0</v>
      </c>
      <c r="I535" s="20">
        <f t="shared" si="51"/>
        <v>0</v>
      </c>
    </row>
    <row r="536" spans="1:9">
      <c r="A536" s="13" t="s">
        <v>122</v>
      </c>
      <c r="B536" s="127">
        <v>2919317.5</v>
      </c>
      <c r="C536" s="96"/>
      <c r="F536" s="99">
        <f>+'[32]Trial Balance'!B536</f>
        <v>2919317.5</v>
      </c>
      <c r="G536" s="99">
        <f>+'[32]Trial Balance'!C536</f>
        <v>0</v>
      </c>
      <c r="H536" s="20">
        <f t="shared" si="50"/>
        <v>0</v>
      </c>
      <c r="I536" s="20">
        <f t="shared" si="51"/>
        <v>0</v>
      </c>
    </row>
    <row r="537" spans="1:9">
      <c r="A537" s="13" t="s">
        <v>933</v>
      </c>
      <c r="B537" s="127">
        <v>156270</v>
      </c>
      <c r="C537" s="96"/>
      <c r="F537" s="99">
        <f>+'[32]Trial Balance'!B537</f>
        <v>156270</v>
      </c>
      <c r="G537" s="99">
        <f>+'[32]Trial Balance'!C537</f>
        <v>0</v>
      </c>
      <c r="H537" s="20">
        <f t="shared" si="50"/>
        <v>0</v>
      </c>
      <c r="I537" s="20">
        <f t="shared" si="51"/>
        <v>0</v>
      </c>
    </row>
    <row r="538" spans="1:9">
      <c r="A538" s="13" t="s">
        <v>123</v>
      </c>
      <c r="B538" s="127">
        <v>38866786</v>
      </c>
      <c r="C538" s="96"/>
      <c r="F538" s="99">
        <f>+'[32]Trial Balance'!B538</f>
        <v>38866786</v>
      </c>
      <c r="G538" s="99">
        <f>+'[32]Trial Balance'!C538</f>
        <v>0</v>
      </c>
      <c r="H538" s="20">
        <f t="shared" si="50"/>
        <v>0</v>
      </c>
      <c r="I538" s="20">
        <f t="shared" si="51"/>
        <v>0</v>
      </c>
    </row>
    <row r="539" spans="1:9">
      <c r="A539" s="13" t="s">
        <v>932</v>
      </c>
      <c r="B539" s="127">
        <v>2017335</v>
      </c>
      <c r="C539" s="96"/>
      <c r="F539" s="99">
        <f>+'[32]Trial Balance'!B539</f>
        <v>2017335</v>
      </c>
      <c r="G539" s="99">
        <f>+'[32]Trial Balance'!C539</f>
        <v>0</v>
      </c>
      <c r="H539" s="20">
        <f t="shared" si="50"/>
        <v>0</v>
      </c>
      <c r="I539" s="20">
        <f t="shared" si="51"/>
        <v>0</v>
      </c>
    </row>
    <row r="540" spans="1:9">
      <c r="A540" s="13" t="s">
        <v>124</v>
      </c>
      <c r="B540" s="127">
        <v>2044649</v>
      </c>
      <c r="C540" s="96"/>
      <c r="F540" s="99">
        <f>+'[32]Trial Balance'!B540</f>
        <v>2044649</v>
      </c>
      <c r="G540" s="99">
        <f>+'[32]Trial Balance'!C540</f>
        <v>0</v>
      </c>
      <c r="H540" s="20">
        <f t="shared" si="50"/>
        <v>0</v>
      </c>
      <c r="I540" s="20">
        <f t="shared" si="51"/>
        <v>0</v>
      </c>
    </row>
    <row r="541" spans="1:9">
      <c r="A541" s="13" t="s">
        <v>931</v>
      </c>
      <c r="B541" s="127">
        <v>876726</v>
      </c>
      <c r="C541" s="96"/>
      <c r="F541" s="99">
        <f>+'[32]Trial Balance'!B541</f>
        <v>876726</v>
      </c>
      <c r="G541" s="99">
        <f>+'[32]Trial Balance'!C541</f>
        <v>0</v>
      </c>
      <c r="H541" s="20">
        <f t="shared" si="50"/>
        <v>0</v>
      </c>
      <c r="I541" s="20">
        <f t="shared" si="51"/>
        <v>0</v>
      </c>
    </row>
    <row r="542" spans="1:9">
      <c r="A542" s="1" t="s">
        <v>1179</v>
      </c>
      <c r="D542" s="109"/>
      <c r="E542" s="105">
        <v>17550000</v>
      </c>
      <c r="H542" s="20"/>
      <c r="I542" s="20"/>
    </row>
    <row r="543" spans="1:9">
      <c r="A543" s="13" t="s">
        <v>1179</v>
      </c>
      <c r="B543" s="96"/>
      <c r="C543" s="127">
        <v>17300000</v>
      </c>
      <c r="G543" s="99">
        <f>+'[32]Trial Balance'!$C$543</f>
        <v>17550000</v>
      </c>
      <c r="H543" s="20">
        <f>+B543-F543</f>
        <v>0</v>
      </c>
      <c r="I543" s="20">
        <f>+C543-G543</f>
        <v>-250000</v>
      </c>
    </row>
    <row r="544" spans="1:9">
      <c r="A544" s="1" t="s">
        <v>125</v>
      </c>
      <c r="D544" s="109"/>
      <c r="E544" s="105">
        <v>7029984</v>
      </c>
      <c r="H544" s="20"/>
      <c r="I544" s="20"/>
    </row>
    <row r="545" spans="1:9">
      <c r="A545" s="13" t="s">
        <v>126</v>
      </c>
      <c r="B545" s="96"/>
      <c r="C545" s="127">
        <v>30000</v>
      </c>
      <c r="F545" s="99">
        <f>+'[32]Trial Balance'!B545</f>
        <v>0</v>
      </c>
      <c r="G545" s="99">
        <f>+'[32]Trial Balance'!C545</f>
        <v>30000</v>
      </c>
      <c r="H545" s="20">
        <f t="shared" ref="H545:H555" si="52">+B545-F545</f>
        <v>0</v>
      </c>
      <c r="I545" s="20">
        <f t="shared" ref="I545:I555" si="53">+C545-G545</f>
        <v>0</v>
      </c>
    </row>
    <row r="546" spans="1:9">
      <c r="A546" s="13" t="s">
        <v>127</v>
      </c>
      <c r="B546" s="96"/>
      <c r="C546" s="127">
        <v>230500</v>
      </c>
      <c r="F546" s="99">
        <f>+'[32]Trial Balance'!B546</f>
        <v>0</v>
      </c>
      <c r="G546" s="99">
        <f>+'[32]Trial Balance'!C546</f>
        <v>230500</v>
      </c>
      <c r="H546" s="20">
        <f t="shared" si="52"/>
        <v>0</v>
      </c>
      <c r="I546" s="20">
        <f t="shared" si="53"/>
        <v>0</v>
      </c>
    </row>
    <row r="547" spans="1:9">
      <c r="A547" s="13" t="s">
        <v>128</v>
      </c>
      <c r="B547" s="96"/>
      <c r="C547" s="127">
        <v>6649484</v>
      </c>
      <c r="F547" s="99">
        <f>+'[32]Trial Balance'!B547</f>
        <v>0</v>
      </c>
      <c r="G547" s="99">
        <f>+'[32]Trial Balance'!C547</f>
        <v>6649484</v>
      </c>
      <c r="H547" s="20">
        <f t="shared" si="52"/>
        <v>0</v>
      </c>
      <c r="I547" s="20">
        <f t="shared" si="53"/>
        <v>0</v>
      </c>
    </row>
    <row r="548" spans="1:9">
      <c r="A548" s="13" t="s">
        <v>129</v>
      </c>
      <c r="B548" s="96"/>
      <c r="C548" s="127">
        <v>120000</v>
      </c>
      <c r="F548" s="99">
        <f>+'[32]Trial Balance'!B548</f>
        <v>0</v>
      </c>
      <c r="G548" s="99">
        <f>+'[32]Trial Balance'!C548</f>
        <v>120000</v>
      </c>
      <c r="H548" s="20">
        <f t="shared" si="52"/>
        <v>0</v>
      </c>
      <c r="I548" s="20">
        <f t="shared" si="53"/>
        <v>0</v>
      </c>
    </row>
    <row r="549" spans="1:9">
      <c r="A549" s="1" t="s">
        <v>130</v>
      </c>
      <c r="D549" s="105">
        <v>1305764.45</v>
      </c>
      <c r="E549" s="109"/>
      <c r="H549" s="20">
        <f t="shared" si="52"/>
        <v>0</v>
      </c>
      <c r="I549" s="20">
        <f t="shared" si="53"/>
        <v>0</v>
      </c>
    </row>
    <row r="550" spans="1:9">
      <c r="A550" s="13" t="s">
        <v>130</v>
      </c>
      <c r="B550" s="127">
        <v>1305764.45</v>
      </c>
      <c r="C550" s="96"/>
      <c r="F550" s="99">
        <f>+'[32]Trial Balance'!B550</f>
        <v>1305764.45</v>
      </c>
      <c r="G550" s="99">
        <f>+'[32]Trial Balance'!C550</f>
        <v>0</v>
      </c>
      <c r="H550" s="20">
        <f t="shared" si="52"/>
        <v>0</v>
      </c>
      <c r="I550" s="20">
        <f t="shared" si="53"/>
        <v>0</v>
      </c>
    </row>
    <row r="551" spans="1:9">
      <c r="A551" s="1" t="s">
        <v>131</v>
      </c>
      <c r="B551" s="115"/>
      <c r="C551" s="115"/>
      <c r="H551" s="20">
        <f t="shared" si="52"/>
        <v>0</v>
      </c>
      <c r="I551" s="20">
        <f t="shared" si="53"/>
        <v>0</v>
      </c>
    </row>
    <row r="552" spans="1:9">
      <c r="A552" s="1" t="s">
        <v>132</v>
      </c>
      <c r="D552" s="105">
        <v>6896752</v>
      </c>
      <c r="E552" s="109"/>
      <c r="H552" s="20">
        <f t="shared" si="52"/>
        <v>0</v>
      </c>
      <c r="I552" s="20">
        <f t="shared" si="53"/>
        <v>0</v>
      </c>
    </row>
    <row r="553" spans="1:9">
      <c r="A553" s="13" t="s">
        <v>133</v>
      </c>
      <c r="B553" s="127">
        <v>6896752</v>
      </c>
      <c r="C553" s="96"/>
      <c r="F553" s="99">
        <f>+'[32]Trial Balance'!$B$555</f>
        <v>6896752</v>
      </c>
      <c r="G553" s="99">
        <f>+'[32]Trial Balance'!C553</f>
        <v>0</v>
      </c>
      <c r="H553" s="20">
        <f>+B553-F553</f>
        <v>0</v>
      </c>
      <c r="I553" s="20">
        <f>+C553-G553</f>
        <v>0</v>
      </c>
    </row>
    <row r="554" spans="1:9">
      <c r="A554" s="1" t="s">
        <v>134</v>
      </c>
      <c r="D554" s="105">
        <v>117150</v>
      </c>
      <c r="E554" s="109"/>
      <c r="H554" s="20">
        <f t="shared" si="52"/>
        <v>0</v>
      </c>
      <c r="I554" s="20">
        <f t="shared" si="53"/>
        <v>0</v>
      </c>
    </row>
    <row r="555" spans="1:9">
      <c r="A555" s="13" t="s">
        <v>135</v>
      </c>
      <c r="B555" s="127">
        <v>116150</v>
      </c>
      <c r="C555" s="96"/>
      <c r="F555" s="99">
        <f>+'[32]Trial Balance'!B557</f>
        <v>116150</v>
      </c>
      <c r="H555" s="20">
        <f t="shared" si="52"/>
        <v>0</v>
      </c>
      <c r="I555" s="20">
        <f t="shared" si="53"/>
        <v>0</v>
      </c>
    </row>
    <row r="556" spans="1:9">
      <c r="A556" s="13" t="s">
        <v>136</v>
      </c>
      <c r="B556" s="127">
        <v>1000</v>
      </c>
      <c r="C556" s="96"/>
      <c r="F556" s="99">
        <f>+'[32]Trial Balance'!B558</f>
        <v>1000</v>
      </c>
      <c r="H556" s="20">
        <f>+B556-F556</f>
        <v>0</v>
      </c>
      <c r="I556" s="20">
        <f>+C556-G556</f>
        <v>0</v>
      </c>
    </row>
    <row r="557" spans="1:9">
      <c r="A557" s="1" t="s">
        <v>137</v>
      </c>
      <c r="D557" s="105">
        <v>69048278.230000004</v>
      </c>
      <c r="E557" s="105">
        <v>49757.64</v>
      </c>
      <c r="H557" s="20"/>
      <c r="I557" s="20">
        <f>+C515-G557</f>
        <v>0</v>
      </c>
    </row>
    <row r="558" spans="1:9">
      <c r="A558" s="14" t="s">
        <v>29</v>
      </c>
      <c r="D558" s="110">
        <v>41631753.380000003</v>
      </c>
      <c r="E558" s="111"/>
      <c r="H558" s="20"/>
      <c r="I558" s="20">
        <f>+C516-G558</f>
        <v>0</v>
      </c>
    </row>
    <row r="559" spans="1:9">
      <c r="A559" s="15" t="s">
        <v>894</v>
      </c>
      <c r="B559" s="132">
        <v>23000</v>
      </c>
      <c r="C559" s="95"/>
      <c r="F559" s="99">
        <f>+'[32]Trial Balance'!B561</f>
        <v>23000</v>
      </c>
      <c r="G559" s="99">
        <f>+'[32]Trial Balance'!C561</f>
        <v>0</v>
      </c>
      <c r="H559" s="20">
        <f>+B559-F559</f>
        <v>0</v>
      </c>
      <c r="I559" s="20">
        <f>+C559-G559</f>
        <v>0</v>
      </c>
    </row>
    <row r="560" spans="1:9">
      <c r="A560" s="15" t="s">
        <v>895</v>
      </c>
      <c r="B560" s="132">
        <v>6258</v>
      </c>
      <c r="C560" s="95"/>
      <c r="F560" s="99">
        <f>+'[32]Trial Balance'!B562</f>
        <v>6258</v>
      </c>
      <c r="G560" s="99">
        <f>+'[32]Trial Balance'!C562</f>
        <v>0</v>
      </c>
      <c r="H560" s="20">
        <f t="shared" ref="H560:H576" si="54">+B560-F560</f>
        <v>0</v>
      </c>
      <c r="I560" s="20">
        <f t="shared" ref="I560:I576" si="55">+C560-G560</f>
        <v>0</v>
      </c>
    </row>
    <row r="561" spans="1:9">
      <c r="A561" s="15" t="s">
        <v>896</v>
      </c>
      <c r="B561" s="132">
        <v>2852</v>
      </c>
      <c r="C561" s="95"/>
      <c r="F561" s="99">
        <f>+'[32]Trial Balance'!B563</f>
        <v>2852</v>
      </c>
      <c r="G561" s="99">
        <f>+'[32]Trial Balance'!C563</f>
        <v>0</v>
      </c>
      <c r="H561" s="20">
        <f t="shared" si="54"/>
        <v>0</v>
      </c>
      <c r="I561" s="20">
        <f t="shared" si="55"/>
        <v>0</v>
      </c>
    </row>
    <row r="562" spans="1:9">
      <c r="A562" s="15" t="s">
        <v>897</v>
      </c>
      <c r="B562" s="132">
        <v>3792</v>
      </c>
      <c r="C562" s="95"/>
      <c r="F562" s="99">
        <f>+'[32]Trial Balance'!B564</f>
        <v>3792</v>
      </c>
      <c r="G562" s="99">
        <f>+'[32]Trial Balance'!C564</f>
        <v>0</v>
      </c>
      <c r="H562" s="20">
        <f t="shared" si="54"/>
        <v>0</v>
      </c>
      <c r="I562" s="20">
        <f t="shared" si="55"/>
        <v>0</v>
      </c>
    </row>
    <row r="563" spans="1:9">
      <c r="A563" s="15" t="s">
        <v>898</v>
      </c>
      <c r="B563" s="132">
        <v>13000</v>
      </c>
      <c r="C563" s="95"/>
      <c r="F563" s="99">
        <f>+'[32]Trial Balance'!B565</f>
        <v>13000</v>
      </c>
      <c r="G563" s="99">
        <f>+'[32]Trial Balance'!C565</f>
        <v>0</v>
      </c>
      <c r="H563" s="20">
        <f t="shared" si="54"/>
        <v>0</v>
      </c>
      <c r="I563" s="20">
        <f t="shared" si="55"/>
        <v>0</v>
      </c>
    </row>
    <row r="564" spans="1:9">
      <c r="A564" s="15" t="s">
        <v>899</v>
      </c>
      <c r="B564" s="132">
        <v>35000</v>
      </c>
      <c r="C564" s="95"/>
      <c r="F564" s="99">
        <f>+'[32]Trial Balance'!B566</f>
        <v>35000</v>
      </c>
      <c r="G564" s="99">
        <f>+'[32]Trial Balance'!C566</f>
        <v>0</v>
      </c>
      <c r="H564" s="20">
        <f t="shared" si="54"/>
        <v>0</v>
      </c>
      <c r="I564" s="20">
        <f t="shared" si="55"/>
        <v>0</v>
      </c>
    </row>
    <row r="565" spans="1:9">
      <c r="A565" s="15" t="s">
        <v>900</v>
      </c>
      <c r="B565" s="132">
        <v>10000</v>
      </c>
      <c r="C565" s="95"/>
      <c r="F565" s="99">
        <f>+'[32]Trial Balance'!B567</f>
        <v>10000</v>
      </c>
      <c r="G565" s="99">
        <f>+'[32]Trial Balance'!C567</f>
        <v>0</v>
      </c>
      <c r="H565" s="20">
        <f t="shared" si="54"/>
        <v>0</v>
      </c>
      <c r="I565" s="20">
        <f t="shared" si="55"/>
        <v>0</v>
      </c>
    </row>
    <row r="566" spans="1:9">
      <c r="A566" s="15" t="s">
        <v>901</v>
      </c>
      <c r="B566" s="132">
        <v>130161</v>
      </c>
      <c r="C566" s="95"/>
      <c r="F566" s="99">
        <f>+'[32]Trial Balance'!B568</f>
        <v>130161</v>
      </c>
      <c r="G566" s="99">
        <f>+'[32]Trial Balance'!C568</f>
        <v>0</v>
      </c>
      <c r="H566" s="20">
        <f t="shared" si="54"/>
        <v>0</v>
      </c>
      <c r="I566" s="20">
        <f t="shared" si="55"/>
        <v>0</v>
      </c>
    </row>
    <row r="567" spans="1:9">
      <c r="A567" s="15" t="s">
        <v>902</v>
      </c>
      <c r="B567" s="132">
        <v>48314.43</v>
      </c>
      <c r="C567" s="95"/>
      <c r="F567" s="99">
        <f>+'[32]Trial Balance'!B569</f>
        <v>48314.43</v>
      </c>
      <c r="G567" s="99">
        <f>+'[32]Trial Balance'!C569</f>
        <v>0</v>
      </c>
      <c r="H567" s="20">
        <f t="shared" si="54"/>
        <v>0</v>
      </c>
      <c r="I567" s="20">
        <f t="shared" si="55"/>
        <v>0</v>
      </c>
    </row>
    <row r="568" spans="1:9">
      <c r="A568" s="15" t="s">
        <v>903</v>
      </c>
      <c r="B568" s="132">
        <v>56000</v>
      </c>
      <c r="C568" s="95"/>
      <c r="F568" s="99">
        <f>+'[32]Trial Balance'!B570</f>
        <v>56000</v>
      </c>
      <c r="G568" s="99">
        <f>+'[32]Trial Balance'!C570</f>
        <v>0</v>
      </c>
      <c r="H568" s="20">
        <f t="shared" si="54"/>
        <v>0</v>
      </c>
      <c r="I568" s="20">
        <f t="shared" si="55"/>
        <v>0</v>
      </c>
    </row>
    <row r="569" spans="1:9">
      <c r="A569" s="15" t="s">
        <v>904</v>
      </c>
      <c r="B569" s="132">
        <v>4781.92</v>
      </c>
      <c r="C569" s="95"/>
      <c r="F569" s="99">
        <f>+'[32]Trial Balance'!B571</f>
        <v>4781.92</v>
      </c>
      <c r="G569" s="99">
        <f>+'[32]Trial Balance'!C571</f>
        <v>0</v>
      </c>
      <c r="H569" s="20">
        <f t="shared" si="54"/>
        <v>0</v>
      </c>
      <c r="I569" s="20">
        <f t="shared" si="55"/>
        <v>0</v>
      </c>
    </row>
    <row r="570" spans="1:9">
      <c r="A570" s="15" t="s">
        <v>905</v>
      </c>
      <c r="B570" s="132">
        <v>20556</v>
      </c>
      <c r="C570" s="95"/>
      <c r="F570" s="99">
        <f>+'[32]Trial Balance'!B572</f>
        <v>20556</v>
      </c>
      <c r="G570" s="99">
        <f>+'[32]Trial Balance'!C572</f>
        <v>0</v>
      </c>
      <c r="H570" s="20">
        <f t="shared" si="54"/>
        <v>0</v>
      </c>
      <c r="I570" s="20">
        <f t="shared" si="55"/>
        <v>0</v>
      </c>
    </row>
    <row r="571" spans="1:9">
      <c r="A571" s="15" t="s">
        <v>906</v>
      </c>
      <c r="B571" s="132">
        <v>40795478.140000001</v>
      </c>
      <c r="C571" s="95"/>
      <c r="F571" s="99">
        <f>+'[32]Trial Balance'!B573</f>
        <v>40795478.140000001</v>
      </c>
      <c r="G571" s="99">
        <f>+'[32]Trial Balance'!C573</f>
        <v>0</v>
      </c>
      <c r="H571" s="20">
        <f t="shared" si="54"/>
        <v>0</v>
      </c>
      <c r="I571" s="20">
        <f t="shared" si="55"/>
        <v>0</v>
      </c>
    </row>
    <row r="572" spans="1:9">
      <c r="A572" s="15" t="s">
        <v>907</v>
      </c>
      <c r="B572" s="132">
        <v>149259.89000000001</v>
      </c>
      <c r="C572" s="95"/>
      <c r="F572" s="99">
        <f>+'[32]Trial Balance'!B574</f>
        <v>149259.89000000001</v>
      </c>
      <c r="G572" s="99">
        <f>+'[32]Trial Balance'!C574</f>
        <v>0</v>
      </c>
      <c r="H572" s="20">
        <f t="shared" si="54"/>
        <v>0</v>
      </c>
      <c r="I572" s="20">
        <f t="shared" si="55"/>
        <v>0</v>
      </c>
    </row>
    <row r="573" spans="1:9">
      <c r="A573" s="15" t="s">
        <v>908</v>
      </c>
      <c r="B573" s="132">
        <v>4000</v>
      </c>
      <c r="C573" s="95"/>
      <c r="F573" s="99">
        <f>+'[32]Trial Balance'!B575</f>
        <v>4000</v>
      </c>
      <c r="G573" s="99">
        <f>+'[32]Trial Balance'!C575</f>
        <v>0</v>
      </c>
      <c r="H573" s="20">
        <f t="shared" si="54"/>
        <v>0</v>
      </c>
      <c r="I573" s="20">
        <f t="shared" si="55"/>
        <v>0</v>
      </c>
    </row>
    <row r="574" spans="1:9">
      <c r="A574" s="15" t="s">
        <v>909</v>
      </c>
      <c r="B574" s="132">
        <v>176124</v>
      </c>
      <c r="C574" s="95"/>
      <c r="F574" s="99">
        <f>+'[32]Trial Balance'!B576</f>
        <v>176124</v>
      </c>
      <c r="G574" s="99">
        <f>+'[32]Trial Balance'!C576</f>
        <v>0</v>
      </c>
      <c r="H574" s="20">
        <f t="shared" si="54"/>
        <v>0</v>
      </c>
      <c r="I574" s="20">
        <f t="shared" si="55"/>
        <v>0</v>
      </c>
    </row>
    <row r="575" spans="1:9">
      <c r="A575" s="15" t="s">
        <v>910</v>
      </c>
      <c r="B575" s="132">
        <v>145476</v>
      </c>
      <c r="C575" s="95"/>
      <c r="F575" s="99">
        <f>+'[32]Trial Balance'!B577</f>
        <v>145476</v>
      </c>
      <c r="G575" s="99">
        <f>+'[32]Trial Balance'!C577</f>
        <v>0</v>
      </c>
      <c r="H575" s="20">
        <f t="shared" si="54"/>
        <v>0</v>
      </c>
      <c r="I575" s="20">
        <f t="shared" si="55"/>
        <v>0</v>
      </c>
    </row>
    <row r="576" spans="1:9">
      <c r="A576" s="15" t="s">
        <v>911</v>
      </c>
      <c r="B576" s="132">
        <v>7700</v>
      </c>
      <c r="C576" s="95"/>
      <c r="F576" s="99">
        <f>+'[32]Trial Balance'!B578</f>
        <v>7700</v>
      </c>
      <c r="G576" s="99">
        <f>+'[32]Trial Balance'!C578</f>
        <v>0</v>
      </c>
      <c r="H576" s="20">
        <f t="shared" si="54"/>
        <v>0</v>
      </c>
      <c r="I576" s="20">
        <f t="shared" si="55"/>
        <v>0</v>
      </c>
    </row>
    <row r="577" spans="1:9">
      <c r="A577" s="14" t="s">
        <v>138</v>
      </c>
      <c r="D577" s="106">
        <v>8106513.8499999996</v>
      </c>
      <c r="E577" s="114"/>
      <c r="H577" s="20"/>
      <c r="I577" s="20"/>
    </row>
    <row r="578" spans="1:9">
      <c r="A578" s="15" t="s">
        <v>912</v>
      </c>
      <c r="B578" s="132">
        <v>19889</v>
      </c>
      <c r="C578" s="95"/>
      <c r="F578" s="99">
        <f>+'[32]Trial Balance'!B580</f>
        <v>19889</v>
      </c>
      <c r="G578" s="99">
        <f>+'[32]Trial Balance'!C580</f>
        <v>0</v>
      </c>
      <c r="H578" s="20">
        <f>+B578-F578</f>
        <v>0</v>
      </c>
      <c r="I578" s="20">
        <f>+C578-G578</f>
        <v>0</v>
      </c>
    </row>
    <row r="579" spans="1:9">
      <c r="A579" s="15" t="s">
        <v>913</v>
      </c>
      <c r="B579" s="132">
        <v>23</v>
      </c>
      <c r="C579" s="95"/>
      <c r="F579" s="99">
        <f>+'[32]Trial Balance'!B581</f>
        <v>23</v>
      </c>
      <c r="G579" s="99">
        <f>+'[32]Trial Balance'!C581</f>
        <v>0</v>
      </c>
      <c r="H579" s="20">
        <f t="shared" ref="H579:H598" si="56">+B579-F579</f>
        <v>0</v>
      </c>
      <c r="I579" s="20">
        <f t="shared" ref="I579:I598" si="57">+C579-G579</f>
        <v>0</v>
      </c>
    </row>
    <row r="580" spans="1:9">
      <c r="A580" s="15" t="s">
        <v>914</v>
      </c>
      <c r="B580" s="132">
        <v>2933</v>
      </c>
      <c r="C580" s="95"/>
      <c r="F580" s="99">
        <f>+'[32]Trial Balance'!B582</f>
        <v>2933</v>
      </c>
      <c r="G580" s="99">
        <f>+'[32]Trial Balance'!C582</f>
        <v>0</v>
      </c>
      <c r="H580" s="20">
        <f t="shared" si="56"/>
        <v>0</v>
      </c>
      <c r="I580" s="20">
        <f t="shared" si="57"/>
        <v>0</v>
      </c>
    </row>
    <row r="581" spans="1:9">
      <c r="A581" s="15" t="s">
        <v>915</v>
      </c>
      <c r="B581" s="132">
        <v>4702</v>
      </c>
      <c r="C581" s="95"/>
      <c r="F581" s="99">
        <f>+'[32]Trial Balance'!B583</f>
        <v>4702</v>
      </c>
      <c r="G581" s="99">
        <f>+'[32]Trial Balance'!C583</f>
        <v>0</v>
      </c>
      <c r="H581" s="20">
        <f t="shared" si="56"/>
        <v>0</v>
      </c>
      <c r="I581" s="20">
        <f t="shared" si="57"/>
        <v>0</v>
      </c>
    </row>
    <row r="582" spans="1:9">
      <c r="A582" s="15" t="s">
        <v>916</v>
      </c>
      <c r="B582" s="132">
        <v>39358.65</v>
      </c>
      <c r="C582" s="95"/>
      <c r="F582" s="99">
        <f>+'[32]Trial Balance'!B584</f>
        <v>39358.65</v>
      </c>
      <c r="G582" s="99">
        <f>+'[32]Trial Balance'!C584</f>
        <v>0</v>
      </c>
      <c r="H582" s="20">
        <f t="shared" si="56"/>
        <v>0</v>
      </c>
      <c r="I582" s="20">
        <f t="shared" si="57"/>
        <v>0</v>
      </c>
    </row>
    <row r="583" spans="1:9">
      <c r="A583" s="15" t="s">
        <v>917</v>
      </c>
      <c r="B583" s="132">
        <v>8387</v>
      </c>
      <c r="C583" s="95"/>
      <c r="F583" s="99">
        <f>+'[32]Trial Balance'!B585</f>
        <v>8387</v>
      </c>
      <c r="G583" s="99">
        <f>+'[32]Trial Balance'!C585</f>
        <v>0</v>
      </c>
      <c r="H583" s="20">
        <f t="shared" si="56"/>
        <v>0</v>
      </c>
      <c r="I583" s="20">
        <f t="shared" si="57"/>
        <v>0</v>
      </c>
    </row>
    <row r="584" spans="1:9">
      <c r="A584" s="15" t="s">
        <v>918</v>
      </c>
      <c r="B584" s="132">
        <v>7461</v>
      </c>
      <c r="C584" s="95"/>
      <c r="F584" s="99">
        <f>+'[32]Trial Balance'!B586</f>
        <v>7461</v>
      </c>
      <c r="G584" s="99">
        <f>+'[32]Trial Balance'!C586</f>
        <v>0</v>
      </c>
      <c r="H584" s="20">
        <f t="shared" si="56"/>
        <v>0</v>
      </c>
      <c r="I584" s="20">
        <f t="shared" si="57"/>
        <v>0</v>
      </c>
    </row>
    <row r="585" spans="1:9">
      <c r="A585" s="15" t="s">
        <v>919</v>
      </c>
      <c r="B585" s="132">
        <v>9600</v>
      </c>
      <c r="C585" s="95"/>
      <c r="F585" s="99">
        <f>+'[32]Trial Balance'!B587</f>
        <v>9600</v>
      </c>
      <c r="G585" s="99">
        <f>+'[32]Trial Balance'!C587</f>
        <v>0</v>
      </c>
      <c r="H585" s="20">
        <f t="shared" si="56"/>
        <v>0</v>
      </c>
      <c r="I585" s="20">
        <f t="shared" si="57"/>
        <v>0</v>
      </c>
    </row>
    <row r="586" spans="1:9">
      <c r="A586" s="15" t="s">
        <v>920</v>
      </c>
      <c r="B586" s="132">
        <v>3457</v>
      </c>
      <c r="C586" s="95"/>
      <c r="F586" s="99">
        <f>+'[32]Trial Balance'!B588</f>
        <v>3457</v>
      </c>
      <c r="G586" s="99">
        <f>+'[32]Trial Balance'!C588</f>
        <v>0</v>
      </c>
      <c r="H586" s="20">
        <f t="shared" si="56"/>
        <v>0</v>
      </c>
      <c r="I586" s="20">
        <f t="shared" si="57"/>
        <v>0</v>
      </c>
    </row>
    <row r="587" spans="1:9">
      <c r="A587" s="15" t="s">
        <v>921</v>
      </c>
      <c r="B587" s="132">
        <v>7987231.2000000002</v>
      </c>
      <c r="C587" s="95"/>
      <c r="F587" s="99">
        <f>+'[32]Trial Balance'!B589</f>
        <v>7987231.2000000002</v>
      </c>
      <c r="G587" s="99">
        <f>+'[32]Trial Balance'!C589</f>
        <v>0</v>
      </c>
      <c r="H587" s="20">
        <f t="shared" si="56"/>
        <v>0</v>
      </c>
      <c r="I587" s="20">
        <f t="shared" si="57"/>
        <v>0</v>
      </c>
    </row>
    <row r="588" spans="1:9">
      <c r="A588" s="15" t="s">
        <v>922</v>
      </c>
      <c r="B588" s="132">
        <v>1972</v>
      </c>
      <c r="C588" s="95"/>
      <c r="F588" s="99">
        <f>+'[32]Trial Balance'!B590</f>
        <v>1972</v>
      </c>
      <c r="G588" s="99">
        <f>+'[32]Trial Balance'!C590</f>
        <v>0</v>
      </c>
      <c r="H588" s="20">
        <f t="shared" si="56"/>
        <v>0</v>
      </c>
      <c r="I588" s="20">
        <f t="shared" si="57"/>
        <v>0</v>
      </c>
    </row>
    <row r="589" spans="1:9">
      <c r="A589" s="13" t="s">
        <v>139</v>
      </c>
      <c r="B589" s="127">
        <v>15938607</v>
      </c>
      <c r="C589" s="96"/>
      <c r="F589" s="99">
        <f>+'[32]Trial Balance'!B591</f>
        <v>15938607</v>
      </c>
      <c r="G589" s="99">
        <f>+'[32]Trial Balance'!C591</f>
        <v>0</v>
      </c>
      <c r="H589" s="20">
        <f t="shared" si="56"/>
        <v>0</v>
      </c>
      <c r="I589" s="20">
        <f t="shared" si="57"/>
        <v>0</v>
      </c>
    </row>
    <row r="590" spans="1:9">
      <c r="A590" s="13" t="s">
        <v>140</v>
      </c>
      <c r="B590" s="127">
        <v>40000</v>
      </c>
      <c r="C590" s="96"/>
      <c r="F590" s="99">
        <f>+'[32]Trial Balance'!B592</f>
        <v>40000</v>
      </c>
      <c r="G590" s="99">
        <f>+'[32]Trial Balance'!C592</f>
        <v>0</v>
      </c>
      <c r="H590" s="20">
        <f t="shared" si="56"/>
        <v>0</v>
      </c>
      <c r="I590" s="20">
        <f t="shared" si="57"/>
        <v>0</v>
      </c>
    </row>
    <row r="591" spans="1:9">
      <c r="A591" s="13" t="s">
        <v>923</v>
      </c>
      <c r="B591" s="127">
        <v>20000</v>
      </c>
      <c r="C591" s="96"/>
      <c r="F591" s="99">
        <f>+'[32]Trial Balance'!B593</f>
        <v>20000</v>
      </c>
      <c r="G591" s="99">
        <f>+'[32]Trial Balance'!C593</f>
        <v>0</v>
      </c>
      <c r="H591" s="20">
        <f t="shared" si="56"/>
        <v>0</v>
      </c>
      <c r="I591" s="20">
        <f t="shared" si="57"/>
        <v>0</v>
      </c>
    </row>
    <row r="592" spans="1:9">
      <c r="A592" s="13" t="s">
        <v>141</v>
      </c>
      <c r="B592" s="127">
        <v>968925</v>
      </c>
      <c r="C592" s="96"/>
      <c r="F592" s="99">
        <f>+'[32]Trial Balance'!B594</f>
        <v>968925</v>
      </c>
      <c r="G592" s="99">
        <f>+'[32]Trial Balance'!C594</f>
        <v>0</v>
      </c>
      <c r="H592" s="20">
        <f t="shared" si="56"/>
        <v>0</v>
      </c>
      <c r="I592" s="20">
        <f t="shared" si="57"/>
        <v>0</v>
      </c>
    </row>
    <row r="593" spans="1:13">
      <c r="A593" s="13" t="s">
        <v>142</v>
      </c>
      <c r="B593" s="127">
        <v>2930</v>
      </c>
      <c r="C593" s="96"/>
      <c r="F593" s="99">
        <f>+'[32]Trial Balance'!B595</f>
        <v>2930</v>
      </c>
      <c r="G593" s="99">
        <f>+'[32]Trial Balance'!C595</f>
        <v>0</v>
      </c>
      <c r="H593" s="20">
        <f t="shared" si="56"/>
        <v>0</v>
      </c>
      <c r="I593" s="20">
        <f t="shared" si="57"/>
        <v>0</v>
      </c>
    </row>
    <row r="594" spans="1:13">
      <c r="A594" s="13" t="s">
        <v>143</v>
      </c>
      <c r="B594" s="127">
        <v>312355</v>
      </c>
      <c r="C594" s="96"/>
      <c r="F594" s="99">
        <f>+'[32]Trial Balance'!B596</f>
        <v>312355</v>
      </c>
      <c r="G594" s="99">
        <f>+'[32]Trial Balance'!C596</f>
        <v>0</v>
      </c>
      <c r="H594" s="20">
        <f t="shared" si="56"/>
        <v>0</v>
      </c>
      <c r="I594" s="20">
        <f t="shared" si="57"/>
        <v>0</v>
      </c>
    </row>
    <row r="595" spans="1:13">
      <c r="A595" s="13" t="s">
        <v>144</v>
      </c>
      <c r="B595" s="127">
        <v>5500</v>
      </c>
      <c r="C595" s="96"/>
      <c r="F595" s="99">
        <f>+'[32]Trial Balance'!B597</f>
        <v>5500</v>
      </c>
      <c r="G595" s="99">
        <f>+'[32]Trial Balance'!C597</f>
        <v>0</v>
      </c>
      <c r="H595" s="20">
        <f t="shared" si="56"/>
        <v>0</v>
      </c>
      <c r="I595" s="20">
        <f t="shared" si="57"/>
        <v>0</v>
      </c>
    </row>
    <row r="596" spans="1:13">
      <c r="A596" s="13" t="s">
        <v>145</v>
      </c>
      <c r="B596" s="127">
        <v>309963</v>
      </c>
      <c r="C596" s="96"/>
      <c r="F596" s="99">
        <f>+'[32]Trial Balance'!B598</f>
        <v>309963</v>
      </c>
      <c r="G596" s="99">
        <f>+'[32]Trial Balance'!C598</f>
        <v>0</v>
      </c>
      <c r="H596" s="20">
        <f t="shared" si="56"/>
        <v>0</v>
      </c>
      <c r="I596" s="20">
        <f t="shared" si="57"/>
        <v>0</v>
      </c>
    </row>
    <row r="597" spans="1:13">
      <c r="A597" s="13" t="s">
        <v>146</v>
      </c>
      <c r="B597" s="127">
        <v>13150</v>
      </c>
      <c r="C597" s="96"/>
      <c r="F597" s="99">
        <f>+'[32]Trial Balance'!B599</f>
        <v>13150</v>
      </c>
      <c r="G597" s="99">
        <f>+'[32]Trial Balance'!C599</f>
        <v>0</v>
      </c>
      <c r="H597" s="20">
        <f t="shared" si="56"/>
        <v>0</v>
      </c>
      <c r="I597" s="20">
        <f t="shared" si="57"/>
        <v>0</v>
      </c>
    </row>
    <row r="598" spans="1:13">
      <c r="A598" s="13" t="s">
        <v>147</v>
      </c>
      <c r="B598" s="127">
        <v>366887</v>
      </c>
      <c r="C598" s="96"/>
      <c r="F598" s="99">
        <f>+'[32]Trial Balance'!B600</f>
        <v>366887</v>
      </c>
      <c r="G598" s="99">
        <f>+'[32]Trial Balance'!C600</f>
        <v>0</v>
      </c>
      <c r="H598" s="20">
        <f t="shared" si="56"/>
        <v>0</v>
      </c>
      <c r="I598" s="20">
        <f t="shared" si="57"/>
        <v>0</v>
      </c>
    </row>
    <row r="599" spans="1:13">
      <c r="A599" s="13" t="s">
        <v>1096</v>
      </c>
      <c r="B599" s="127">
        <v>233550</v>
      </c>
      <c r="C599" s="96"/>
      <c r="F599" s="99">
        <f>+'[32]Trial Balance'!B601</f>
        <v>233550</v>
      </c>
      <c r="G599" s="99">
        <f>+'[32]Trial Balance'!C601</f>
        <v>0</v>
      </c>
      <c r="H599" s="20">
        <f t="shared" ref="H599:I602" si="58">+B599-F599</f>
        <v>0</v>
      </c>
      <c r="I599" s="20">
        <f t="shared" si="58"/>
        <v>0</v>
      </c>
    </row>
    <row r="600" spans="1:13">
      <c r="A600" s="13" t="s">
        <v>148</v>
      </c>
      <c r="B600" s="96"/>
      <c r="C600" s="127">
        <v>306474.64</v>
      </c>
      <c r="F600" s="99">
        <f>+'[32]Trial Balance'!B602</f>
        <v>0</v>
      </c>
      <c r="G600" s="99">
        <f>+'[32]Trial Balance'!C602</f>
        <v>306474.64</v>
      </c>
      <c r="H600" s="20">
        <f t="shared" si="58"/>
        <v>0</v>
      </c>
      <c r="I600" s="20">
        <f t="shared" si="58"/>
        <v>0</v>
      </c>
    </row>
    <row r="601" spans="1:13">
      <c r="A601" s="13" t="s">
        <v>149</v>
      </c>
      <c r="B601" s="127">
        <v>115568</v>
      </c>
      <c r="C601" s="96"/>
      <c r="F601" s="99">
        <f>+'[32]Trial Balance'!B603</f>
        <v>115568</v>
      </c>
      <c r="G601" s="99">
        <f>+'[32]Trial Balance'!C603</f>
        <v>0</v>
      </c>
      <c r="H601" s="20">
        <f t="shared" si="58"/>
        <v>0</v>
      </c>
      <c r="I601" s="20">
        <f t="shared" si="58"/>
        <v>0</v>
      </c>
    </row>
    <row r="602" spans="1:13">
      <c r="A602" s="13" t="s">
        <v>150</v>
      </c>
      <c r="B602" s="127">
        <v>28582</v>
      </c>
      <c r="C602" s="96"/>
      <c r="F602" s="99">
        <f>+'[32]Trial Balance'!B604</f>
        <v>28582</v>
      </c>
      <c r="G602" s="99">
        <f>+'[32]Trial Balance'!C604</f>
        <v>0</v>
      </c>
      <c r="H602" s="20">
        <f t="shared" si="58"/>
        <v>0</v>
      </c>
      <c r="I602" s="20">
        <f t="shared" si="58"/>
        <v>0</v>
      </c>
    </row>
    <row r="603" spans="1:13">
      <c r="A603" s="1" t="s">
        <v>151</v>
      </c>
      <c r="D603" s="105">
        <v>66455656</v>
      </c>
      <c r="E603" s="105">
        <v>286698507.75999999</v>
      </c>
      <c r="H603" s="20"/>
      <c r="I603" s="20"/>
    </row>
    <row r="604" spans="1:13">
      <c r="A604" s="13" t="s">
        <v>152</v>
      </c>
      <c r="B604" s="123">
        <v>57179680</v>
      </c>
      <c r="C604" s="126"/>
      <c r="D604" s="20"/>
      <c r="F604" s="99">
        <f>+'[32]Trial Balance'!B608</f>
        <v>57179680</v>
      </c>
      <c r="G604" s="99">
        <f>+'[32]Trial Balance'!C608</f>
        <v>0</v>
      </c>
      <c r="H604" s="20">
        <f t="shared" ref="H604:I607" si="59">+B604-F604</f>
        <v>0</v>
      </c>
      <c r="I604" s="20">
        <f t="shared" si="59"/>
        <v>0</v>
      </c>
      <c r="J604" s="98">
        <f>+SUM(B604:B605)</f>
        <v>66455656</v>
      </c>
      <c r="K604" s="98">
        <f>SUM(C606:C607)</f>
        <v>286698507.75999999</v>
      </c>
      <c r="L604" s="100">
        <f>+J604-K604</f>
        <v>-220242851.75999999</v>
      </c>
      <c r="M604" s="20">
        <f>+L604+Notes!L49</f>
        <v>-220242851.75999999</v>
      </c>
    </row>
    <row r="605" spans="1:13">
      <c r="A605" s="13" t="s">
        <v>153</v>
      </c>
      <c r="B605" s="123">
        <v>9275976</v>
      </c>
      <c r="C605" s="126"/>
      <c r="D605" s="20"/>
      <c r="E605" s="20"/>
      <c r="F605" s="99">
        <f>+'[32]Trial Balance'!B609</f>
        <v>9275976</v>
      </c>
      <c r="G605" s="99">
        <f>+'[32]Trial Balance'!C609</f>
        <v>0</v>
      </c>
      <c r="H605" s="20">
        <f t="shared" si="59"/>
        <v>0</v>
      </c>
      <c r="I605" s="20">
        <f t="shared" si="59"/>
        <v>0</v>
      </c>
    </row>
    <row r="606" spans="1:13">
      <c r="A606" s="13" t="s">
        <v>154</v>
      </c>
      <c r="B606" s="126"/>
      <c r="C606" s="123">
        <v>34804893.420000002</v>
      </c>
      <c r="F606" s="99">
        <f>+'[32]Trial Balance'!B610</f>
        <v>0</v>
      </c>
      <c r="G606" s="99">
        <f>+'[32]Trial Balance'!C610</f>
        <v>34804893.420000002</v>
      </c>
      <c r="H606" s="20">
        <f t="shared" si="59"/>
        <v>0</v>
      </c>
      <c r="I606" s="20">
        <f t="shared" si="59"/>
        <v>0</v>
      </c>
    </row>
    <row r="607" spans="1:13">
      <c r="A607" s="13" t="s">
        <v>155</v>
      </c>
      <c r="B607" s="126"/>
      <c r="C607" s="123">
        <f>251893614.34</f>
        <v>251893614.34</v>
      </c>
      <c r="F607" s="99">
        <f>+'[32]Trial Balance'!B611</f>
        <v>0</v>
      </c>
      <c r="G607" s="99">
        <f>+'[32]Trial Balance'!C611</f>
        <v>251893614.34</v>
      </c>
      <c r="H607" s="20">
        <f t="shared" si="59"/>
        <v>0</v>
      </c>
      <c r="I607" s="20">
        <f t="shared" si="59"/>
        <v>0</v>
      </c>
    </row>
    <row r="608" spans="1:13">
      <c r="A608" s="1" t="s">
        <v>156</v>
      </c>
      <c r="D608" s="109"/>
      <c r="E608" s="105">
        <v>150000</v>
      </c>
      <c r="H608" s="20">
        <f>+B608-F608</f>
        <v>0</v>
      </c>
      <c r="I608" s="20">
        <f>+C568-G608</f>
        <v>0</v>
      </c>
    </row>
    <row r="609" spans="1:9">
      <c r="A609" s="14" t="s">
        <v>157</v>
      </c>
      <c r="D609" s="111"/>
      <c r="E609" s="110">
        <v>150000</v>
      </c>
      <c r="H609" s="20">
        <f>+B609-F609</f>
        <v>0</v>
      </c>
      <c r="I609" s="20">
        <f>+C569-G609</f>
        <v>0</v>
      </c>
    </row>
    <row r="610" spans="1:9">
      <c r="A610" s="15" t="s">
        <v>924</v>
      </c>
      <c r="B610" s="95"/>
      <c r="C610" s="132">
        <v>150000</v>
      </c>
      <c r="G610" s="99">
        <f>+'[32]Trial Balance'!$C$614</f>
        <v>150000</v>
      </c>
      <c r="H610" s="20">
        <f>+B610-F610</f>
        <v>0</v>
      </c>
      <c r="I610" s="20">
        <f>+C610-G610</f>
        <v>0</v>
      </c>
    </row>
    <row r="611" spans="1:9">
      <c r="A611" s="1" t="s">
        <v>158</v>
      </c>
      <c r="D611" s="105">
        <v>3602630</v>
      </c>
      <c r="E611" s="109"/>
      <c r="H611" s="20">
        <f>+B611-F611</f>
        <v>0</v>
      </c>
      <c r="I611" s="20">
        <f>+C571-G611</f>
        <v>0</v>
      </c>
    </row>
    <row r="612" spans="1:9">
      <c r="A612" s="16" t="s">
        <v>158</v>
      </c>
      <c r="B612" s="127">
        <v>3602630</v>
      </c>
      <c r="C612" s="96"/>
      <c r="F612" s="99">
        <f>+'[32]Trial Balance'!B606</f>
        <v>3602630</v>
      </c>
      <c r="G612" s="99">
        <f>+'[32]Trial Balance'!C606</f>
        <v>0</v>
      </c>
      <c r="H612" s="20">
        <f>+B612-F612</f>
        <v>0</v>
      </c>
      <c r="I612" s="20">
        <f>+C612-G612</f>
        <v>0</v>
      </c>
    </row>
    <row r="613" spans="1:9">
      <c r="A613" s="1" t="s">
        <v>159</v>
      </c>
      <c r="B613" s="115"/>
      <c r="C613" s="115"/>
      <c r="H613" s="20"/>
      <c r="I613" s="20"/>
    </row>
    <row r="614" spans="1:9">
      <c r="A614" s="1" t="s">
        <v>160</v>
      </c>
      <c r="D614" s="105">
        <v>112716425.90000001</v>
      </c>
      <c r="E614" s="109"/>
      <c r="H614" s="20">
        <f t="shared" ref="H614:I642" si="60">+B614-F614</f>
        <v>0</v>
      </c>
      <c r="I614" s="20">
        <f>+C574-G614</f>
        <v>0</v>
      </c>
    </row>
    <row r="615" spans="1:9">
      <c r="A615" s="14" t="s">
        <v>161</v>
      </c>
      <c r="D615" s="110">
        <v>90218613</v>
      </c>
      <c r="E615" s="111"/>
      <c r="H615" s="20">
        <f t="shared" si="60"/>
        <v>0</v>
      </c>
      <c r="I615" s="20">
        <f>+C575-G615</f>
        <v>0</v>
      </c>
    </row>
    <row r="616" spans="1:9">
      <c r="A616" s="15" t="s">
        <v>891</v>
      </c>
      <c r="B616" s="132">
        <v>3102</v>
      </c>
      <c r="C616" s="95"/>
      <c r="F616" s="99">
        <f>+'[32]Trial Balance'!B619</f>
        <v>3102</v>
      </c>
      <c r="G616" s="99">
        <f>+'[32]Trial Balance'!C619</f>
        <v>0</v>
      </c>
      <c r="H616" s="20">
        <f t="shared" si="60"/>
        <v>0</v>
      </c>
      <c r="I616" s="20">
        <f t="shared" si="60"/>
        <v>0</v>
      </c>
    </row>
    <row r="617" spans="1:9">
      <c r="A617" s="15" t="s">
        <v>162</v>
      </c>
      <c r="B617" s="132">
        <v>138098</v>
      </c>
      <c r="C617" s="95"/>
      <c r="F617" s="99">
        <f>+'[32]Trial Balance'!B620</f>
        <v>138098</v>
      </c>
      <c r="G617" s="99">
        <f>+'[32]Trial Balance'!C620</f>
        <v>0</v>
      </c>
      <c r="H617" s="20">
        <f t="shared" si="60"/>
        <v>0</v>
      </c>
      <c r="I617" s="20">
        <f t="shared" si="60"/>
        <v>0</v>
      </c>
    </row>
    <row r="618" spans="1:9">
      <c r="A618" s="15" t="s">
        <v>892</v>
      </c>
      <c r="B618" s="132">
        <v>876332</v>
      </c>
      <c r="C618" s="95"/>
      <c r="F618" s="99">
        <f>+'[32]Trial Balance'!B621</f>
        <v>876332</v>
      </c>
      <c r="G618" s="99">
        <f>+'[32]Trial Balance'!C621</f>
        <v>0</v>
      </c>
      <c r="H618" s="20">
        <f t="shared" si="60"/>
        <v>0</v>
      </c>
      <c r="I618" s="20">
        <f t="shared" si="60"/>
        <v>0</v>
      </c>
    </row>
    <row r="619" spans="1:9">
      <c r="A619" s="15" t="s">
        <v>1097</v>
      </c>
      <c r="B619" s="132">
        <v>36993</v>
      </c>
      <c r="C619" s="95"/>
      <c r="F619" s="99">
        <f>+'[32]Trial Balance'!B622</f>
        <v>36993</v>
      </c>
      <c r="G619" s="99">
        <f>+'[32]Trial Balance'!C622</f>
        <v>0</v>
      </c>
      <c r="H619" s="20">
        <f t="shared" ref="H619:H634" si="61">+B619-F619</f>
        <v>0</v>
      </c>
      <c r="I619" s="20">
        <f t="shared" si="60"/>
        <v>0</v>
      </c>
    </row>
    <row r="620" spans="1:9">
      <c r="A620" s="15" t="s">
        <v>163</v>
      </c>
      <c r="B620" s="132">
        <v>9920</v>
      </c>
      <c r="C620" s="95"/>
      <c r="F620" s="99">
        <f>+'[32]Trial Balance'!B623</f>
        <v>9920</v>
      </c>
      <c r="G620" s="99">
        <f>+'[32]Trial Balance'!C623</f>
        <v>0</v>
      </c>
      <c r="H620" s="20">
        <f t="shared" si="61"/>
        <v>0</v>
      </c>
      <c r="I620" s="20">
        <f t="shared" si="60"/>
        <v>0</v>
      </c>
    </row>
    <row r="621" spans="1:9">
      <c r="A621" s="15" t="s">
        <v>164</v>
      </c>
      <c r="B621" s="132">
        <v>33000</v>
      </c>
      <c r="C621" s="95"/>
      <c r="F621" s="99">
        <f>+'[32]Trial Balance'!B624</f>
        <v>33000</v>
      </c>
      <c r="G621" s="99">
        <f>+'[32]Trial Balance'!C624</f>
        <v>0</v>
      </c>
      <c r="H621" s="20">
        <f t="shared" si="61"/>
        <v>0</v>
      </c>
      <c r="I621" s="20">
        <f t="shared" si="60"/>
        <v>0</v>
      </c>
    </row>
    <row r="622" spans="1:9">
      <c r="A622" s="15" t="s">
        <v>1098</v>
      </c>
      <c r="B622" s="132">
        <v>11980778</v>
      </c>
      <c r="C622" s="95"/>
      <c r="F622" s="99">
        <f>+'[32]Trial Balance'!B625</f>
        <v>11980778</v>
      </c>
      <c r="G622" s="99">
        <f>+'[32]Trial Balance'!C625</f>
        <v>0</v>
      </c>
      <c r="H622" s="20">
        <f t="shared" si="61"/>
        <v>0</v>
      </c>
      <c r="I622" s="20">
        <f t="shared" si="60"/>
        <v>0</v>
      </c>
    </row>
    <row r="623" spans="1:9">
      <c r="A623" s="15" t="s">
        <v>165</v>
      </c>
      <c r="B623" s="132">
        <v>1100</v>
      </c>
      <c r="C623" s="95"/>
      <c r="F623" s="99">
        <f>+'[32]Trial Balance'!B626</f>
        <v>1100</v>
      </c>
      <c r="G623" s="99">
        <f>+'[32]Trial Balance'!C626</f>
        <v>0</v>
      </c>
      <c r="H623" s="20">
        <f t="shared" si="61"/>
        <v>0</v>
      </c>
      <c r="I623" s="20">
        <f t="shared" si="60"/>
        <v>0</v>
      </c>
    </row>
    <row r="624" spans="1:9">
      <c r="A624" s="15" t="s">
        <v>166</v>
      </c>
      <c r="B624" s="132">
        <v>400165</v>
      </c>
      <c r="C624" s="95"/>
      <c r="F624" s="99">
        <f>+'[32]Trial Balance'!B627</f>
        <v>400165</v>
      </c>
      <c r="G624" s="99">
        <f>+'[32]Trial Balance'!C627</f>
        <v>0</v>
      </c>
      <c r="H624" s="20">
        <f t="shared" si="61"/>
        <v>0</v>
      </c>
      <c r="I624" s="20">
        <f t="shared" si="60"/>
        <v>0</v>
      </c>
    </row>
    <row r="625" spans="1:9">
      <c r="A625" s="15" t="s">
        <v>167</v>
      </c>
      <c r="B625" s="132"/>
      <c r="C625" s="132">
        <v>1400230</v>
      </c>
      <c r="F625" s="99">
        <f>+'[32]Trial Balance'!B628</f>
        <v>0</v>
      </c>
      <c r="G625" s="99">
        <f>+'[32]Trial Balance'!C628</f>
        <v>1400230</v>
      </c>
      <c r="H625" s="20">
        <f t="shared" si="61"/>
        <v>0</v>
      </c>
      <c r="I625" s="20">
        <f t="shared" si="60"/>
        <v>0</v>
      </c>
    </row>
    <row r="626" spans="1:9">
      <c r="A626" s="15" t="s">
        <v>168</v>
      </c>
      <c r="B626" s="132"/>
      <c r="C626" s="132">
        <v>2322830</v>
      </c>
      <c r="F626" s="99">
        <f>+'[32]Trial Balance'!B629</f>
        <v>0</v>
      </c>
      <c r="G626" s="99">
        <f>+'[32]Trial Balance'!C629</f>
        <v>2322830</v>
      </c>
      <c r="H626" s="20">
        <f t="shared" si="61"/>
        <v>0</v>
      </c>
      <c r="I626" s="20">
        <f t="shared" si="60"/>
        <v>0</v>
      </c>
    </row>
    <row r="627" spans="1:9">
      <c r="A627" s="15" t="s">
        <v>169</v>
      </c>
      <c r="B627" s="132">
        <v>6218959</v>
      </c>
      <c r="C627" s="95"/>
      <c r="F627" s="99">
        <f>+'[32]Trial Balance'!B630</f>
        <v>6218959</v>
      </c>
      <c r="G627" s="99">
        <f>+'[32]Trial Balance'!C630</f>
        <v>0</v>
      </c>
      <c r="H627" s="20">
        <f t="shared" si="61"/>
        <v>0</v>
      </c>
      <c r="I627" s="20">
        <f t="shared" si="60"/>
        <v>0</v>
      </c>
    </row>
    <row r="628" spans="1:9">
      <c r="A628" s="15" t="s">
        <v>205</v>
      </c>
      <c r="B628" s="132">
        <v>1744722</v>
      </c>
      <c r="C628" s="95"/>
      <c r="F628" s="99">
        <f>+'[32]Trial Balance'!B631</f>
        <v>1744722</v>
      </c>
      <c r="G628" s="99">
        <f>+'[32]Trial Balance'!C631</f>
        <v>0</v>
      </c>
      <c r="H628" s="20">
        <f t="shared" si="61"/>
        <v>0</v>
      </c>
      <c r="I628" s="20">
        <f t="shared" si="60"/>
        <v>0</v>
      </c>
    </row>
    <row r="629" spans="1:9">
      <c r="A629" s="15" t="s">
        <v>170</v>
      </c>
      <c r="B629" s="132">
        <v>5308283</v>
      </c>
      <c r="C629" s="95"/>
      <c r="F629" s="99">
        <f>+'[32]Trial Balance'!B632</f>
        <v>5308283</v>
      </c>
      <c r="G629" s="99">
        <f>+'[32]Trial Balance'!C632</f>
        <v>0</v>
      </c>
      <c r="H629" s="20">
        <f t="shared" si="61"/>
        <v>0</v>
      </c>
      <c r="I629" s="20">
        <f t="shared" si="60"/>
        <v>0</v>
      </c>
    </row>
    <row r="630" spans="1:9">
      <c r="A630" s="15" t="s">
        <v>171</v>
      </c>
      <c r="B630" s="132">
        <v>2416920</v>
      </c>
      <c r="C630" s="95"/>
      <c r="F630" s="99">
        <f>+'[32]Trial Balance'!B633</f>
        <v>2416920</v>
      </c>
      <c r="G630" s="99">
        <f>+'[32]Trial Balance'!C633</f>
        <v>0</v>
      </c>
      <c r="H630" s="20">
        <f t="shared" si="61"/>
        <v>0</v>
      </c>
      <c r="I630" s="20">
        <f t="shared" si="60"/>
        <v>0</v>
      </c>
    </row>
    <row r="631" spans="1:9">
      <c r="A631" s="15" t="s">
        <v>172</v>
      </c>
      <c r="B631" s="132">
        <v>0</v>
      </c>
      <c r="C631" s="132">
        <v>1220360</v>
      </c>
      <c r="F631" s="99">
        <f>+'[32]Trial Balance'!B634</f>
        <v>0</v>
      </c>
      <c r="G631" s="99">
        <f>+'[32]Trial Balance'!C634</f>
        <v>1220360</v>
      </c>
      <c r="H631" s="20">
        <f t="shared" si="61"/>
        <v>0</v>
      </c>
      <c r="I631" s="20">
        <f t="shared" si="60"/>
        <v>0</v>
      </c>
    </row>
    <row r="632" spans="1:9">
      <c r="A632" s="15" t="s">
        <v>1099</v>
      </c>
      <c r="B632" s="132">
        <v>2783998</v>
      </c>
      <c r="C632" s="95"/>
      <c r="F632" s="99">
        <f>+'[32]Trial Balance'!B635</f>
        <v>2783998</v>
      </c>
      <c r="G632" s="99">
        <f>+'[32]Trial Balance'!C635</f>
        <v>0</v>
      </c>
      <c r="H632" s="20">
        <f t="shared" si="61"/>
        <v>0</v>
      </c>
      <c r="I632" s="20">
        <f t="shared" si="60"/>
        <v>0</v>
      </c>
    </row>
    <row r="633" spans="1:9">
      <c r="A633" s="15" t="s">
        <v>173</v>
      </c>
      <c r="B633" s="132">
        <v>2624386</v>
      </c>
      <c r="C633" s="95"/>
      <c r="F633" s="99">
        <f>+'[32]Trial Balance'!B636</f>
        <v>2624386</v>
      </c>
      <c r="G633" s="99">
        <f>+'[32]Trial Balance'!C636</f>
        <v>0</v>
      </c>
      <c r="H633" s="20">
        <f t="shared" si="61"/>
        <v>0</v>
      </c>
      <c r="I633" s="20">
        <f t="shared" si="60"/>
        <v>0</v>
      </c>
    </row>
    <row r="634" spans="1:9">
      <c r="A634" s="15" t="s">
        <v>174</v>
      </c>
      <c r="B634" s="132">
        <v>6298747</v>
      </c>
      <c r="C634" s="95"/>
      <c r="F634" s="99">
        <f>+'[32]Trial Balance'!B637</f>
        <v>6298747</v>
      </c>
      <c r="G634" s="99">
        <f>+'[32]Trial Balance'!C637</f>
        <v>0</v>
      </c>
      <c r="H634" s="20">
        <f t="shared" si="61"/>
        <v>0</v>
      </c>
      <c r="I634" s="20">
        <f t="shared" si="60"/>
        <v>0</v>
      </c>
    </row>
    <row r="635" spans="1:9">
      <c r="A635" s="15" t="s">
        <v>1100</v>
      </c>
      <c r="B635" s="132">
        <v>828135</v>
      </c>
      <c r="C635" s="95"/>
      <c r="F635" s="99">
        <f>+'[32]Trial Balance'!B638</f>
        <v>828135</v>
      </c>
      <c r="G635" s="99">
        <f>+'[32]Trial Balance'!C638</f>
        <v>0</v>
      </c>
      <c r="H635" s="20">
        <f t="shared" si="60"/>
        <v>0</v>
      </c>
      <c r="I635" s="20">
        <f t="shared" si="60"/>
        <v>0</v>
      </c>
    </row>
    <row r="636" spans="1:9">
      <c r="A636" s="15" t="s">
        <v>1101</v>
      </c>
      <c r="B636" s="132">
        <v>281214</v>
      </c>
      <c r="C636" s="95"/>
      <c r="F636" s="99">
        <f>+'[32]Trial Balance'!B639</f>
        <v>281214</v>
      </c>
      <c r="G636" s="99">
        <f>+'[32]Trial Balance'!C639</f>
        <v>0</v>
      </c>
      <c r="H636" s="20">
        <f t="shared" si="60"/>
        <v>0</v>
      </c>
      <c r="I636" s="20">
        <f t="shared" si="60"/>
        <v>0</v>
      </c>
    </row>
    <row r="637" spans="1:9">
      <c r="A637" s="15" t="s">
        <v>1102</v>
      </c>
      <c r="B637" s="132">
        <v>3625227</v>
      </c>
      <c r="C637" s="95"/>
      <c r="F637" s="99">
        <f>+'[32]Trial Balance'!B640</f>
        <v>3625227</v>
      </c>
      <c r="G637" s="99">
        <f>+'[32]Trial Balance'!C640</f>
        <v>0</v>
      </c>
      <c r="H637" s="20">
        <f t="shared" si="60"/>
        <v>0</v>
      </c>
      <c r="I637" s="20">
        <f t="shared" si="60"/>
        <v>0</v>
      </c>
    </row>
    <row r="638" spans="1:9">
      <c r="A638" s="15" t="s">
        <v>175</v>
      </c>
      <c r="B638" s="132">
        <v>10004144</v>
      </c>
      <c r="C638" s="95"/>
      <c r="F638" s="99">
        <f>+'[32]Trial Balance'!B641</f>
        <v>10004144</v>
      </c>
      <c r="G638" s="99">
        <f>+'[32]Trial Balance'!C641</f>
        <v>0</v>
      </c>
      <c r="H638" s="20">
        <f t="shared" si="60"/>
        <v>0</v>
      </c>
      <c r="I638" s="20">
        <f t="shared" si="60"/>
        <v>0</v>
      </c>
    </row>
    <row r="639" spans="1:9">
      <c r="A639" s="15" t="s">
        <v>1103</v>
      </c>
      <c r="B639" s="132">
        <v>16275991</v>
      </c>
      <c r="C639" s="95"/>
      <c r="F639" s="99">
        <f>+'[32]Trial Balance'!B642</f>
        <v>16275991</v>
      </c>
      <c r="G639" s="99">
        <f>+'[32]Trial Balance'!C642</f>
        <v>0</v>
      </c>
      <c r="H639" s="20">
        <f t="shared" si="60"/>
        <v>0</v>
      </c>
      <c r="I639" s="20">
        <f t="shared" si="60"/>
        <v>0</v>
      </c>
    </row>
    <row r="640" spans="1:9">
      <c r="A640" s="15" t="s">
        <v>176</v>
      </c>
      <c r="B640" s="132">
        <v>3701500</v>
      </c>
      <c r="C640" s="95"/>
      <c r="F640" s="99">
        <f>+'[32]Trial Balance'!B643</f>
        <v>3701500</v>
      </c>
      <c r="G640" s="99">
        <f>+'[32]Trial Balance'!C643</f>
        <v>0</v>
      </c>
      <c r="H640" s="20">
        <f t="shared" si="60"/>
        <v>0</v>
      </c>
      <c r="I640" s="20">
        <f t="shared" si="60"/>
        <v>0</v>
      </c>
    </row>
    <row r="641" spans="1:9">
      <c r="A641" s="15" t="s">
        <v>177</v>
      </c>
      <c r="B641" s="132">
        <v>4077990</v>
      </c>
      <c r="C641" s="95"/>
      <c r="F641" s="99">
        <f>+'[32]Trial Balance'!B644</f>
        <v>4077990</v>
      </c>
      <c r="G641" s="99">
        <f>+'[32]Trial Balance'!C644</f>
        <v>0</v>
      </c>
      <c r="H641" s="20">
        <f t="shared" si="60"/>
        <v>0</v>
      </c>
      <c r="I641" s="20">
        <f t="shared" si="60"/>
        <v>0</v>
      </c>
    </row>
    <row r="642" spans="1:9">
      <c r="A642" s="15" t="s">
        <v>1104</v>
      </c>
      <c r="B642" s="132">
        <v>1878707</v>
      </c>
      <c r="C642" s="95"/>
      <c r="F642" s="99">
        <f>+'[32]Trial Balance'!B645</f>
        <v>1878707</v>
      </c>
      <c r="G642" s="99">
        <f>+'[32]Trial Balance'!C645</f>
        <v>0</v>
      </c>
      <c r="H642" s="20">
        <f t="shared" si="60"/>
        <v>0</v>
      </c>
      <c r="I642" s="20">
        <f t="shared" si="60"/>
        <v>0</v>
      </c>
    </row>
    <row r="643" spans="1:9">
      <c r="A643" s="14" t="s">
        <v>178</v>
      </c>
      <c r="D643" s="106">
        <v>22497812.899999999</v>
      </c>
      <c r="E643" s="114"/>
      <c r="H643" s="20"/>
      <c r="I643" s="20"/>
    </row>
    <row r="644" spans="1:9">
      <c r="A644" s="15" t="s">
        <v>179</v>
      </c>
      <c r="B644" s="132">
        <v>151121</v>
      </c>
      <c r="C644" s="95"/>
      <c r="F644" s="99">
        <f>+'[32]Trial Balance'!B647</f>
        <v>151121</v>
      </c>
      <c r="H644" s="20">
        <f>+B644-F644</f>
        <v>0</v>
      </c>
      <c r="I644" s="20">
        <f>+C644-G644</f>
        <v>0</v>
      </c>
    </row>
    <row r="645" spans="1:9">
      <c r="A645" s="15" t="s">
        <v>180</v>
      </c>
      <c r="B645" s="132">
        <v>1890718</v>
      </c>
      <c r="C645" s="95"/>
      <c r="F645" s="99">
        <f>+'[32]Trial Balance'!B648</f>
        <v>1890718</v>
      </c>
      <c r="H645" s="20">
        <f t="shared" ref="H645:H661" si="62">+B645-F645</f>
        <v>0</v>
      </c>
      <c r="I645" s="20">
        <f t="shared" ref="I645:I661" si="63">+C645-G645</f>
        <v>0</v>
      </c>
    </row>
    <row r="646" spans="1:9">
      <c r="A646" s="15" t="s">
        <v>181</v>
      </c>
      <c r="B646" s="132">
        <v>2276959</v>
      </c>
      <c r="C646" s="95"/>
      <c r="F646" s="99">
        <f>+'[32]Trial Balance'!B649</f>
        <v>2276959</v>
      </c>
      <c r="H646" s="20">
        <f t="shared" si="62"/>
        <v>0</v>
      </c>
      <c r="I646" s="20">
        <f t="shared" si="63"/>
        <v>0</v>
      </c>
    </row>
    <row r="647" spans="1:9">
      <c r="A647" s="15" t="s">
        <v>188</v>
      </c>
      <c r="B647" s="132">
        <v>51859</v>
      </c>
      <c r="C647" s="95"/>
      <c r="F647" s="99">
        <f>+'[32]Trial Balance'!B650</f>
        <v>51859</v>
      </c>
      <c r="H647" s="20">
        <f t="shared" si="62"/>
        <v>0</v>
      </c>
      <c r="I647" s="20">
        <f t="shared" si="63"/>
        <v>0</v>
      </c>
    </row>
    <row r="648" spans="1:9">
      <c r="A648" s="15" t="s">
        <v>182</v>
      </c>
      <c r="B648" s="132">
        <v>3600</v>
      </c>
      <c r="C648" s="95"/>
      <c r="F648" s="99">
        <f>+'[32]Trial Balance'!B651</f>
        <v>3600</v>
      </c>
      <c r="H648" s="20">
        <f t="shared" si="62"/>
        <v>0</v>
      </c>
      <c r="I648" s="20">
        <f t="shared" si="63"/>
        <v>0</v>
      </c>
    </row>
    <row r="649" spans="1:9">
      <c r="A649" s="15" t="s">
        <v>183</v>
      </c>
      <c r="B649" s="132">
        <v>8628</v>
      </c>
      <c r="C649" s="95"/>
      <c r="F649" s="99">
        <f>+'[32]Trial Balance'!B652</f>
        <v>8628</v>
      </c>
      <c r="H649" s="20">
        <f t="shared" si="62"/>
        <v>0</v>
      </c>
      <c r="I649" s="20">
        <f t="shared" si="63"/>
        <v>0</v>
      </c>
    </row>
    <row r="650" spans="1:9">
      <c r="A650" s="15" t="s">
        <v>184</v>
      </c>
      <c r="B650" s="132">
        <v>677475.7</v>
      </c>
      <c r="C650" s="95"/>
      <c r="F650" s="99">
        <f>+'[32]Trial Balance'!B653</f>
        <v>677475.7</v>
      </c>
      <c r="H650" s="20">
        <f t="shared" si="62"/>
        <v>0</v>
      </c>
      <c r="I650" s="20">
        <f t="shared" si="63"/>
        <v>0</v>
      </c>
    </row>
    <row r="651" spans="1:9">
      <c r="A651" s="15" t="s">
        <v>185</v>
      </c>
      <c r="B651" s="132">
        <v>20419</v>
      </c>
      <c r="C651" s="95"/>
      <c r="F651" s="99">
        <f>+'[32]Trial Balance'!B654</f>
        <v>20419</v>
      </c>
      <c r="H651" s="20">
        <f t="shared" si="62"/>
        <v>0</v>
      </c>
      <c r="I651" s="20">
        <f t="shared" si="63"/>
        <v>0</v>
      </c>
    </row>
    <row r="652" spans="1:9">
      <c r="A652" s="15" t="s">
        <v>186</v>
      </c>
      <c r="B652" s="132">
        <v>3379378</v>
      </c>
      <c r="C652" s="95"/>
      <c r="E652" s="20"/>
      <c r="F652" s="99">
        <f>+'[32]Trial Balance'!B655</f>
        <v>3379378</v>
      </c>
      <c r="H652" s="20">
        <f t="shared" si="62"/>
        <v>0</v>
      </c>
      <c r="I652" s="20">
        <f t="shared" si="63"/>
        <v>0</v>
      </c>
    </row>
    <row r="653" spans="1:9">
      <c r="A653" s="15" t="s">
        <v>187</v>
      </c>
      <c r="B653" s="133">
        <v>1324294</v>
      </c>
      <c r="C653" s="95"/>
      <c r="D653" s="98">
        <f>+B653+C27</f>
        <v>1571795</v>
      </c>
      <c r="E653" s="99"/>
      <c r="F653" s="99">
        <f>+'[32]Trial Balance'!B656</f>
        <v>1324294</v>
      </c>
      <c r="H653" s="20">
        <f t="shared" si="62"/>
        <v>0</v>
      </c>
      <c r="I653" s="20">
        <f t="shared" si="63"/>
        <v>0</v>
      </c>
    </row>
    <row r="654" spans="1:9">
      <c r="A654" s="15" t="s">
        <v>1105</v>
      </c>
      <c r="B654" s="132">
        <v>619967</v>
      </c>
      <c r="C654" s="95"/>
      <c r="E654" s="20"/>
      <c r="F654" s="99">
        <f>+'[32]Trial Balance'!B657</f>
        <v>619967</v>
      </c>
      <c r="H654" s="20">
        <f t="shared" si="62"/>
        <v>0</v>
      </c>
      <c r="I654" s="20">
        <f t="shared" si="63"/>
        <v>0</v>
      </c>
    </row>
    <row r="655" spans="1:9">
      <c r="A655" s="15" t="s">
        <v>1106</v>
      </c>
      <c r="B655" s="132">
        <v>388999</v>
      </c>
      <c r="C655" s="95"/>
      <c r="D655" s="98"/>
      <c r="F655" s="99">
        <f>+'[32]Trial Balance'!B658</f>
        <v>388999</v>
      </c>
      <c r="H655" s="20">
        <f t="shared" si="62"/>
        <v>0</v>
      </c>
      <c r="I655" s="20">
        <f t="shared" si="63"/>
        <v>0</v>
      </c>
    </row>
    <row r="656" spans="1:9">
      <c r="A656" s="15" t="s">
        <v>1107</v>
      </c>
      <c r="B656" s="132">
        <v>523881</v>
      </c>
      <c r="C656" s="95"/>
      <c r="F656" s="99">
        <f>+'[32]Trial Balance'!B659</f>
        <v>523881</v>
      </c>
      <c r="H656" s="20">
        <f t="shared" si="62"/>
        <v>0</v>
      </c>
      <c r="I656" s="20">
        <f t="shared" si="63"/>
        <v>0</v>
      </c>
    </row>
    <row r="657" spans="1:9">
      <c r="A657" s="15" t="s">
        <v>1108</v>
      </c>
      <c r="B657" s="132">
        <v>2705426</v>
      </c>
      <c r="C657" s="95"/>
      <c r="F657" s="99">
        <f>+'[32]Trial Balance'!B660</f>
        <v>2705426</v>
      </c>
      <c r="H657" s="20">
        <f t="shared" si="62"/>
        <v>0</v>
      </c>
      <c r="I657" s="20">
        <f t="shared" si="63"/>
        <v>0</v>
      </c>
    </row>
    <row r="658" spans="1:9">
      <c r="A658" s="15" t="s">
        <v>1109</v>
      </c>
      <c r="B658" s="132">
        <v>1485271</v>
      </c>
      <c r="C658" s="95"/>
      <c r="F658" s="99">
        <f>+'[32]Trial Balance'!B661</f>
        <v>1485271</v>
      </c>
      <c r="H658" s="20">
        <f t="shared" si="62"/>
        <v>0</v>
      </c>
      <c r="I658" s="20">
        <f t="shared" si="63"/>
        <v>0</v>
      </c>
    </row>
    <row r="659" spans="1:9">
      <c r="A659" s="15" t="s">
        <v>1110</v>
      </c>
      <c r="B659" s="132">
        <v>2542905</v>
      </c>
      <c r="C659" s="95"/>
      <c r="F659" s="99">
        <f>+'[32]Trial Balance'!B662</f>
        <v>2542905</v>
      </c>
      <c r="H659" s="20">
        <f t="shared" si="62"/>
        <v>0</v>
      </c>
      <c r="I659" s="20">
        <f t="shared" si="63"/>
        <v>0</v>
      </c>
    </row>
    <row r="660" spans="1:9">
      <c r="A660" s="15" t="s">
        <v>1111</v>
      </c>
      <c r="B660" s="132">
        <v>480466</v>
      </c>
      <c r="C660" s="95"/>
      <c r="F660" s="99">
        <f>+'[32]Trial Balance'!B663</f>
        <v>480466</v>
      </c>
      <c r="H660" s="20">
        <f t="shared" si="62"/>
        <v>0</v>
      </c>
      <c r="I660" s="20">
        <f t="shared" si="63"/>
        <v>0</v>
      </c>
    </row>
    <row r="661" spans="1:9">
      <c r="A661" s="15" t="s">
        <v>1112</v>
      </c>
      <c r="B661" s="132">
        <v>4268111.2</v>
      </c>
      <c r="C661" s="95"/>
      <c r="F661" s="99">
        <f>+'[32]Trial Balance'!B664</f>
        <v>4268111.2</v>
      </c>
      <c r="H661" s="20">
        <f t="shared" si="62"/>
        <v>0</v>
      </c>
      <c r="I661" s="20">
        <f t="shared" si="63"/>
        <v>0</v>
      </c>
    </row>
    <row r="662" spans="1:9">
      <c r="A662" s="1" t="s">
        <v>189</v>
      </c>
      <c r="D662" s="109"/>
      <c r="E662" s="105">
        <v>5247898</v>
      </c>
      <c r="H662" s="20"/>
      <c r="I662" s="20"/>
    </row>
    <row r="663" spans="1:9">
      <c r="A663" s="13" t="s">
        <v>239</v>
      </c>
      <c r="B663" s="96"/>
      <c r="C663" s="127">
        <v>50</v>
      </c>
      <c r="F663" s="99">
        <f>+'[32]Trial Balance'!B666</f>
        <v>0</v>
      </c>
      <c r="G663" s="99">
        <f>+'[32]Trial Balance'!C666</f>
        <v>50</v>
      </c>
      <c r="H663" s="20">
        <f t="shared" ref="H663:I666" si="64">+B663-F663</f>
        <v>0</v>
      </c>
      <c r="I663" s="20">
        <f t="shared" si="64"/>
        <v>0</v>
      </c>
    </row>
    <row r="664" spans="1:9">
      <c r="A664" s="13" t="s">
        <v>190</v>
      </c>
      <c r="B664" s="96"/>
      <c r="C664" s="127">
        <v>4797848</v>
      </c>
      <c r="F664" s="99">
        <f>+'[32]Trial Balance'!B667</f>
        <v>0</v>
      </c>
      <c r="G664" s="99">
        <f>+'[32]Trial Balance'!C667</f>
        <v>4797848</v>
      </c>
      <c r="H664" s="20">
        <f t="shared" si="64"/>
        <v>0</v>
      </c>
      <c r="I664" s="20">
        <f t="shared" si="64"/>
        <v>0</v>
      </c>
    </row>
    <row r="665" spans="1:9">
      <c r="A665" s="13" t="s">
        <v>1113</v>
      </c>
      <c r="B665" s="96"/>
      <c r="C665" s="127">
        <v>150000</v>
      </c>
      <c r="F665" s="99">
        <f>+'[32]Trial Balance'!B668</f>
        <v>0</v>
      </c>
      <c r="G665" s="99">
        <f>+'[32]Trial Balance'!C668</f>
        <v>150000</v>
      </c>
      <c r="H665" s="20">
        <f t="shared" si="64"/>
        <v>0</v>
      </c>
      <c r="I665" s="20">
        <f t="shared" si="64"/>
        <v>0</v>
      </c>
    </row>
    <row r="666" spans="1:9">
      <c r="A666" s="13" t="s">
        <v>191</v>
      </c>
      <c r="B666" s="96"/>
      <c r="C666" s="127">
        <v>300000</v>
      </c>
      <c r="F666" s="99">
        <f>+'[32]Trial Balance'!B669</f>
        <v>0</v>
      </c>
      <c r="G666" s="99">
        <f>+'[32]Trial Balance'!C669</f>
        <v>300000</v>
      </c>
      <c r="H666" s="20">
        <f t="shared" si="64"/>
        <v>0</v>
      </c>
      <c r="I666" s="20">
        <f t="shared" si="64"/>
        <v>0</v>
      </c>
    </row>
    <row r="667" spans="1:9">
      <c r="A667" s="1" t="s">
        <v>192</v>
      </c>
      <c r="D667" s="105">
        <v>46789057.280000001</v>
      </c>
      <c r="E667" s="109"/>
      <c r="H667" s="20"/>
      <c r="I667" s="20"/>
    </row>
    <row r="668" spans="1:9">
      <c r="A668" s="14" t="s">
        <v>193</v>
      </c>
      <c r="B668" s="132">
        <v>288853.53000000003</v>
      </c>
      <c r="C668" s="95"/>
      <c r="F668" s="99">
        <f>+'[32]Trial Balance'!B671</f>
        <v>288853.53000000003</v>
      </c>
      <c r="G668" s="99">
        <f>+'[32]Trial Balance'!C671</f>
        <v>0</v>
      </c>
      <c r="H668" s="20">
        <f t="shared" ref="H668:I670" si="65">+B668-F668</f>
        <v>0</v>
      </c>
      <c r="I668" s="20">
        <f t="shared" si="65"/>
        <v>0</v>
      </c>
    </row>
    <row r="669" spans="1:9">
      <c r="A669" s="14" t="s">
        <v>194</v>
      </c>
      <c r="B669" s="132">
        <v>300322</v>
      </c>
      <c r="C669" s="95"/>
      <c r="F669" s="99">
        <f>+'[32]Trial Balance'!B672</f>
        <v>300322</v>
      </c>
      <c r="G669" s="99">
        <f>+'[32]Trial Balance'!C672</f>
        <v>0</v>
      </c>
      <c r="H669" s="20">
        <f t="shared" si="65"/>
        <v>0</v>
      </c>
      <c r="I669" s="20">
        <f t="shared" si="65"/>
        <v>0</v>
      </c>
    </row>
    <row r="670" spans="1:9">
      <c r="A670" s="13" t="s">
        <v>195</v>
      </c>
      <c r="B670" s="127">
        <v>58302</v>
      </c>
      <c r="C670" s="96"/>
      <c r="F670" s="99">
        <f>+'[32]Trial Balance'!B673</f>
        <v>58302</v>
      </c>
      <c r="G670" s="99">
        <f>+'[32]Trial Balance'!C673</f>
        <v>0</v>
      </c>
      <c r="H670" s="20">
        <f t="shared" si="65"/>
        <v>0</v>
      </c>
      <c r="I670" s="20">
        <f t="shared" si="65"/>
        <v>0</v>
      </c>
    </row>
    <row r="671" spans="1:9">
      <c r="A671" s="13" t="s">
        <v>1180</v>
      </c>
      <c r="B671" s="127">
        <v>453200</v>
      </c>
      <c r="C671" s="96"/>
      <c r="F671" s="99">
        <f>+'[32]Trial Balance'!B674</f>
        <v>453200</v>
      </c>
      <c r="G671" s="99">
        <f>+'[32]Trial Balance'!C674</f>
        <v>0</v>
      </c>
      <c r="H671" s="20">
        <f t="shared" ref="H671:H689" si="66">+B671-F671</f>
        <v>0</v>
      </c>
      <c r="I671" s="20">
        <f t="shared" ref="I671:I689" si="67">+C671-G671</f>
        <v>0</v>
      </c>
    </row>
    <row r="672" spans="1:9">
      <c r="A672" s="13" t="s">
        <v>196</v>
      </c>
      <c r="B672" s="127">
        <v>15645</v>
      </c>
      <c r="C672" s="96"/>
      <c r="F672" s="99">
        <f>+'[32]Trial Balance'!B675</f>
        <v>15645</v>
      </c>
      <c r="G672" s="99">
        <f>+'[32]Trial Balance'!C675</f>
        <v>0</v>
      </c>
      <c r="H672" s="20">
        <f t="shared" si="66"/>
        <v>0</v>
      </c>
      <c r="I672" s="20">
        <f t="shared" si="67"/>
        <v>0</v>
      </c>
    </row>
    <row r="673" spans="1:9">
      <c r="A673" s="13" t="s">
        <v>893</v>
      </c>
      <c r="B673" s="127">
        <v>240443</v>
      </c>
      <c r="C673" s="96"/>
      <c r="F673" s="99">
        <f>+'[32]Trial Balance'!B676</f>
        <v>240443</v>
      </c>
      <c r="G673" s="99">
        <f>+'[32]Trial Balance'!C676</f>
        <v>0</v>
      </c>
      <c r="H673" s="20">
        <f t="shared" si="66"/>
        <v>0</v>
      </c>
      <c r="I673" s="20">
        <f t="shared" si="67"/>
        <v>0</v>
      </c>
    </row>
    <row r="674" spans="1:9">
      <c r="A674" s="13" t="s">
        <v>197</v>
      </c>
      <c r="B674" s="127">
        <v>1260000</v>
      </c>
      <c r="C674" s="96"/>
      <c r="F674" s="99">
        <f>+'[32]Trial Balance'!B677</f>
        <v>1260000</v>
      </c>
      <c r="G674" s="99">
        <f>+'[32]Trial Balance'!C677</f>
        <v>0</v>
      </c>
      <c r="H674" s="20">
        <f t="shared" si="66"/>
        <v>0</v>
      </c>
      <c r="I674" s="20">
        <f t="shared" si="67"/>
        <v>0</v>
      </c>
    </row>
    <row r="675" spans="1:9">
      <c r="A675" s="13" t="s">
        <v>198</v>
      </c>
      <c r="B675" s="127">
        <v>25960</v>
      </c>
      <c r="C675" s="96"/>
      <c r="F675" s="99">
        <f>+'[32]Trial Balance'!B678</f>
        <v>25960</v>
      </c>
      <c r="G675" s="99">
        <f>+'[32]Trial Balance'!C678</f>
        <v>0</v>
      </c>
      <c r="H675" s="20">
        <f t="shared" si="66"/>
        <v>0</v>
      </c>
      <c r="I675" s="20">
        <f t="shared" si="67"/>
        <v>0</v>
      </c>
    </row>
    <row r="676" spans="1:9">
      <c r="A676" s="13" t="s">
        <v>199</v>
      </c>
      <c r="B676" s="127">
        <v>150000</v>
      </c>
      <c r="C676" s="96"/>
      <c r="F676" s="99">
        <f>+'[32]Trial Balance'!B679</f>
        <v>150000</v>
      </c>
      <c r="G676" s="99">
        <f>+'[32]Trial Balance'!C679</f>
        <v>0</v>
      </c>
      <c r="H676" s="20">
        <f t="shared" si="66"/>
        <v>0</v>
      </c>
      <c r="I676" s="20">
        <f t="shared" si="67"/>
        <v>0</v>
      </c>
    </row>
    <row r="677" spans="1:9">
      <c r="A677" s="13" t="s">
        <v>200</v>
      </c>
      <c r="B677" s="127">
        <v>12480</v>
      </c>
      <c r="C677" s="96"/>
      <c r="F677" s="99">
        <f>+'[32]Trial Balance'!B680</f>
        <v>12480</v>
      </c>
      <c r="G677" s="99">
        <f>+'[32]Trial Balance'!C680</f>
        <v>0</v>
      </c>
      <c r="H677" s="20">
        <f t="shared" si="66"/>
        <v>0</v>
      </c>
      <c r="I677" s="20">
        <f t="shared" si="67"/>
        <v>0</v>
      </c>
    </row>
    <row r="678" spans="1:9">
      <c r="A678" s="13" t="s">
        <v>1114</v>
      </c>
      <c r="B678" s="127">
        <v>12605</v>
      </c>
      <c r="C678" s="96"/>
      <c r="F678" s="99">
        <f>+'[32]Trial Balance'!B681</f>
        <v>12605</v>
      </c>
      <c r="G678" s="99">
        <f>+'[32]Trial Balance'!C681</f>
        <v>0</v>
      </c>
      <c r="H678" s="20">
        <f t="shared" si="66"/>
        <v>0</v>
      </c>
      <c r="I678" s="20">
        <f t="shared" si="67"/>
        <v>0</v>
      </c>
    </row>
    <row r="679" spans="1:9">
      <c r="A679" s="13" t="s">
        <v>201</v>
      </c>
      <c r="B679" s="127">
        <v>71310.850000000006</v>
      </c>
      <c r="C679" s="96"/>
      <c r="F679" s="99">
        <f>+'[32]Trial Balance'!B682</f>
        <v>71310.850000000006</v>
      </c>
      <c r="G679" s="99">
        <f>+'[32]Trial Balance'!C682</f>
        <v>0</v>
      </c>
      <c r="H679" s="20">
        <f t="shared" si="66"/>
        <v>0</v>
      </c>
      <c r="I679" s="20">
        <f t="shared" si="67"/>
        <v>0</v>
      </c>
    </row>
    <row r="680" spans="1:9">
      <c r="A680" s="13" t="s">
        <v>202</v>
      </c>
      <c r="B680" s="127">
        <v>321999</v>
      </c>
      <c r="C680" s="96"/>
      <c r="F680" s="99">
        <f>+'[32]Trial Balance'!B683</f>
        <v>321999</v>
      </c>
      <c r="G680" s="99">
        <f>+'[32]Trial Balance'!C683</f>
        <v>0</v>
      </c>
      <c r="H680" s="20">
        <f t="shared" si="66"/>
        <v>0</v>
      </c>
      <c r="I680" s="20">
        <f t="shared" si="67"/>
        <v>0</v>
      </c>
    </row>
    <row r="681" spans="1:9">
      <c r="A681" s="13" t="s">
        <v>203</v>
      </c>
      <c r="B681" s="127">
        <v>20070</v>
      </c>
      <c r="C681" s="96"/>
      <c r="F681" s="99">
        <f>+'[32]Trial Balance'!B684</f>
        <v>20070</v>
      </c>
      <c r="G681" s="99">
        <f>+'[32]Trial Balance'!C684</f>
        <v>0</v>
      </c>
      <c r="H681" s="20">
        <f t="shared" si="66"/>
        <v>0</v>
      </c>
      <c r="I681" s="20">
        <f t="shared" si="67"/>
        <v>0</v>
      </c>
    </row>
    <row r="682" spans="1:9">
      <c r="A682" s="13" t="s">
        <v>1115</v>
      </c>
      <c r="B682" s="127">
        <f>0.35</f>
        <v>0.35</v>
      </c>
      <c r="C682" s="96"/>
      <c r="F682" s="99">
        <f>+'[32]Trial Balance'!B685</f>
        <v>0.35</v>
      </c>
      <c r="G682" s="99">
        <f>+'[32]Trial Balance'!C685</f>
        <v>0</v>
      </c>
      <c r="H682" s="20">
        <f t="shared" si="66"/>
        <v>0</v>
      </c>
      <c r="I682" s="20">
        <f t="shared" si="67"/>
        <v>0</v>
      </c>
    </row>
    <row r="683" spans="1:9">
      <c r="A683" s="97" t="s">
        <v>204</v>
      </c>
      <c r="B683" s="127">
        <v>29509812</v>
      </c>
      <c r="C683" s="96"/>
      <c r="F683" s="99">
        <f>+'[32]Trial Balance'!B686</f>
        <v>29509812</v>
      </c>
      <c r="G683" s="99">
        <f>+'[32]Trial Balance'!C686</f>
        <v>0</v>
      </c>
      <c r="H683" s="20">
        <f t="shared" si="66"/>
        <v>0</v>
      </c>
      <c r="I683" s="20">
        <f t="shared" si="67"/>
        <v>0</v>
      </c>
    </row>
    <row r="684" spans="1:9">
      <c r="A684" s="13" t="s">
        <v>1116</v>
      </c>
      <c r="B684" s="127">
        <v>315440</v>
      </c>
      <c r="C684" s="96"/>
      <c r="F684" s="99">
        <f>+'[32]Trial Balance'!B687</f>
        <v>315440</v>
      </c>
      <c r="G684" s="99">
        <f>+'[32]Trial Balance'!C687</f>
        <v>0</v>
      </c>
      <c r="H684" s="20">
        <f t="shared" si="66"/>
        <v>0</v>
      </c>
      <c r="I684" s="20">
        <f t="shared" si="67"/>
        <v>0</v>
      </c>
    </row>
    <row r="685" spans="1:9">
      <c r="A685" s="97" t="s">
        <v>206</v>
      </c>
      <c r="B685" s="127">
        <v>147313</v>
      </c>
      <c r="C685" s="96"/>
      <c r="F685" s="99">
        <f>+'[32]Trial Balance'!B688</f>
        <v>147313</v>
      </c>
      <c r="G685" s="99">
        <f>+'[32]Trial Balance'!C688</f>
        <v>0</v>
      </c>
      <c r="H685" s="20">
        <f t="shared" si="66"/>
        <v>0</v>
      </c>
      <c r="I685" s="20">
        <f t="shared" si="67"/>
        <v>0</v>
      </c>
    </row>
    <row r="686" spans="1:9">
      <c r="A686" s="13" t="s">
        <v>207</v>
      </c>
      <c r="B686" s="135">
        <v>1029180</v>
      </c>
      <c r="C686" s="96"/>
      <c r="F686" s="99">
        <f>+'[32]Trial Balance'!B689</f>
        <v>1029180</v>
      </c>
      <c r="G686" s="99">
        <f>+'[32]Trial Balance'!C689</f>
        <v>0</v>
      </c>
      <c r="H686" s="20">
        <f t="shared" si="66"/>
        <v>0</v>
      </c>
      <c r="I686" s="20">
        <f t="shared" si="67"/>
        <v>0</v>
      </c>
    </row>
    <row r="687" spans="1:9">
      <c r="A687" s="13" t="s">
        <v>208</v>
      </c>
      <c r="B687" s="127">
        <v>320661</v>
      </c>
      <c r="C687" s="96"/>
      <c r="F687" s="99">
        <f>+'[32]Trial Balance'!B690</f>
        <v>320661</v>
      </c>
      <c r="G687" s="99">
        <f>+'[32]Trial Balance'!C690</f>
        <v>0</v>
      </c>
      <c r="H687" s="20">
        <f t="shared" si="66"/>
        <v>0</v>
      </c>
      <c r="I687" s="20">
        <f t="shared" si="67"/>
        <v>0</v>
      </c>
    </row>
    <row r="688" spans="1:9">
      <c r="A688" s="13" t="s">
        <v>209</v>
      </c>
      <c r="B688" s="127">
        <v>4836663</v>
      </c>
      <c r="C688" s="96"/>
      <c r="F688" s="99">
        <f>+'[32]Trial Balance'!B691</f>
        <v>4836663</v>
      </c>
      <c r="G688" s="99">
        <f>+'[32]Trial Balance'!C691</f>
        <v>0</v>
      </c>
      <c r="H688" s="20">
        <f t="shared" si="66"/>
        <v>0</v>
      </c>
      <c r="I688" s="20">
        <f t="shared" si="67"/>
        <v>0</v>
      </c>
    </row>
    <row r="689" spans="1:10">
      <c r="A689" s="13" t="s">
        <v>210</v>
      </c>
      <c r="B689" s="127">
        <v>66047.55</v>
      </c>
      <c r="C689" s="96"/>
      <c r="F689" s="99">
        <f>+'[32]Trial Balance'!B692</f>
        <v>66047.55</v>
      </c>
      <c r="G689" s="99">
        <f>+'[32]Trial Balance'!C692</f>
        <v>0</v>
      </c>
      <c r="H689" s="20">
        <f t="shared" si="66"/>
        <v>0</v>
      </c>
      <c r="I689" s="20">
        <f t="shared" si="67"/>
        <v>0</v>
      </c>
    </row>
    <row r="690" spans="1:10">
      <c r="A690" s="13" t="s">
        <v>30</v>
      </c>
      <c r="B690" s="127">
        <v>8620164</v>
      </c>
      <c r="C690" s="96"/>
      <c r="F690" s="125">
        <f>+'[32]Trial Balance'!B693</f>
        <v>8620164</v>
      </c>
      <c r="G690" s="99">
        <f>+'[32]Trial Balance'!C693</f>
        <v>0</v>
      </c>
      <c r="H690" s="20">
        <f t="shared" ref="H690:H700" si="68">+B690-F690</f>
        <v>0</v>
      </c>
      <c r="I690" s="20">
        <f t="shared" ref="I690:I700" si="69">+C690-G690</f>
        <v>0</v>
      </c>
    </row>
    <row r="691" spans="1:10">
      <c r="A691" s="13" t="s">
        <v>211</v>
      </c>
      <c r="B691" s="127">
        <v>256000</v>
      </c>
      <c r="C691" s="96"/>
      <c r="F691" s="99">
        <f>+'[32]Trial Balance'!B694</f>
        <v>256000</v>
      </c>
      <c r="G691" s="99">
        <f>+'[32]Trial Balance'!C694</f>
        <v>0</v>
      </c>
      <c r="H691" s="20">
        <f t="shared" si="68"/>
        <v>0</v>
      </c>
      <c r="I691" s="20">
        <f t="shared" si="69"/>
        <v>0</v>
      </c>
    </row>
    <row r="692" spans="1:10">
      <c r="A692" s="13" t="s">
        <v>212</v>
      </c>
      <c r="B692" s="127">
        <v>227113</v>
      </c>
      <c r="C692" s="96"/>
      <c r="F692" s="99">
        <f>+'[32]Trial Balance'!B695</f>
        <v>227113</v>
      </c>
      <c r="G692" s="99">
        <f>+'[32]Trial Balance'!C695</f>
        <v>0</v>
      </c>
      <c r="H692" s="20">
        <f t="shared" si="68"/>
        <v>0</v>
      </c>
      <c r="I692" s="20">
        <f t="shared" si="69"/>
        <v>0</v>
      </c>
    </row>
    <row r="693" spans="1:10">
      <c r="A693" s="13" t="s">
        <v>57</v>
      </c>
      <c r="B693" s="127">
        <v>1403532</v>
      </c>
      <c r="C693" s="96"/>
      <c r="F693" s="99">
        <f>+'[32]Trial Balance'!B696</f>
        <v>1403532</v>
      </c>
      <c r="G693" s="99">
        <f>+'[32]Trial Balance'!C696</f>
        <v>0</v>
      </c>
      <c r="H693" s="20">
        <f t="shared" si="68"/>
        <v>0</v>
      </c>
      <c r="I693" s="20">
        <f t="shared" si="69"/>
        <v>0</v>
      </c>
    </row>
    <row r="694" spans="1:10">
      <c r="A694" s="13" t="s">
        <v>930</v>
      </c>
      <c r="B694" s="127">
        <v>616125</v>
      </c>
      <c r="C694" s="96"/>
      <c r="F694" s="99">
        <f>+'[32]Trial Balance'!B697</f>
        <v>616125</v>
      </c>
      <c r="G694" s="99">
        <f>+'[32]Trial Balance'!C697</f>
        <v>0</v>
      </c>
      <c r="H694" s="20">
        <f t="shared" si="68"/>
        <v>0</v>
      </c>
      <c r="I694" s="20">
        <f t="shared" si="69"/>
        <v>0</v>
      </c>
    </row>
    <row r="695" spans="1:10">
      <c r="A695" s="13" t="s">
        <v>929</v>
      </c>
      <c r="B695" s="127">
        <v>14560</v>
      </c>
      <c r="C695" s="96"/>
      <c r="F695" s="99">
        <f>+'[32]Trial Balance'!B698</f>
        <v>14560</v>
      </c>
      <c r="G695" s="99">
        <f>+'[32]Trial Balance'!C698</f>
        <v>0</v>
      </c>
      <c r="H695" s="20">
        <f t="shared" si="68"/>
        <v>0</v>
      </c>
      <c r="I695" s="20">
        <f t="shared" si="69"/>
        <v>0</v>
      </c>
    </row>
    <row r="696" spans="1:10">
      <c r="A696" s="13" t="s">
        <v>213</v>
      </c>
      <c r="B696" s="127">
        <v>341943</v>
      </c>
      <c r="C696" s="96"/>
      <c r="F696" s="99">
        <f>+'[32]Trial Balance'!B699</f>
        <v>341943</v>
      </c>
      <c r="G696" s="99">
        <f>+'[32]Trial Balance'!C699</f>
        <v>0</v>
      </c>
      <c r="H696" s="20">
        <f t="shared" si="68"/>
        <v>0</v>
      </c>
      <c r="I696" s="20">
        <f t="shared" si="69"/>
        <v>0</v>
      </c>
    </row>
    <row r="697" spans="1:10">
      <c r="A697" s="13" t="s">
        <v>928</v>
      </c>
      <c r="B697" s="127">
        <v>870818</v>
      </c>
      <c r="C697" s="96"/>
      <c r="F697" s="99">
        <f>+'[32]Trial Balance'!B700</f>
        <v>870818</v>
      </c>
      <c r="G697" s="99">
        <f>+'[32]Trial Balance'!C700</f>
        <v>0</v>
      </c>
      <c r="H697" s="20">
        <f t="shared" si="68"/>
        <v>0</v>
      </c>
      <c r="I697" s="20">
        <f t="shared" si="69"/>
        <v>0</v>
      </c>
    </row>
    <row r="698" spans="1:10">
      <c r="A698" s="13" t="s">
        <v>77</v>
      </c>
      <c r="B698" s="127">
        <v>354737</v>
      </c>
      <c r="C698" s="96"/>
      <c r="F698" s="99">
        <f>+'[32]Trial Balance'!B701</f>
        <v>354737</v>
      </c>
      <c r="G698" s="99">
        <f>+'[32]Trial Balance'!C701</f>
        <v>0</v>
      </c>
      <c r="H698" s="20">
        <f t="shared" si="68"/>
        <v>0</v>
      </c>
      <c r="I698" s="20">
        <f t="shared" si="69"/>
        <v>0</v>
      </c>
    </row>
    <row r="699" spans="1:10">
      <c r="A699" s="13" t="s">
        <v>71</v>
      </c>
      <c r="B699" s="127">
        <v>1200493</v>
      </c>
      <c r="C699" s="96"/>
      <c r="F699" s="99">
        <f>+'[32]Trial Balance'!B702</f>
        <v>1200493</v>
      </c>
      <c r="G699" s="99">
        <f>+'[32]Trial Balance'!C702</f>
        <v>0</v>
      </c>
      <c r="H699" s="20">
        <f t="shared" si="68"/>
        <v>0</v>
      </c>
      <c r="I699" s="20">
        <f t="shared" si="69"/>
        <v>0</v>
      </c>
    </row>
    <row r="700" spans="1:10">
      <c r="A700" s="13" t="s">
        <v>927</v>
      </c>
      <c r="B700" s="127">
        <v>1260938</v>
      </c>
      <c r="C700" s="96"/>
      <c r="F700" s="99">
        <f>+'[32]Trial Balance'!B703</f>
        <v>1260938</v>
      </c>
      <c r="G700" s="99">
        <f>+'[32]Trial Balance'!C703</f>
        <v>0</v>
      </c>
      <c r="H700" s="20">
        <f t="shared" si="68"/>
        <v>0</v>
      </c>
      <c r="I700" s="20">
        <f t="shared" si="69"/>
        <v>0</v>
      </c>
    </row>
    <row r="701" spans="1:10">
      <c r="A701" s="13" t="s">
        <v>926</v>
      </c>
      <c r="B701" s="127">
        <v>1746329</v>
      </c>
      <c r="C701" s="96"/>
      <c r="F701" s="99">
        <f>+'[32]Trial Balance'!B704</f>
        <v>1746329</v>
      </c>
      <c r="G701" s="99">
        <f>+'[32]Trial Balance'!C704</f>
        <v>0</v>
      </c>
      <c r="H701" s="20">
        <f>+B701-F701</f>
        <v>0</v>
      </c>
      <c r="I701" s="20">
        <f>+C701-G701</f>
        <v>0</v>
      </c>
    </row>
    <row r="702" spans="1:10">
      <c r="A702" s="2" t="s">
        <v>74</v>
      </c>
      <c r="B702" s="124">
        <f>7147454.15</f>
        <v>7147454.1500000004</v>
      </c>
      <c r="C702" s="112"/>
      <c r="D702" s="98"/>
      <c r="E702" s="98"/>
      <c r="F702" s="99">
        <f>+'[32]Trial Balance'!B705</f>
        <v>7147454.1500000004</v>
      </c>
      <c r="G702" s="99">
        <f>+'[32]Trial Balance'!C705</f>
        <v>0</v>
      </c>
      <c r="H702" s="20">
        <f>+B702-F702</f>
        <v>0</v>
      </c>
      <c r="I702" s="20">
        <f>+C702-G702</f>
        <v>0</v>
      </c>
    </row>
    <row r="703" spans="1:10">
      <c r="A703" s="19" t="s">
        <v>75</v>
      </c>
      <c r="B703" s="116">
        <v>762267093.11000001</v>
      </c>
      <c r="C703" s="116">
        <v>762267093.11000001</v>
      </c>
      <c r="D703" s="98"/>
      <c r="E703" s="98"/>
      <c r="H703" s="20"/>
      <c r="I703" s="20"/>
    </row>
    <row r="704" spans="1:10">
      <c r="A704" s="118"/>
      <c r="B704" s="119">
        <f>SUM(B8:B702)</f>
        <v>771058785.14999998</v>
      </c>
      <c r="C704" s="119">
        <f>SUM(C8:C702)</f>
        <v>788358794.99000001</v>
      </c>
      <c r="D704" s="98">
        <f>+B704-C704</f>
        <v>-17300009.840000033</v>
      </c>
      <c r="E704" s="98"/>
      <c r="F704" s="119">
        <f>SUM(F8:F702)</f>
        <v>771058789.18999994</v>
      </c>
      <c r="G704" s="119">
        <f>SUM(G8:G702)</f>
        <v>788608789.19000006</v>
      </c>
      <c r="H704" s="119">
        <f>SUM(H8:H702)</f>
        <v>-4.0400000007575727</v>
      </c>
      <c r="I704" s="119">
        <f>SUM(I8:I702)</f>
        <v>-249994.2</v>
      </c>
      <c r="J704" s="136">
        <f>+H704-I704</f>
        <v>249990.15999999925</v>
      </c>
    </row>
    <row r="705" spans="1:9">
      <c r="A705" s="118"/>
      <c r="B705" s="119"/>
      <c r="C705" s="119"/>
      <c r="D705" s="98">
        <v>9.84</v>
      </c>
      <c r="E705" s="98"/>
      <c r="F705" s="99">
        <f>+'[32]Trial Balance'!B706</f>
        <v>788614984.19000006</v>
      </c>
      <c r="G705" s="99">
        <f>+'[32]Trial Balance'!C706</f>
        <v>788614984.19000006</v>
      </c>
      <c r="I705" s="20"/>
    </row>
    <row r="706" spans="1:9">
      <c r="B706" s="117"/>
      <c r="C706" s="117"/>
      <c r="D706" s="117"/>
      <c r="F706" s="99">
        <f>+F704-F705</f>
        <v>-17556195.000000119</v>
      </c>
      <c r="G706" s="99">
        <f>+G704-G705</f>
        <v>-6195</v>
      </c>
      <c r="I706" s="20"/>
    </row>
    <row r="707" spans="1:9">
      <c r="B707" s="117"/>
      <c r="C707" s="117"/>
      <c r="H707" s="20">
        <f>+F704-G704</f>
        <v>-17550000.000000119</v>
      </c>
      <c r="I707" s="20"/>
    </row>
    <row r="708" spans="1:9">
      <c r="B708" s="117"/>
      <c r="C708" s="117"/>
      <c r="D708" s="117"/>
      <c r="H708" s="20">
        <f>+F705-G705</f>
        <v>0</v>
      </c>
      <c r="I708" s="20"/>
    </row>
    <row r="709" spans="1:9">
      <c r="B709" s="117"/>
      <c r="C709" s="117"/>
      <c r="H709" s="20">
        <f>+F706-G706</f>
        <v>-17550000.000000119</v>
      </c>
      <c r="I709" s="20"/>
    </row>
    <row r="710" spans="1:9">
      <c r="H710" s="20"/>
      <c r="I710" s="20"/>
    </row>
    <row r="711" spans="1:9">
      <c r="H711" s="20"/>
      <c r="I711" s="20"/>
    </row>
    <row r="712" spans="1:9">
      <c r="H712" s="20"/>
      <c r="I712" s="20"/>
    </row>
    <row r="713" spans="1:9">
      <c r="H713" s="20"/>
      <c r="I713" s="20"/>
    </row>
    <row r="714" spans="1:9">
      <c r="H714" s="20"/>
      <c r="I714" s="20"/>
    </row>
    <row r="715" spans="1:9">
      <c r="H715" s="20"/>
      <c r="I715" s="20"/>
    </row>
    <row r="716" spans="1:9">
      <c r="H716" s="20"/>
      <c r="I716" s="20"/>
    </row>
    <row r="717" spans="1:9">
      <c r="H717" s="20"/>
      <c r="I717" s="20"/>
    </row>
    <row r="718" spans="1:9">
      <c r="H718" s="20"/>
      <c r="I718" s="20"/>
    </row>
    <row r="719" spans="1:9">
      <c r="H719" s="20"/>
      <c r="I719" s="20"/>
    </row>
    <row r="720" spans="1:9">
      <c r="H720" s="20"/>
      <c r="I720" s="20"/>
    </row>
    <row r="721" spans="8:9">
      <c r="H721" s="20"/>
      <c r="I721" s="20"/>
    </row>
    <row r="722" spans="8:9">
      <c r="H722" s="20"/>
      <c r="I722" s="20"/>
    </row>
    <row r="723" spans="8:9">
      <c r="H723" s="20"/>
      <c r="I723" s="20"/>
    </row>
    <row r="724" spans="8:9">
      <c r="H724" s="20"/>
      <c r="I724" s="20"/>
    </row>
    <row r="725" spans="8:9">
      <c r="H725" s="20"/>
      <c r="I725" s="20"/>
    </row>
    <row r="726" spans="8:9">
      <c r="H726" s="20"/>
      <c r="I726" s="20"/>
    </row>
    <row r="727" spans="8:9">
      <c r="H727" s="20"/>
      <c r="I727" s="20"/>
    </row>
    <row r="728" spans="8:9">
      <c r="H728" s="20"/>
      <c r="I728" s="20"/>
    </row>
    <row r="729" spans="8:9">
      <c r="H729" s="20"/>
      <c r="I729" s="20"/>
    </row>
    <row r="730" spans="8:9">
      <c r="H730" s="20"/>
      <c r="I730" s="20"/>
    </row>
    <row r="731" spans="8:9">
      <c r="H731" s="20"/>
      <c r="I731" s="20"/>
    </row>
    <row r="732" spans="8:9">
      <c r="H732" s="20"/>
      <c r="I732" s="20"/>
    </row>
    <row r="733" spans="8:9">
      <c r="H733" s="20"/>
      <c r="I733" s="20"/>
    </row>
    <row r="734" spans="8:9">
      <c r="H734" s="20"/>
      <c r="I734" s="20"/>
    </row>
    <row r="735" spans="8:9">
      <c r="H735" s="20"/>
      <c r="I735" s="20"/>
    </row>
    <row r="736" spans="8:9">
      <c r="H736" s="20"/>
      <c r="I736" s="20"/>
    </row>
    <row r="737" spans="8:9">
      <c r="H737" s="20"/>
      <c r="I737" s="20"/>
    </row>
    <row r="738" spans="8:9">
      <c r="H738" s="20"/>
      <c r="I738" s="20"/>
    </row>
    <row r="739" spans="8:9">
      <c r="H739" s="20"/>
      <c r="I739" s="20"/>
    </row>
    <row r="740" spans="8:9">
      <c r="H740" s="20"/>
      <c r="I740" s="20"/>
    </row>
    <row r="741" spans="8:9">
      <c r="H741" s="20"/>
      <c r="I741" s="20"/>
    </row>
    <row r="742" spans="8:9">
      <c r="H742" s="20"/>
      <c r="I742" s="20"/>
    </row>
    <row r="743" spans="8:9">
      <c r="H743" s="20"/>
      <c r="I743" s="20"/>
    </row>
    <row r="744" spans="8:9">
      <c r="H744" s="20"/>
      <c r="I744" s="20"/>
    </row>
    <row r="745" spans="8:9">
      <c r="H745" s="20"/>
      <c r="I745" s="20"/>
    </row>
    <row r="746" spans="8:9">
      <c r="H746" s="20"/>
      <c r="I746" s="20"/>
    </row>
    <row r="747" spans="8:9">
      <c r="H747" s="20"/>
      <c r="I747" s="20"/>
    </row>
    <row r="748" spans="8:9">
      <c r="H748" s="20"/>
      <c r="I748" s="20"/>
    </row>
    <row r="749" spans="8:9">
      <c r="H749" s="20"/>
      <c r="I749" s="20"/>
    </row>
    <row r="750" spans="8:9">
      <c r="H750" s="20"/>
      <c r="I750" s="20"/>
    </row>
    <row r="751" spans="8:9">
      <c r="H751" s="20"/>
      <c r="I751" s="20"/>
    </row>
    <row r="752" spans="8:9">
      <c r="H752" s="20"/>
      <c r="I752" s="20"/>
    </row>
    <row r="753" spans="8:9">
      <c r="H753" s="20"/>
      <c r="I753" s="20"/>
    </row>
    <row r="754" spans="8:9">
      <c r="H754" s="20"/>
      <c r="I754" s="20"/>
    </row>
    <row r="755" spans="8:9">
      <c r="H755" s="20"/>
      <c r="I755" s="20"/>
    </row>
    <row r="756" spans="8:9">
      <c r="H756" s="20"/>
      <c r="I756" s="20"/>
    </row>
    <row r="757" spans="8:9">
      <c r="H757" s="20"/>
      <c r="I757" s="20"/>
    </row>
    <row r="758" spans="8:9">
      <c r="H758" s="20"/>
      <c r="I758" s="20"/>
    </row>
    <row r="759" spans="8:9">
      <c r="H759" s="20"/>
      <c r="I759" s="20"/>
    </row>
    <row r="760" spans="8:9">
      <c r="H760" s="20"/>
      <c r="I760" s="20"/>
    </row>
    <row r="761" spans="8:9">
      <c r="H761" s="20"/>
      <c r="I761" s="20"/>
    </row>
    <row r="762" spans="8:9">
      <c r="H762" s="20"/>
      <c r="I762" s="20"/>
    </row>
    <row r="763" spans="8:9">
      <c r="H763" s="20"/>
      <c r="I763" s="20"/>
    </row>
    <row r="764" spans="8:9">
      <c r="H764" s="20"/>
      <c r="I764" s="20"/>
    </row>
    <row r="765" spans="8:9">
      <c r="H765" s="20"/>
      <c r="I765" s="20"/>
    </row>
    <row r="766" spans="8:9">
      <c r="H766" s="20"/>
      <c r="I766" s="20"/>
    </row>
    <row r="767" spans="8:9">
      <c r="H767" s="20"/>
      <c r="I767" s="20"/>
    </row>
    <row r="768" spans="8:9">
      <c r="H768" s="20"/>
      <c r="I768" s="20"/>
    </row>
    <row r="769" spans="8:9">
      <c r="H769" s="20"/>
      <c r="I769" s="20"/>
    </row>
    <row r="770" spans="8:9">
      <c r="H770" s="20"/>
      <c r="I770" s="20"/>
    </row>
    <row r="771" spans="8:9">
      <c r="H771" s="20"/>
      <c r="I771" s="20"/>
    </row>
    <row r="772" spans="8:9">
      <c r="H772" s="20"/>
      <c r="I772" s="20"/>
    </row>
    <row r="773" spans="8:9">
      <c r="H773" s="20"/>
      <c r="I773" s="20"/>
    </row>
    <row r="774" spans="8:9">
      <c r="H774" s="20"/>
      <c r="I774" s="20"/>
    </row>
    <row r="775" spans="8:9">
      <c r="H775" s="20"/>
      <c r="I775" s="20"/>
    </row>
    <row r="776" spans="8:9">
      <c r="H776" s="20"/>
      <c r="I776" s="20"/>
    </row>
    <row r="777" spans="8:9">
      <c r="H777" s="20"/>
      <c r="I777" s="20"/>
    </row>
    <row r="778" spans="8:9">
      <c r="H778" s="20"/>
      <c r="I778" s="20"/>
    </row>
    <row r="779" spans="8:9">
      <c r="H779" s="20"/>
      <c r="I779" s="20"/>
    </row>
    <row r="780" spans="8:9">
      <c r="H780" s="20"/>
      <c r="I780" s="20"/>
    </row>
    <row r="781" spans="8:9">
      <c r="H781" s="20"/>
      <c r="I781" s="20"/>
    </row>
  </sheetData>
  <mergeCells count="6">
    <mergeCell ref="B6:C6"/>
    <mergeCell ref="A1:C1"/>
    <mergeCell ref="A2:C2"/>
    <mergeCell ref="A3:C3"/>
    <mergeCell ref="B4:C4"/>
    <mergeCell ref="B5:C5"/>
  </mergeCells>
  <pageMargins left="0.7" right="0.7" top="0.75" bottom="0.75" header="0.3" footer="0.3"/>
  <pageSetup orientation="portrait" horizontalDpi="180" verticalDpi="18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668"/>
  <sheetViews>
    <sheetView view="pageBreakPreview" topLeftCell="A534" zoomScaleSheetLayoutView="100" workbookViewId="0">
      <selection activeCell="C531" sqref="C531:C548"/>
    </sheetView>
  </sheetViews>
  <sheetFormatPr defaultColWidth="9.44140625" defaultRowHeight="14.4"/>
  <cols>
    <col min="1" max="1" width="14.5546875" customWidth="1"/>
    <col min="2" max="2" width="51.44140625" bestFit="1" customWidth="1"/>
    <col min="3" max="4" width="13" bestFit="1" customWidth="1"/>
    <col min="5" max="5" width="18.5546875" customWidth="1"/>
    <col min="7" max="8" width="11.5546875" bestFit="1" customWidth="1"/>
    <col min="9" max="9" width="12" bestFit="1" customWidth="1"/>
    <col min="10" max="10" width="11.5546875" bestFit="1" customWidth="1"/>
  </cols>
  <sheetData>
    <row r="1" spans="1:6" ht="15.6">
      <c r="B1" s="2699" t="s">
        <v>965</v>
      </c>
      <c r="C1" s="2699"/>
      <c r="D1" s="2699"/>
    </row>
    <row r="2" spans="1:6" ht="15.6">
      <c r="B2" s="2699" t="s">
        <v>81</v>
      </c>
      <c r="C2" s="2699"/>
      <c r="D2" s="2699"/>
    </row>
    <row r="3" spans="1:6">
      <c r="B3" s="2700" t="s">
        <v>1377</v>
      </c>
      <c r="C3" s="2700"/>
      <c r="D3" s="2700"/>
    </row>
    <row r="4" spans="1:6">
      <c r="B4" s="10" t="s">
        <v>82</v>
      </c>
      <c r="C4" s="2911" t="s">
        <v>965</v>
      </c>
      <c r="D4" s="2908"/>
    </row>
    <row r="5" spans="1:6">
      <c r="B5" s="11" t="s">
        <v>1</v>
      </c>
      <c r="C5" s="2706" t="s">
        <v>1377</v>
      </c>
      <c r="D5" s="2707"/>
      <c r="E5" s="3231" t="s">
        <v>1642</v>
      </c>
    </row>
    <row r="6" spans="1:6">
      <c r="B6" s="11" t="s">
        <v>82</v>
      </c>
      <c r="C6" s="2708" t="s">
        <v>20</v>
      </c>
      <c r="D6" s="2709"/>
      <c r="E6" s="3231"/>
    </row>
    <row r="7" spans="1:6">
      <c r="B7" s="12" t="s">
        <v>82</v>
      </c>
      <c r="C7" s="101" t="s">
        <v>66</v>
      </c>
      <c r="D7" s="101" t="s">
        <v>67</v>
      </c>
      <c r="E7" s="3231"/>
    </row>
    <row r="8" spans="1:6">
      <c r="B8" s="1" t="s">
        <v>84</v>
      </c>
      <c r="C8" s="102"/>
      <c r="D8" s="103">
        <v>7147460</v>
      </c>
    </row>
    <row r="9" spans="1:6">
      <c r="B9" s="13" t="s">
        <v>85</v>
      </c>
      <c r="C9" s="96"/>
      <c r="D9" s="104">
        <v>7147460</v>
      </c>
      <c r="E9" s="99">
        <f>C9-D9</f>
        <v>-7147460</v>
      </c>
    </row>
    <row r="10" spans="1:6">
      <c r="B10" s="1" t="s">
        <v>86</v>
      </c>
      <c r="C10" s="105">
        <v>4831669.9000000004</v>
      </c>
      <c r="D10" s="105">
        <v>13318014.880000001</v>
      </c>
      <c r="E10" s="99"/>
    </row>
    <row r="11" spans="1:6">
      <c r="B11" s="14" t="s">
        <v>87</v>
      </c>
      <c r="C11" s="95"/>
      <c r="D11" s="95"/>
      <c r="E11" s="99"/>
    </row>
    <row r="12" spans="1:6">
      <c r="B12" s="118" t="s">
        <v>89</v>
      </c>
      <c r="C12" s="105">
        <v>4831669.9000000004</v>
      </c>
      <c r="D12" s="105">
        <v>12844203.74</v>
      </c>
      <c r="E12" s="99"/>
    </row>
    <row r="13" spans="1:6">
      <c r="A13" t="s">
        <v>1548</v>
      </c>
      <c r="B13" s="194" t="s">
        <v>946</v>
      </c>
      <c r="C13" s="201">
        <v>48318</v>
      </c>
      <c r="D13" s="201">
        <v>3605712.93</v>
      </c>
      <c r="E13" s="99"/>
    </row>
    <row r="14" spans="1:6">
      <c r="A14" t="s">
        <v>1643</v>
      </c>
      <c r="B14" s="190" t="s">
        <v>557</v>
      </c>
      <c r="C14" s="96"/>
      <c r="D14" s="104">
        <v>328488.93</v>
      </c>
      <c r="E14" s="99">
        <f t="shared" ref="E14:E77" si="0">C14-D14</f>
        <v>-328488.93</v>
      </c>
      <c r="F14" t="s">
        <v>1644</v>
      </c>
    </row>
    <row r="15" spans="1:6">
      <c r="A15" t="s">
        <v>1548</v>
      </c>
      <c r="B15" s="190" t="s">
        <v>558</v>
      </c>
      <c r="C15" s="96"/>
      <c r="D15" s="216">
        <v>4202</v>
      </c>
      <c r="E15" s="99">
        <f t="shared" si="0"/>
        <v>-4202</v>
      </c>
      <c r="F15" t="s">
        <v>37</v>
      </c>
    </row>
    <row r="16" spans="1:6">
      <c r="A16" t="s">
        <v>1552</v>
      </c>
      <c r="B16" s="191" t="s">
        <v>1294</v>
      </c>
      <c r="C16" s="96"/>
      <c r="D16" s="104">
        <v>14000</v>
      </c>
      <c r="E16" s="99">
        <f t="shared" si="0"/>
        <v>-14000</v>
      </c>
      <c r="F16" t="s">
        <v>1650</v>
      </c>
    </row>
    <row r="17" spans="1:6">
      <c r="A17" t="s">
        <v>1552</v>
      </c>
      <c r="B17" s="190" t="s">
        <v>1378</v>
      </c>
      <c r="C17" s="96"/>
      <c r="D17" s="104">
        <v>24150</v>
      </c>
      <c r="E17" s="99">
        <f t="shared" si="0"/>
        <v>-24150</v>
      </c>
      <c r="F17" t="s">
        <v>1650</v>
      </c>
    </row>
    <row r="18" spans="1:6">
      <c r="A18" t="s">
        <v>1552</v>
      </c>
      <c r="B18" s="191" t="s">
        <v>1379</v>
      </c>
      <c r="C18" s="96"/>
      <c r="D18" s="104">
        <v>46383</v>
      </c>
      <c r="E18" s="99">
        <f t="shared" si="0"/>
        <v>-46383</v>
      </c>
      <c r="F18" t="s">
        <v>1650</v>
      </c>
    </row>
    <row r="19" spans="1:6">
      <c r="A19" t="s">
        <v>1552</v>
      </c>
      <c r="B19" s="15" t="s">
        <v>559</v>
      </c>
      <c r="C19" s="96"/>
      <c r="D19" s="104">
        <v>12864</v>
      </c>
      <c r="E19" s="99">
        <f t="shared" si="0"/>
        <v>-12864</v>
      </c>
      <c r="F19" t="s">
        <v>1650</v>
      </c>
    </row>
    <row r="20" spans="1:6">
      <c r="A20" t="s">
        <v>1575</v>
      </c>
      <c r="B20" s="190" t="s">
        <v>969</v>
      </c>
      <c r="C20" s="104">
        <v>12705</v>
      </c>
      <c r="D20" s="96"/>
      <c r="E20" s="99">
        <f t="shared" si="0"/>
        <v>12705</v>
      </c>
      <c r="F20" t="s">
        <v>1576</v>
      </c>
    </row>
    <row r="21" spans="1:6">
      <c r="A21" t="s">
        <v>1552</v>
      </c>
      <c r="B21" s="190" t="s">
        <v>1380</v>
      </c>
      <c r="C21" s="96"/>
      <c r="D21" s="104">
        <v>1330</v>
      </c>
      <c r="E21" s="99">
        <f t="shared" si="0"/>
        <v>-1330</v>
      </c>
      <c r="F21" t="s">
        <v>1650</v>
      </c>
    </row>
    <row r="22" spans="1:6">
      <c r="A22" t="s">
        <v>1575</v>
      </c>
      <c r="B22" s="190" t="s">
        <v>1381</v>
      </c>
      <c r="C22" s="104">
        <v>15000</v>
      </c>
      <c r="D22" s="96"/>
      <c r="E22" s="99">
        <f t="shared" si="0"/>
        <v>15000</v>
      </c>
      <c r="F22" t="s">
        <v>1576</v>
      </c>
    </row>
    <row r="23" spans="1:6">
      <c r="A23" t="s">
        <v>1552</v>
      </c>
      <c r="B23" s="15" t="s">
        <v>560</v>
      </c>
      <c r="C23" s="96"/>
      <c r="D23" s="104">
        <v>182380</v>
      </c>
      <c r="E23" s="99">
        <f t="shared" si="0"/>
        <v>-182380</v>
      </c>
      <c r="F23" t="s">
        <v>1650</v>
      </c>
    </row>
    <row r="24" spans="1:6">
      <c r="A24" t="s">
        <v>1552</v>
      </c>
      <c r="B24" s="13" t="s">
        <v>561</v>
      </c>
      <c r="C24" s="96"/>
      <c r="D24" s="104">
        <v>252786</v>
      </c>
      <c r="E24" s="99">
        <f t="shared" si="0"/>
        <v>-252786</v>
      </c>
      <c r="F24" t="s">
        <v>1650</v>
      </c>
    </row>
    <row r="25" spans="1:6">
      <c r="A25" t="s">
        <v>1552</v>
      </c>
      <c r="B25" s="190" t="s">
        <v>1293</v>
      </c>
      <c r="C25" s="96"/>
      <c r="D25" s="104">
        <v>17000</v>
      </c>
      <c r="E25" s="99">
        <f t="shared" si="0"/>
        <v>-17000</v>
      </c>
      <c r="F25" t="s">
        <v>1650</v>
      </c>
    </row>
    <row r="26" spans="1:6">
      <c r="A26" t="s">
        <v>1552</v>
      </c>
      <c r="B26" s="17" t="s">
        <v>563</v>
      </c>
      <c r="C26" s="96"/>
      <c r="D26" s="104">
        <v>35200</v>
      </c>
      <c r="E26" s="99">
        <f t="shared" si="0"/>
        <v>-35200</v>
      </c>
      <c r="F26" t="s">
        <v>1650</v>
      </c>
    </row>
    <row r="27" spans="1:6">
      <c r="A27" t="s">
        <v>1552</v>
      </c>
      <c r="B27" s="191" t="s">
        <v>564</v>
      </c>
      <c r="C27" s="96"/>
      <c r="D27" s="104">
        <v>193241</v>
      </c>
      <c r="E27" s="99">
        <f t="shared" si="0"/>
        <v>-193241</v>
      </c>
      <c r="F27" t="s">
        <v>1650</v>
      </c>
    </row>
    <row r="28" spans="1:6">
      <c r="A28" t="s">
        <v>1550</v>
      </c>
      <c r="B28" s="15" t="s">
        <v>565</v>
      </c>
      <c r="C28" s="96"/>
      <c r="D28" s="104">
        <v>290207</v>
      </c>
      <c r="E28" s="99">
        <f t="shared" si="0"/>
        <v>-290207</v>
      </c>
      <c r="F28" t="s">
        <v>1650</v>
      </c>
    </row>
    <row r="29" spans="1:6">
      <c r="A29" t="s">
        <v>1552</v>
      </c>
      <c r="B29" s="15" t="s">
        <v>566</v>
      </c>
      <c r="C29" s="96"/>
      <c r="D29" s="104">
        <v>6405</v>
      </c>
      <c r="E29" s="99">
        <f t="shared" si="0"/>
        <v>-6405</v>
      </c>
      <c r="F29" t="s">
        <v>1650</v>
      </c>
    </row>
    <row r="30" spans="1:6">
      <c r="A30" t="s">
        <v>1552</v>
      </c>
      <c r="B30" s="190" t="s">
        <v>972</v>
      </c>
      <c r="C30" s="96"/>
      <c r="D30" s="104">
        <v>20000</v>
      </c>
      <c r="E30" s="99">
        <f t="shared" si="0"/>
        <v>-20000</v>
      </c>
      <c r="F30" t="s">
        <v>1650</v>
      </c>
    </row>
    <row r="31" spans="1:6">
      <c r="A31" t="s">
        <v>1552</v>
      </c>
      <c r="B31" s="15" t="s">
        <v>567</v>
      </c>
      <c r="C31" s="96"/>
      <c r="D31" s="104">
        <v>48834</v>
      </c>
      <c r="E31" s="99">
        <f t="shared" si="0"/>
        <v>-48834</v>
      </c>
      <c r="F31" t="s">
        <v>1650</v>
      </c>
    </row>
    <row r="32" spans="1:6">
      <c r="A32" t="s">
        <v>1575</v>
      </c>
      <c r="B32" s="190" t="s">
        <v>568</v>
      </c>
      <c r="C32" s="104">
        <v>3413</v>
      </c>
      <c r="D32" s="96"/>
      <c r="E32" s="99">
        <f t="shared" si="0"/>
        <v>3413</v>
      </c>
      <c r="F32" t="s">
        <v>1576</v>
      </c>
    </row>
    <row r="33" spans="1:6">
      <c r="A33" t="s">
        <v>1552</v>
      </c>
      <c r="B33" s="190" t="s">
        <v>569</v>
      </c>
      <c r="C33" s="96"/>
      <c r="D33" s="104">
        <v>1545651</v>
      </c>
      <c r="E33" s="99">
        <f t="shared" si="0"/>
        <v>-1545651</v>
      </c>
      <c r="F33" t="s">
        <v>1650</v>
      </c>
    </row>
    <row r="34" spans="1:6">
      <c r="A34" t="s">
        <v>1552</v>
      </c>
      <c r="B34" s="190" t="s">
        <v>570</v>
      </c>
      <c r="C34" s="96"/>
      <c r="D34" s="104">
        <v>5700</v>
      </c>
      <c r="E34" s="99">
        <f t="shared" si="0"/>
        <v>-5700</v>
      </c>
      <c r="F34" t="s">
        <v>1650</v>
      </c>
    </row>
    <row r="35" spans="1:6">
      <c r="A35" t="s">
        <v>1575</v>
      </c>
      <c r="B35" s="190" t="s">
        <v>1382</v>
      </c>
      <c r="C35" s="104">
        <v>17200</v>
      </c>
      <c r="D35" s="96"/>
      <c r="E35" s="99">
        <f t="shared" si="0"/>
        <v>17200</v>
      </c>
      <c r="F35" t="s">
        <v>1576</v>
      </c>
    </row>
    <row r="36" spans="1:6">
      <c r="A36" t="s">
        <v>1552</v>
      </c>
      <c r="B36" s="190" t="s">
        <v>571</v>
      </c>
      <c r="C36" s="96"/>
      <c r="D36" s="104">
        <v>24789</v>
      </c>
      <c r="E36" s="99">
        <f t="shared" si="0"/>
        <v>-24789</v>
      </c>
      <c r="F36" t="s">
        <v>1650</v>
      </c>
    </row>
    <row r="37" spans="1:6">
      <c r="A37" t="s">
        <v>1552</v>
      </c>
      <c r="B37" s="190" t="s">
        <v>1383</v>
      </c>
      <c r="C37" s="96"/>
      <c r="D37" s="104">
        <v>12680</v>
      </c>
      <c r="E37" s="99">
        <f t="shared" si="0"/>
        <v>-12680</v>
      </c>
      <c r="F37" t="s">
        <v>1650</v>
      </c>
    </row>
    <row r="38" spans="1:6">
      <c r="A38" t="s">
        <v>1548</v>
      </c>
      <c r="B38" s="15" t="s">
        <v>974</v>
      </c>
      <c r="C38" s="96"/>
      <c r="D38" s="216">
        <v>1550</v>
      </c>
      <c r="E38" s="99">
        <f t="shared" si="0"/>
        <v>-1550</v>
      </c>
      <c r="F38" t="s">
        <v>37</v>
      </c>
    </row>
    <row r="39" spans="1:6">
      <c r="A39" t="s">
        <v>1552</v>
      </c>
      <c r="B39" s="190" t="s">
        <v>572</v>
      </c>
      <c r="C39" s="96"/>
      <c r="D39" s="104">
        <v>3240</v>
      </c>
      <c r="E39" s="99">
        <f t="shared" si="0"/>
        <v>-3240</v>
      </c>
      <c r="F39" t="s">
        <v>1650</v>
      </c>
    </row>
    <row r="40" spans="1:6">
      <c r="A40" t="s">
        <v>1552</v>
      </c>
      <c r="B40" s="190" t="s">
        <v>1384</v>
      </c>
      <c r="C40" s="96"/>
      <c r="D40" s="104">
        <v>3204</v>
      </c>
      <c r="E40" s="99">
        <f t="shared" si="0"/>
        <v>-3204</v>
      </c>
      <c r="F40" t="s">
        <v>1650</v>
      </c>
    </row>
    <row r="41" spans="1:6">
      <c r="A41" t="s">
        <v>1552</v>
      </c>
      <c r="B41" s="15" t="s">
        <v>573</v>
      </c>
      <c r="C41" s="96"/>
      <c r="D41" s="104">
        <v>10534</v>
      </c>
      <c r="E41" s="99">
        <f t="shared" si="0"/>
        <v>-10534</v>
      </c>
      <c r="F41" t="s">
        <v>1650</v>
      </c>
    </row>
    <row r="42" spans="1:6">
      <c r="A42" t="s">
        <v>1551</v>
      </c>
      <c r="B42" s="15" t="s">
        <v>68</v>
      </c>
      <c r="C42" s="96"/>
      <c r="D42" s="104">
        <v>493941</v>
      </c>
      <c r="E42" s="99">
        <f t="shared" si="0"/>
        <v>-493941</v>
      </c>
      <c r="F42" t="s">
        <v>1651</v>
      </c>
    </row>
    <row r="43" spans="1:6">
      <c r="A43" t="s">
        <v>1552</v>
      </c>
      <c r="B43" s="15" t="s">
        <v>977</v>
      </c>
      <c r="C43" s="96"/>
      <c r="D43" s="104">
        <v>26953</v>
      </c>
      <c r="E43" s="99">
        <f t="shared" si="0"/>
        <v>-26953</v>
      </c>
      <c r="F43" t="s">
        <v>1650</v>
      </c>
    </row>
    <row r="44" spans="1:6">
      <c r="A44" t="s">
        <v>37</v>
      </c>
      <c r="B44" s="194" t="s">
        <v>90</v>
      </c>
      <c r="C44" s="204">
        <v>1496762</v>
      </c>
      <c r="D44" s="204">
        <v>3760253.38</v>
      </c>
      <c r="E44" s="99"/>
    </row>
    <row r="45" spans="1:6">
      <c r="A45" t="s">
        <v>1548</v>
      </c>
      <c r="B45" s="190" t="s">
        <v>1289</v>
      </c>
      <c r="C45" s="96"/>
      <c r="D45" s="216">
        <v>64651</v>
      </c>
      <c r="E45" s="99">
        <f t="shared" si="0"/>
        <v>-64651</v>
      </c>
      <c r="F45" t="s">
        <v>37</v>
      </c>
    </row>
    <row r="46" spans="1:6">
      <c r="A46" t="s">
        <v>1548</v>
      </c>
      <c r="B46" s="190" t="s">
        <v>1385</v>
      </c>
      <c r="C46" s="96"/>
      <c r="D46" s="216">
        <v>0.5</v>
      </c>
      <c r="E46" s="99">
        <f t="shared" si="0"/>
        <v>-0.5</v>
      </c>
      <c r="F46" t="s">
        <v>37</v>
      </c>
    </row>
    <row r="47" spans="1:6">
      <c r="A47" t="s">
        <v>1548</v>
      </c>
      <c r="B47" s="15" t="s">
        <v>574</v>
      </c>
      <c r="C47" s="96"/>
      <c r="D47" s="216">
        <v>37175</v>
      </c>
      <c r="E47" s="99">
        <f t="shared" si="0"/>
        <v>-37175</v>
      </c>
      <c r="F47" t="s">
        <v>37</v>
      </c>
    </row>
    <row r="48" spans="1:6">
      <c r="A48" t="s">
        <v>1573</v>
      </c>
      <c r="B48" s="190" t="s">
        <v>1386</v>
      </c>
      <c r="C48" s="216">
        <v>25191</v>
      </c>
      <c r="D48" s="96"/>
      <c r="E48" s="99">
        <f t="shared" si="0"/>
        <v>25191</v>
      </c>
      <c r="F48" t="s">
        <v>1574</v>
      </c>
    </row>
    <row r="49" spans="1:6">
      <c r="A49" t="s">
        <v>1548</v>
      </c>
      <c r="B49" s="15" t="s">
        <v>1387</v>
      </c>
      <c r="C49" s="96"/>
      <c r="D49" s="216">
        <v>351250</v>
      </c>
      <c r="E49" s="99">
        <f t="shared" si="0"/>
        <v>-351250</v>
      </c>
      <c r="F49" t="s">
        <v>37</v>
      </c>
    </row>
    <row r="50" spans="1:6">
      <c r="A50" t="s">
        <v>1548</v>
      </c>
      <c r="B50" s="15" t="s">
        <v>1388</v>
      </c>
      <c r="C50" s="96"/>
      <c r="D50" s="216">
        <v>21898</v>
      </c>
      <c r="E50" s="99">
        <f t="shared" si="0"/>
        <v>-21898</v>
      </c>
      <c r="F50" t="s">
        <v>37</v>
      </c>
    </row>
    <row r="51" spans="1:6">
      <c r="A51" t="s">
        <v>1548</v>
      </c>
      <c r="B51" s="15" t="s">
        <v>1389</v>
      </c>
      <c r="C51" s="96"/>
      <c r="D51" s="104">
        <v>12126</v>
      </c>
      <c r="E51" s="99">
        <f t="shared" si="0"/>
        <v>-12126</v>
      </c>
      <c r="F51" t="s">
        <v>37</v>
      </c>
    </row>
    <row r="52" spans="1:6">
      <c r="A52" t="s">
        <v>1548</v>
      </c>
      <c r="B52" s="15" t="s">
        <v>1288</v>
      </c>
      <c r="C52" s="96"/>
      <c r="D52" s="104">
        <v>172445</v>
      </c>
      <c r="E52" s="99">
        <f t="shared" si="0"/>
        <v>-172445</v>
      </c>
      <c r="F52" t="s">
        <v>37</v>
      </c>
    </row>
    <row r="53" spans="1:6">
      <c r="A53" t="s">
        <v>1573</v>
      </c>
      <c r="B53" s="190" t="s">
        <v>1390</v>
      </c>
      <c r="C53" s="216">
        <v>5956</v>
      </c>
      <c r="D53" s="96"/>
      <c r="E53" s="99">
        <f t="shared" si="0"/>
        <v>5956</v>
      </c>
      <c r="F53" t="s">
        <v>1574</v>
      </c>
    </row>
    <row r="54" spans="1:6">
      <c r="A54" t="s">
        <v>1573</v>
      </c>
      <c r="B54" s="190" t="s">
        <v>1391</v>
      </c>
      <c r="C54" s="216">
        <v>47909</v>
      </c>
      <c r="D54" s="96"/>
      <c r="E54" s="99">
        <f t="shared" si="0"/>
        <v>47909</v>
      </c>
      <c r="F54" t="s">
        <v>1574</v>
      </c>
    </row>
    <row r="55" spans="1:6">
      <c r="A55" t="s">
        <v>1548</v>
      </c>
      <c r="B55" s="190" t="s">
        <v>1392</v>
      </c>
      <c r="C55" s="96"/>
      <c r="D55" s="104">
        <v>31643</v>
      </c>
      <c r="E55" s="99">
        <f t="shared" si="0"/>
        <v>-31643</v>
      </c>
      <c r="F55" t="s">
        <v>37</v>
      </c>
    </row>
    <row r="56" spans="1:6">
      <c r="A56" t="s">
        <v>1573</v>
      </c>
      <c r="B56" s="190" t="s">
        <v>578</v>
      </c>
      <c r="C56" s="216">
        <v>168467</v>
      </c>
      <c r="D56" s="96"/>
      <c r="E56" s="99">
        <f t="shared" si="0"/>
        <v>168467</v>
      </c>
      <c r="F56" t="s">
        <v>1574</v>
      </c>
    </row>
    <row r="57" spans="1:6">
      <c r="A57" t="s">
        <v>1548</v>
      </c>
      <c r="B57" s="15" t="s">
        <v>1393</v>
      </c>
      <c r="C57" s="96"/>
      <c r="D57" s="104">
        <v>82022</v>
      </c>
      <c r="E57" s="99">
        <f t="shared" si="0"/>
        <v>-82022</v>
      </c>
      <c r="F57" t="s">
        <v>37</v>
      </c>
    </row>
    <row r="58" spans="1:6">
      <c r="A58" t="s">
        <v>1548</v>
      </c>
      <c r="B58" s="190" t="s">
        <v>1394</v>
      </c>
      <c r="C58" s="96"/>
      <c r="D58" s="104">
        <v>16800</v>
      </c>
      <c r="E58" s="99">
        <f t="shared" si="0"/>
        <v>-16800</v>
      </c>
      <c r="F58" t="s">
        <v>37</v>
      </c>
    </row>
    <row r="59" spans="1:6">
      <c r="A59" t="s">
        <v>1548</v>
      </c>
      <c r="B59" s="15" t="s">
        <v>579</v>
      </c>
      <c r="C59" s="96"/>
      <c r="D59" s="104">
        <v>4725</v>
      </c>
      <c r="E59" s="99">
        <f t="shared" si="0"/>
        <v>-4725</v>
      </c>
      <c r="F59" t="s">
        <v>37</v>
      </c>
    </row>
    <row r="60" spans="1:6">
      <c r="A60" t="s">
        <v>1548</v>
      </c>
      <c r="B60" s="190" t="s">
        <v>581</v>
      </c>
      <c r="C60" s="96"/>
      <c r="D60" s="104">
        <v>28404</v>
      </c>
      <c r="E60" s="99">
        <f t="shared" si="0"/>
        <v>-28404</v>
      </c>
      <c r="F60" t="s">
        <v>37</v>
      </c>
    </row>
    <row r="61" spans="1:6">
      <c r="A61" t="s">
        <v>1573</v>
      </c>
      <c r="B61" s="190" t="s">
        <v>1395</v>
      </c>
      <c r="C61" s="216">
        <v>600</v>
      </c>
      <c r="D61" s="96"/>
      <c r="E61" s="99">
        <f t="shared" si="0"/>
        <v>600</v>
      </c>
      <c r="F61" t="s">
        <v>1574</v>
      </c>
    </row>
    <row r="62" spans="1:6">
      <c r="A62" t="s">
        <v>1548</v>
      </c>
      <c r="B62" s="15" t="s">
        <v>1396</v>
      </c>
      <c r="C62" s="96"/>
      <c r="D62" s="104">
        <v>25218</v>
      </c>
      <c r="E62" s="99">
        <f t="shared" si="0"/>
        <v>-25218</v>
      </c>
      <c r="F62" t="s">
        <v>37</v>
      </c>
    </row>
    <row r="63" spans="1:6">
      <c r="A63" t="s">
        <v>1573</v>
      </c>
      <c r="B63" s="190" t="s">
        <v>1397</v>
      </c>
      <c r="C63" s="216">
        <v>105</v>
      </c>
      <c r="D63" s="96"/>
      <c r="E63" s="99">
        <f t="shared" si="0"/>
        <v>105</v>
      </c>
      <c r="F63" t="s">
        <v>1574</v>
      </c>
    </row>
    <row r="64" spans="1:6">
      <c r="A64" t="s">
        <v>1573</v>
      </c>
      <c r="B64" s="15" t="s">
        <v>1398</v>
      </c>
      <c r="C64" s="216">
        <v>2807</v>
      </c>
      <c r="D64" s="96"/>
      <c r="E64" s="99">
        <f t="shared" si="0"/>
        <v>2807</v>
      </c>
      <c r="F64" t="s">
        <v>1574</v>
      </c>
    </row>
    <row r="65" spans="1:6">
      <c r="A65" t="s">
        <v>1548</v>
      </c>
      <c r="B65" s="15" t="s">
        <v>259</v>
      </c>
      <c r="C65" s="96"/>
      <c r="D65" s="104">
        <v>481800.5</v>
      </c>
      <c r="E65" s="99">
        <f t="shared" si="0"/>
        <v>-481800.5</v>
      </c>
      <c r="F65" t="s">
        <v>37</v>
      </c>
    </row>
    <row r="66" spans="1:6">
      <c r="A66" t="s">
        <v>1573</v>
      </c>
      <c r="B66" s="190" t="s">
        <v>1399</v>
      </c>
      <c r="C66" s="216">
        <v>47422</v>
      </c>
      <c r="D66" s="96"/>
      <c r="E66" s="99">
        <f t="shared" si="0"/>
        <v>47422</v>
      </c>
      <c r="F66" t="s">
        <v>1574</v>
      </c>
    </row>
    <row r="67" spans="1:6">
      <c r="A67" t="s">
        <v>1548</v>
      </c>
      <c r="B67" s="15" t="s">
        <v>1287</v>
      </c>
      <c r="C67" s="96"/>
      <c r="D67" s="104">
        <v>26111</v>
      </c>
      <c r="E67" s="99">
        <f t="shared" si="0"/>
        <v>-26111</v>
      </c>
      <c r="F67" t="s">
        <v>37</v>
      </c>
    </row>
    <row r="68" spans="1:6">
      <c r="A68" t="s">
        <v>1573</v>
      </c>
      <c r="B68" s="190" t="s">
        <v>1286</v>
      </c>
      <c r="C68" s="216">
        <v>3740</v>
      </c>
      <c r="D68" s="96"/>
      <c r="E68" s="99">
        <f t="shared" si="0"/>
        <v>3740</v>
      </c>
      <c r="F68" t="s">
        <v>1574</v>
      </c>
    </row>
    <row r="69" spans="1:6">
      <c r="A69" t="s">
        <v>1548</v>
      </c>
      <c r="B69" s="190" t="s">
        <v>1400</v>
      </c>
      <c r="C69" s="96"/>
      <c r="D69" s="104">
        <v>230</v>
      </c>
      <c r="E69" s="99">
        <f t="shared" si="0"/>
        <v>-230</v>
      </c>
      <c r="F69" t="s">
        <v>37</v>
      </c>
    </row>
    <row r="70" spans="1:6">
      <c r="A70" t="s">
        <v>1548</v>
      </c>
      <c r="B70" s="190" t="s">
        <v>584</v>
      </c>
      <c r="C70" s="96"/>
      <c r="D70" s="104">
        <v>60100</v>
      </c>
      <c r="E70" s="99">
        <f t="shared" si="0"/>
        <v>-60100</v>
      </c>
      <c r="F70" t="s">
        <v>37</v>
      </c>
    </row>
    <row r="71" spans="1:6">
      <c r="A71" t="s">
        <v>1548</v>
      </c>
      <c r="B71" s="15" t="s">
        <v>1401</v>
      </c>
      <c r="C71" s="96"/>
      <c r="D71" s="104">
        <v>183934</v>
      </c>
      <c r="E71" s="99">
        <f t="shared" si="0"/>
        <v>-183934</v>
      </c>
      <c r="F71" t="s">
        <v>37</v>
      </c>
    </row>
    <row r="72" spans="1:6">
      <c r="A72" t="s">
        <v>1573</v>
      </c>
      <c r="B72" s="191" t="s">
        <v>1402</v>
      </c>
      <c r="C72" s="216">
        <v>20519</v>
      </c>
      <c r="D72" s="96"/>
      <c r="E72" s="99">
        <f t="shared" si="0"/>
        <v>20519</v>
      </c>
      <c r="F72" t="s">
        <v>1574</v>
      </c>
    </row>
    <row r="73" spans="1:6">
      <c r="A73" t="s">
        <v>1548</v>
      </c>
      <c r="B73" s="15" t="s">
        <v>985</v>
      </c>
      <c r="C73" s="96"/>
      <c r="D73" s="104">
        <v>18900</v>
      </c>
      <c r="E73" s="99">
        <f t="shared" si="0"/>
        <v>-18900</v>
      </c>
      <c r="F73" t="s">
        <v>37</v>
      </c>
    </row>
    <row r="74" spans="1:6">
      <c r="A74" t="s">
        <v>1548</v>
      </c>
      <c r="B74" s="15" t="s">
        <v>1403</v>
      </c>
      <c r="C74" s="96"/>
      <c r="D74" s="104">
        <v>4753</v>
      </c>
      <c r="E74" s="99">
        <f t="shared" si="0"/>
        <v>-4753</v>
      </c>
      <c r="F74" t="s">
        <v>37</v>
      </c>
    </row>
    <row r="75" spans="1:6">
      <c r="A75" t="s">
        <v>1548</v>
      </c>
      <c r="B75" s="190" t="s">
        <v>1404</v>
      </c>
      <c r="C75" s="96"/>
      <c r="D75" s="104">
        <v>45</v>
      </c>
      <c r="E75" s="99">
        <f t="shared" si="0"/>
        <v>-45</v>
      </c>
      <c r="F75" t="s">
        <v>37</v>
      </c>
    </row>
    <row r="76" spans="1:6">
      <c r="A76" t="s">
        <v>1548</v>
      </c>
      <c r="B76" s="190" t="s">
        <v>590</v>
      </c>
      <c r="C76" s="96"/>
      <c r="D76" s="104">
        <v>42700</v>
      </c>
      <c r="E76" s="99">
        <f t="shared" si="0"/>
        <v>-42700</v>
      </c>
      <c r="F76" t="s">
        <v>37</v>
      </c>
    </row>
    <row r="77" spans="1:6">
      <c r="A77" t="s">
        <v>1548</v>
      </c>
      <c r="B77" s="190" t="s">
        <v>258</v>
      </c>
      <c r="C77" s="96"/>
      <c r="D77" s="104">
        <v>196558</v>
      </c>
      <c r="E77" s="99">
        <f t="shared" si="0"/>
        <v>-196558</v>
      </c>
      <c r="F77" t="s">
        <v>37</v>
      </c>
    </row>
    <row r="78" spans="1:6">
      <c r="A78" t="s">
        <v>1548</v>
      </c>
      <c r="B78" s="190" t="s">
        <v>1285</v>
      </c>
      <c r="C78" s="96"/>
      <c r="D78" s="104">
        <v>43241</v>
      </c>
      <c r="E78" s="99">
        <f t="shared" ref="E78:E141" si="1">C78-D78</f>
        <v>-43241</v>
      </c>
      <c r="F78" t="s">
        <v>37</v>
      </c>
    </row>
    <row r="79" spans="1:6">
      <c r="A79" t="s">
        <v>1573</v>
      </c>
      <c r="B79" s="190" t="s">
        <v>1405</v>
      </c>
      <c r="C79" s="216">
        <v>57750</v>
      </c>
      <c r="D79" s="96"/>
      <c r="E79" s="99">
        <f t="shared" si="1"/>
        <v>57750</v>
      </c>
      <c r="F79" t="s">
        <v>1574</v>
      </c>
    </row>
    <row r="80" spans="1:6">
      <c r="A80" t="s">
        <v>1548</v>
      </c>
      <c r="B80" s="190" t="s">
        <v>1406</v>
      </c>
      <c r="C80" s="96"/>
      <c r="D80" s="104">
        <v>2560</v>
      </c>
      <c r="E80" s="99">
        <f t="shared" si="1"/>
        <v>-2560</v>
      </c>
      <c r="F80" t="s">
        <v>37</v>
      </c>
    </row>
    <row r="81" spans="1:6">
      <c r="A81" t="s">
        <v>1573</v>
      </c>
      <c r="B81" s="190" t="s">
        <v>1407</v>
      </c>
      <c r="C81" s="216">
        <v>2313</v>
      </c>
      <c r="D81" s="96"/>
      <c r="E81" s="99">
        <f t="shared" si="1"/>
        <v>2313</v>
      </c>
      <c r="F81" t="s">
        <v>1574</v>
      </c>
    </row>
    <row r="82" spans="1:6">
      <c r="A82" t="s">
        <v>1573</v>
      </c>
      <c r="B82" s="190" t="s">
        <v>1408</v>
      </c>
      <c r="C82" s="216">
        <v>5135</v>
      </c>
      <c r="D82" s="96"/>
      <c r="E82" s="99">
        <f t="shared" si="1"/>
        <v>5135</v>
      </c>
      <c r="F82" t="s">
        <v>1574</v>
      </c>
    </row>
    <row r="83" spans="1:6">
      <c r="A83" t="s">
        <v>1548</v>
      </c>
      <c r="B83" s="190" t="s">
        <v>596</v>
      </c>
      <c r="C83" s="96"/>
      <c r="D83" s="104">
        <v>196429</v>
      </c>
      <c r="E83" s="99">
        <f t="shared" si="1"/>
        <v>-196429</v>
      </c>
      <c r="F83" t="s">
        <v>37</v>
      </c>
    </row>
    <row r="84" spans="1:6">
      <c r="A84" t="s">
        <v>1548</v>
      </c>
      <c r="B84" s="190" t="s">
        <v>1409</v>
      </c>
      <c r="C84" s="96"/>
      <c r="D84" s="104">
        <v>3505</v>
      </c>
      <c r="E84" s="99">
        <f t="shared" si="1"/>
        <v>-3505</v>
      </c>
      <c r="F84" t="s">
        <v>37</v>
      </c>
    </row>
    <row r="85" spans="1:6">
      <c r="A85" t="s">
        <v>1548</v>
      </c>
      <c r="B85" s="190" t="s">
        <v>1410</v>
      </c>
      <c r="C85" s="96"/>
      <c r="D85" s="104">
        <v>213391</v>
      </c>
      <c r="E85" s="99">
        <f t="shared" si="1"/>
        <v>-213391</v>
      </c>
      <c r="F85" t="s">
        <v>37</v>
      </c>
    </row>
    <row r="86" spans="1:6">
      <c r="A86" t="s">
        <v>1573</v>
      </c>
      <c r="B86" s="190" t="s">
        <v>600</v>
      </c>
      <c r="C86" s="216">
        <v>103226</v>
      </c>
      <c r="D86" s="96"/>
      <c r="E86" s="99">
        <f t="shared" si="1"/>
        <v>103226</v>
      </c>
      <c r="F86" t="s">
        <v>1574</v>
      </c>
    </row>
    <row r="87" spans="1:6">
      <c r="A87" t="s">
        <v>1548</v>
      </c>
      <c r="B87" s="15" t="s">
        <v>994</v>
      </c>
      <c r="C87" s="96"/>
      <c r="D87" s="104">
        <v>15159</v>
      </c>
      <c r="E87" s="99">
        <f t="shared" si="1"/>
        <v>-15159</v>
      </c>
      <c r="F87" t="s">
        <v>37</v>
      </c>
    </row>
    <row r="88" spans="1:6">
      <c r="A88" t="s">
        <v>1573</v>
      </c>
      <c r="B88" s="190" t="s">
        <v>1411</v>
      </c>
      <c r="C88" s="216">
        <v>10997</v>
      </c>
      <c r="D88" s="96"/>
      <c r="E88" s="99">
        <f t="shared" si="1"/>
        <v>10997</v>
      </c>
      <c r="F88" t="s">
        <v>1574</v>
      </c>
    </row>
    <row r="89" spans="1:6">
      <c r="A89" t="s">
        <v>1573</v>
      </c>
      <c r="B89" s="190" t="s">
        <v>603</v>
      </c>
      <c r="C89" s="216">
        <v>90513</v>
      </c>
      <c r="D89" s="96"/>
      <c r="E89" s="99">
        <f t="shared" si="1"/>
        <v>90513</v>
      </c>
      <c r="F89" t="s">
        <v>1574</v>
      </c>
    </row>
    <row r="90" spans="1:6">
      <c r="A90" t="s">
        <v>1548</v>
      </c>
      <c r="B90" s="190" t="s">
        <v>1412</v>
      </c>
      <c r="C90" s="96"/>
      <c r="D90" s="104">
        <v>241310</v>
      </c>
      <c r="E90" s="99">
        <f t="shared" si="1"/>
        <v>-241310</v>
      </c>
      <c r="F90" t="s">
        <v>37</v>
      </c>
    </row>
    <row r="91" spans="1:6">
      <c r="A91" t="s">
        <v>1573</v>
      </c>
      <c r="B91" s="190" t="s">
        <v>1413</v>
      </c>
      <c r="C91" s="216">
        <v>119535</v>
      </c>
      <c r="D91" s="96"/>
      <c r="E91" s="99">
        <f t="shared" si="1"/>
        <v>119535</v>
      </c>
      <c r="F91" t="s">
        <v>1574</v>
      </c>
    </row>
    <row r="92" spans="1:6">
      <c r="A92" t="s">
        <v>1548</v>
      </c>
      <c r="B92" s="191" t="s">
        <v>606</v>
      </c>
      <c r="C92" s="96"/>
      <c r="D92" s="104">
        <v>41832</v>
      </c>
      <c r="E92" s="99">
        <f t="shared" si="1"/>
        <v>-41832</v>
      </c>
      <c r="F92" t="s">
        <v>37</v>
      </c>
    </row>
    <row r="93" spans="1:6">
      <c r="A93" t="s">
        <v>1548</v>
      </c>
      <c r="B93" s="190" t="s">
        <v>607</v>
      </c>
      <c r="C93" s="96"/>
      <c r="D93" s="104">
        <v>1237</v>
      </c>
      <c r="E93" s="99">
        <f t="shared" si="1"/>
        <v>-1237</v>
      </c>
      <c r="F93" t="s">
        <v>37</v>
      </c>
    </row>
    <row r="94" spans="1:6">
      <c r="A94" t="s">
        <v>1573</v>
      </c>
      <c r="B94" s="190" t="s">
        <v>1414</v>
      </c>
      <c r="C94" s="216">
        <v>139200</v>
      </c>
      <c r="D94" s="96"/>
      <c r="E94" s="99">
        <f t="shared" si="1"/>
        <v>139200</v>
      </c>
      <c r="F94" t="s">
        <v>1574</v>
      </c>
    </row>
    <row r="95" spans="1:6">
      <c r="A95" t="s">
        <v>1548</v>
      </c>
      <c r="B95" s="190" t="s">
        <v>1290</v>
      </c>
      <c r="C95" s="96"/>
      <c r="D95" s="104">
        <v>23870</v>
      </c>
      <c r="E95" s="99">
        <f t="shared" si="1"/>
        <v>-23870</v>
      </c>
      <c r="F95" t="s">
        <v>37</v>
      </c>
    </row>
    <row r="96" spans="1:6">
      <c r="A96" t="s">
        <v>1573</v>
      </c>
      <c r="B96" s="190" t="s">
        <v>576</v>
      </c>
      <c r="C96" s="216">
        <v>5262</v>
      </c>
      <c r="D96" s="96"/>
      <c r="E96" s="99">
        <f t="shared" si="1"/>
        <v>5262</v>
      </c>
      <c r="F96" t="s">
        <v>1574</v>
      </c>
    </row>
    <row r="97" spans="1:6">
      <c r="A97" t="s">
        <v>1573</v>
      </c>
      <c r="B97" s="15" t="s">
        <v>999</v>
      </c>
      <c r="C97" s="216">
        <v>4007</v>
      </c>
      <c r="D97" s="96"/>
      <c r="E97" s="99">
        <f t="shared" si="1"/>
        <v>4007</v>
      </c>
      <c r="F97" t="s">
        <v>1574</v>
      </c>
    </row>
    <row r="98" spans="1:6">
      <c r="A98" t="s">
        <v>1548</v>
      </c>
      <c r="B98" s="190" t="s">
        <v>257</v>
      </c>
      <c r="C98" s="96"/>
      <c r="D98" s="104">
        <v>272251.5</v>
      </c>
      <c r="E98" s="99">
        <f t="shared" si="1"/>
        <v>-272251.5</v>
      </c>
      <c r="F98" t="s">
        <v>37</v>
      </c>
    </row>
    <row r="99" spans="1:6">
      <c r="A99" t="s">
        <v>1573</v>
      </c>
      <c r="B99" s="15" t="s">
        <v>586</v>
      </c>
      <c r="C99" s="216">
        <v>17940</v>
      </c>
      <c r="D99" s="96"/>
      <c r="E99" s="99">
        <f t="shared" si="1"/>
        <v>17940</v>
      </c>
      <c r="F99" t="s">
        <v>1574</v>
      </c>
    </row>
    <row r="100" spans="1:6">
      <c r="A100" t="s">
        <v>1548</v>
      </c>
      <c r="B100" s="13" t="s">
        <v>587</v>
      </c>
      <c r="C100" s="96"/>
      <c r="D100" s="104">
        <v>252651.88</v>
      </c>
      <c r="E100" s="99">
        <f t="shared" si="1"/>
        <v>-252651.88</v>
      </c>
      <c r="F100" t="s">
        <v>37</v>
      </c>
    </row>
    <row r="101" spans="1:6">
      <c r="A101" t="s">
        <v>1548</v>
      </c>
      <c r="B101" s="190" t="s">
        <v>593</v>
      </c>
      <c r="C101" s="96"/>
      <c r="D101" s="104">
        <v>165</v>
      </c>
      <c r="E101" s="99">
        <f t="shared" si="1"/>
        <v>-165</v>
      </c>
      <c r="F101" t="s">
        <v>37</v>
      </c>
    </row>
    <row r="102" spans="1:6">
      <c r="A102" t="s">
        <v>1573</v>
      </c>
      <c r="B102" s="15" t="s">
        <v>1415</v>
      </c>
      <c r="C102" s="216">
        <v>610</v>
      </c>
      <c r="D102" s="96"/>
      <c r="E102" s="99">
        <f t="shared" si="1"/>
        <v>610</v>
      </c>
      <c r="F102" t="s">
        <v>1574</v>
      </c>
    </row>
    <row r="103" spans="1:6">
      <c r="A103" t="s">
        <v>1573</v>
      </c>
      <c r="B103" s="190" t="s">
        <v>1003</v>
      </c>
      <c r="C103" s="216">
        <v>1400</v>
      </c>
      <c r="D103" s="96"/>
      <c r="E103" s="99">
        <f t="shared" si="1"/>
        <v>1400</v>
      </c>
      <c r="F103" t="s">
        <v>1574</v>
      </c>
    </row>
    <row r="104" spans="1:6">
      <c r="A104" t="s">
        <v>1548</v>
      </c>
      <c r="B104" s="190" t="s">
        <v>597</v>
      </c>
      <c r="C104" s="96"/>
      <c r="D104" s="104">
        <v>3140</v>
      </c>
      <c r="E104" s="99">
        <f t="shared" si="1"/>
        <v>-3140</v>
      </c>
      <c r="F104" t="s">
        <v>37</v>
      </c>
    </row>
    <row r="105" spans="1:6">
      <c r="A105" t="s">
        <v>1548</v>
      </c>
      <c r="B105" s="15" t="s">
        <v>599</v>
      </c>
      <c r="C105" s="96"/>
      <c r="D105" s="104">
        <v>4960</v>
      </c>
      <c r="E105" s="99">
        <f t="shared" si="1"/>
        <v>-4960</v>
      </c>
      <c r="F105" t="s">
        <v>37</v>
      </c>
    </row>
    <row r="106" spans="1:6">
      <c r="A106" t="s">
        <v>1548</v>
      </c>
      <c r="B106" s="190" t="s">
        <v>601</v>
      </c>
      <c r="C106" s="96"/>
      <c r="D106" s="104">
        <v>6585</v>
      </c>
      <c r="E106" s="99">
        <f t="shared" si="1"/>
        <v>-6585</v>
      </c>
      <c r="F106" t="s">
        <v>37</v>
      </c>
    </row>
    <row r="107" spans="1:6">
      <c r="A107" t="s">
        <v>1548</v>
      </c>
      <c r="B107" s="190" t="s">
        <v>1416</v>
      </c>
      <c r="C107" s="96"/>
      <c r="D107" s="104">
        <v>108</v>
      </c>
      <c r="E107" s="99">
        <f t="shared" si="1"/>
        <v>-108</v>
      </c>
      <c r="F107" t="s">
        <v>37</v>
      </c>
    </row>
    <row r="108" spans="1:6">
      <c r="A108" t="s">
        <v>1548</v>
      </c>
      <c r="B108" s="190" t="s">
        <v>1417</v>
      </c>
      <c r="C108" s="96"/>
      <c r="D108" s="104">
        <v>600</v>
      </c>
      <c r="E108" s="99">
        <f t="shared" si="1"/>
        <v>-600</v>
      </c>
      <c r="F108" t="s">
        <v>37</v>
      </c>
    </row>
    <row r="109" spans="1:6">
      <c r="A109" t="s">
        <v>1573</v>
      </c>
      <c r="B109" s="190" t="s">
        <v>1418</v>
      </c>
      <c r="C109" s="216">
        <v>42389</v>
      </c>
      <c r="D109" s="96"/>
      <c r="E109" s="99">
        <f t="shared" si="1"/>
        <v>42389</v>
      </c>
      <c r="F109" t="s">
        <v>1574</v>
      </c>
    </row>
    <row r="110" spans="1:6">
      <c r="A110" t="s">
        <v>37</v>
      </c>
      <c r="B110" s="203" t="s">
        <v>945</v>
      </c>
      <c r="C110" s="204">
        <v>2514774</v>
      </c>
      <c r="D110" s="204">
        <v>2425692.23</v>
      </c>
      <c r="E110" s="99"/>
    </row>
    <row r="111" spans="1:6">
      <c r="A111" t="s">
        <v>1548</v>
      </c>
      <c r="B111" s="190" t="s">
        <v>1283</v>
      </c>
      <c r="C111" s="96"/>
      <c r="D111" s="104">
        <v>1230</v>
      </c>
      <c r="E111" s="99">
        <f t="shared" si="1"/>
        <v>-1230</v>
      </c>
      <c r="F111" t="s">
        <v>37</v>
      </c>
    </row>
    <row r="112" spans="1:6">
      <c r="A112" t="s">
        <v>1548</v>
      </c>
      <c r="B112" s="190" t="s">
        <v>1419</v>
      </c>
      <c r="C112" s="96"/>
      <c r="D112" s="104">
        <v>8610</v>
      </c>
      <c r="E112" s="99">
        <f t="shared" si="1"/>
        <v>-8610</v>
      </c>
      <c r="F112" t="s">
        <v>37</v>
      </c>
    </row>
    <row r="113" spans="1:6">
      <c r="A113" t="s">
        <v>1573</v>
      </c>
      <c r="B113" s="15" t="s">
        <v>1420</v>
      </c>
      <c r="C113" s="216">
        <v>31150</v>
      </c>
      <c r="D113" s="96"/>
      <c r="E113" s="99">
        <f t="shared" si="1"/>
        <v>31150</v>
      </c>
      <c r="F113" t="s">
        <v>1574</v>
      </c>
    </row>
    <row r="114" spans="1:6">
      <c r="A114" t="s">
        <v>1573</v>
      </c>
      <c r="B114" s="15" t="s">
        <v>1421</v>
      </c>
      <c r="C114" s="216">
        <v>12110</v>
      </c>
      <c r="D114" s="96"/>
      <c r="E114" s="99">
        <f t="shared" si="1"/>
        <v>12110</v>
      </c>
      <c r="F114" t="s">
        <v>1574</v>
      </c>
    </row>
    <row r="115" spans="1:6">
      <c r="A115" t="s">
        <v>1548</v>
      </c>
      <c r="B115" s="190" t="s">
        <v>610</v>
      </c>
      <c r="C115" s="96"/>
      <c r="D115" s="104">
        <v>36848</v>
      </c>
      <c r="E115" s="99">
        <f t="shared" si="1"/>
        <v>-36848</v>
      </c>
      <c r="F115" t="s">
        <v>37</v>
      </c>
    </row>
    <row r="116" spans="1:6">
      <c r="A116" t="s">
        <v>1548</v>
      </c>
      <c r="B116" s="15" t="s">
        <v>612</v>
      </c>
      <c r="C116" s="96"/>
      <c r="D116" s="104">
        <v>3520</v>
      </c>
      <c r="E116" s="99">
        <f t="shared" si="1"/>
        <v>-3520</v>
      </c>
      <c r="F116" t="s">
        <v>37</v>
      </c>
    </row>
    <row r="117" spans="1:6">
      <c r="A117" t="s">
        <v>1548</v>
      </c>
      <c r="B117" s="15" t="s">
        <v>613</v>
      </c>
      <c r="C117" s="96"/>
      <c r="D117" s="104">
        <v>12347</v>
      </c>
      <c r="E117" s="99">
        <f t="shared" si="1"/>
        <v>-12347</v>
      </c>
      <c r="F117" t="s">
        <v>37</v>
      </c>
    </row>
    <row r="118" spans="1:6">
      <c r="A118" t="s">
        <v>1548</v>
      </c>
      <c r="B118" s="15" t="s">
        <v>614</v>
      </c>
      <c r="C118" s="96"/>
      <c r="D118" s="104">
        <v>88307</v>
      </c>
      <c r="E118" s="99">
        <f t="shared" si="1"/>
        <v>-88307</v>
      </c>
      <c r="F118" t="s">
        <v>37</v>
      </c>
    </row>
    <row r="119" spans="1:6">
      <c r="A119" t="s">
        <v>1548</v>
      </c>
      <c r="B119" s="190" t="s">
        <v>615</v>
      </c>
      <c r="C119" s="96"/>
      <c r="D119" s="104">
        <v>142197.29999999999</v>
      </c>
      <c r="E119" s="99">
        <f t="shared" si="1"/>
        <v>-142197.29999999999</v>
      </c>
      <c r="F119" t="s">
        <v>37</v>
      </c>
    </row>
    <row r="120" spans="1:6">
      <c r="A120" t="s">
        <v>1548</v>
      </c>
      <c r="B120" s="190" t="s">
        <v>1422</v>
      </c>
      <c r="C120" s="96"/>
      <c r="D120" s="104">
        <v>5766</v>
      </c>
      <c r="E120" s="99">
        <f t="shared" si="1"/>
        <v>-5766</v>
      </c>
      <c r="F120" t="s">
        <v>37</v>
      </c>
    </row>
    <row r="121" spans="1:6">
      <c r="A121" t="s">
        <v>1573</v>
      </c>
      <c r="B121" s="190" t="s">
        <v>617</v>
      </c>
      <c r="C121" s="216">
        <v>252828</v>
      </c>
      <c r="D121" s="96"/>
      <c r="E121" s="99">
        <f t="shared" si="1"/>
        <v>252828</v>
      </c>
      <c r="F121" t="s">
        <v>1574</v>
      </c>
    </row>
    <row r="122" spans="1:6">
      <c r="A122" t="s">
        <v>1573</v>
      </c>
      <c r="B122" s="190" t="s">
        <v>1423</v>
      </c>
      <c r="C122" s="216">
        <v>30347</v>
      </c>
      <c r="D122" s="96"/>
      <c r="E122" s="99">
        <f t="shared" si="1"/>
        <v>30347</v>
      </c>
      <c r="F122" t="s">
        <v>1574</v>
      </c>
    </row>
    <row r="123" spans="1:6">
      <c r="A123" t="s">
        <v>1573</v>
      </c>
      <c r="B123" s="190" t="s">
        <v>1424</v>
      </c>
      <c r="C123" s="216">
        <v>32</v>
      </c>
      <c r="D123" s="96"/>
      <c r="E123" s="99">
        <f t="shared" si="1"/>
        <v>32</v>
      </c>
      <c r="F123" t="s">
        <v>1574</v>
      </c>
    </row>
    <row r="124" spans="1:6">
      <c r="A124" t="s">
        <v>1548</v>
      </c>
      <c r="B124" s="190" t="s">
        <v>1425</v>
      </c>
      <c r="C124" s="96"/>
      <c r="D124" s="104">
        <v>150000</v>
      </c>
      <c r="E124" s="99">
        <f t="shared" si="1"/>
        <v>-150000</v>
      </c>
      <c r="F124" t="s">
        <v>37</v>
      </c>
    </row>
    <row r="125" spans="1:6">
      <c r="A125" t="s">
        <v>1573</v>
      </c>
      <c r="B125" s="190" t="s">
        <v>1426</v>
      </c>
      <c r="C125" s="216">
        <v>11500</v>
      </c>
      <c r="D125" s="96"/>
      <c r="E125" s="99">
        <f t="shared" si="1"/>
        <v>11500</v>
      </c>
      <c r="F125" t="s">
        <v>1574</v>
      </c>
    </row>
    <row r="126" spans="1:6">
      <c r="A126" t="s">
        <v>1573</v>
      </c>
      <c r="B126" s="15" t="s">
        <v>1427</v>
      </c>
      <c r="C126" s="104">
        <v>3050</v>
      </c>
      <c r="D126" s="96"/>
      <c r="E126" s="99">
        <f t="shared" si="1"/>
        <v>3050</v>
      </c>
      <c r="F126" t="s">
        <v>1574</v>
      </c>
    </row>
    <row r="127" spans="1:6">
      <c r="A127" t="s">
        <v>1573</v>
      </c>
      <c r="B127" s="15" t="s">
        <v>618</v>
      </c>
      <c r="C127" s="216">
        <v>10289</v>
      </c>
      <c r="D127" s="96"/>
      <c r="E127" s="99">
        <f t="shared" si="1"/>
        <v>10289</v>
      </c>
      <c r="F127" t="s">
        <v>1574</v>
      </c>
    </row>
    <row r="128" spans="1:6">
      <c r="A128" t="s">
        <v>1573</v>
      </c>
      <c r="B128" s="15" t="s">
        <v>1428</v>
      </c>
      <c r="C128" s="216">
        <v>2500</v>
      </c>
      <c r="D128" s="96"/>
      <c r="E128" s="99">
        <f t="shared" si="1"/>
        <v>2500</v>
      </c>
      <c r="F128" t="s">
        <v>1574</v>
      </c>
    </row>
    <row r="129" spans="1:6">
      <c r="A129" t="s">
        <v>1573</v>
      </c>
      <c r="B129" s="15" t="s">
        <v>619</v>
      </c>
      <c r="C129" s="104">
        <v>5340</v>
      </c>
      <c r="D129" s="96"/>
      <c r="E129" s="99">
        <f t="shared" si="1"/>
        <v>5340</v>
      </c>
      <c r="F129" t="s">
        <v>1574</v>
      </c>
    </row>
    <row r="130" spans="1:6">
      <c r="A130" t="s">
        <v>1573</v>
      </c>
      <c r="B130" s="15" t="s">
        <v>1429</v>
      </c>
      <c r="C130" s="216">
        <v>24040</v>
      </c>
      <c r="D130" s="96"/>
      <c r="E130" s="99">
        <f t="shared" si="1"/>
        <v>24040</v>
      </c>
      <c r="F130" t="s">
        <v>1574</v>
      </c>
    </row>
    <row r="131" spans="1:6">
      <c r="A131" t="s">
        <v>1548</v>
      </c>
      <c r="B131" s="15" t="s">
        <v>621</v>
      </c>
      <c r="C131" s="96"/>
      <c r="D131" s="104">
        <v>54274</v>
      </c>
      <c r="E131" s="99">
        <f t="shared" si="1"/>
        <v>-54274</v>
      </c>
      <c r="F131" t="s">
        <v>37</v>
      </c>
    </row>
    <row r="132" spans="1:6">
      <c r="A132" t="s">
        <v>1573</v>
      </c>
      <c r="B132" s="190" t="s">
        <v>1282</v>
      </c>
      <c r="C132" s="216">
        <v>318</v>
      </c>
      <c r="D132" s="96"/>
      <c r="E132" s="99">
        <f t="shared" si="1"/>
        <v>318</v>
      </c>
      <c r="F132" t="s">
        <v>1574</v>
      </c>
    </row>
    <row r="133" spans="1:6">
      <c r="A133" t="s">
        <v>1573</v>
      </c>
      <c r="B133" s="15" t="s">
        <v>623</v>
      </c>
      <c r="C133" s="216">
        <v>61538</v>
      </c>
      <c r="D133" s="96"/>
      <c r="E133" s="99">
        <f t="shared" si="1"/>
        <v>61538</v>
      </c>
      <c r="F133" t="s">
        <v>1574</v>
      </c>
    </row>
    <row r="134" spans="1:6">
      <c r="A134" t="s">
        <v>1548</v>
      </c>
      <c r="B134" s="15" t="s">
        <v>1430</v>
      </c>
      <c r="C134" s="96"/>
      <c r="D134" s="104">
        <v>70950</v>
      </c>
      <c r="E134" s="99">
        <f t="shared" si="1"/>
        <v>-70950</v>
      </c>
      <c r="F134" t="s">
        <v>37</v>
      </c>
    </row>
    <row r="135" spans="1:6">
      <c r="A135" t="s">
        <v>1548</v>
      </c>
      <c r="B135" s="190" t="s">
        <v>1431</v>
      </c>
      <c r="C135" s="96"/>
      <c r="D135" s="104">
        <v>11900</v>
      </c>
      <c r="E135" s="99">
        <f t="shared" si="1"/>
        <v>-11900</v>
      </c>
      <c r="F135" t="s">
        <v>37</v>
      </c>
    </row>
    <row r="136" spans="1:6">
      <c r="A136" t="s">
        <v>1548</v>
      </c>
      <c r="B136" s="190" t="s">
        <v>1007</v>
      </c>
      <c r="C136" s="96"/>
      <c r="D136" s="104">
        <v>100</v>
      </c>
      <c r="E136" s="99">
        <f t="shared" si="1"/>
        <v>-100</v>
      </c>
      <c r="F136" t="s">
        <v>37</v>
      </c>
    </row>
    <row r="137" spans="1:6">
      <c r="A137" t="s">
        <v>1573</v>
      </c>
      <c r="B137" s="190" t="s">
        <v>627</v>
      </c>
      <c r="C137" s="216">
        <v>102343</v>
      </c>
      <c r="D137" s="96"/>
      <c r="E137" s="99">
        <f t="shared" si="1"/>
        <v>102343</v>
      </c>
      <c r="F137" t="s">
        <v>1574</v>
      </c>
    </row>
    <row r="138" spans="1:6">
      <c r="A138" t="s">
        <v>1573</v>
      </c>
      <c r="B138" s="190" t="s">
        <v>1432</v>
      </c>
      <c r="C138" s="216">
        <v>2716</v>
      </c>
      <c r="D138" s="96"/>
      <c r="E138" s="99">
        <f t="shared" si="1"/>
        <v>2716</v>
      </c>
      <c r="F138" t="s">
        <v>1574</v>
      </c>
    </row>
    <row r="139" spans="1:6">
      <c r="A139" t="s">
        <v>1573</v>
      </c>
      <c r="B139" s="15" t="s">
        <v>628</v>
      </c>
      <c r="C139" s="216">
        <v>68278</v>
      </c>
      <c r="D139" s="96"/>
      <c r="E139" s="99">
        <f t="shared" si="1"/>
        <v>68278</v>
      </c>
      <c r="F139" t="s">
        <v>1574</v>
      </c>
    </row>
    <row r="140" spans="1:6">
      <c r="A140" t="s">
        <v>1548</v>
      </c>
      <c r="B140" s="190" t="s">
        <v>1433</v>
      </c>
      <c r="C140" s="96"/>
      <c r="D140" s="104">
        <v>1540</v>
      </c>
      <c r="E140" s="99">
        <f t="shared" si="1"/>
        <v>-1540</v>
      </c>
      <c r="F140" t="s">
        <v>37</v>
      </c>
    </row>
    <row r="141" spans="1:6">
      <c r="A141" t="s">
        <v>1548</v>
      </c>
      <c r="B141" s="190" t="s">
        <v>1009</v>
      </c>
      <c r="C141" s="96"/>
      <c r="D141" s="104">
        <v>6714</v>
      </c>
      <c r="E141" s="99">
        <f t="shared" si="1"/>
        <v>-6714</v>
      </c>
      <c r="F141" t="s">
        <v>37</v>
      </c>
    </row>
    <row r="142" spans="1:6">
      <c r="A142" t="s">
        <v>1573</v>
      </c>
      <c r="B142" s="15" t="s">
        <v>1434</v>
      </c>
      <c r="C142" s="216">
        <v>12650</v>
      </c>
      <c r="D142" s="96"/>
      <c r="E142" s="99">
        <f t="shared" ref="E142:E205" si="2">C142-D142</f>
        <v>12650</v>
      </c>
      <c r="F142" t="s">
        <v>1574</v>
      </c>
    </row>
    <row r="143" spans="1:6">
      <c r="A143" t="s">
        <v>1573</v>
      </c>
      <c r="B143" s="15" t="s">
        <v>1281</v>
      </c>
      <c r="C143" s="216">
        <v>16515</v>
      </c>
      <c r="D143" s="96"/>
      <c r="E143" s="99">
        <f t="shared" si="2"/>
        <v>16515</v>
      </c>
      <c r="F143" t="s">
        <v>1574</v>
      </c>
    </row>
    <row r="144" spans="1:6">
      <c r="A144" t="s">
        <v>1548</v>
      </c>
      <c r="B144" s="190" t="s">
        <v>1435</v>
      </c>
      <c r="C144" s="96"/>
      <c r="D144" s="104">
        <v>25888</v>
      </c>
      <c r="E144" s="99">
        <f t="shared" si="2"/>
        <v>-25888</v>
      </c>
      <c r="F144" t="s">
        <v>37</v>
      </c>
    </row>
    <row r="145" spans="1:6">
      <c r="A145" t="s">
        <v>1573</v>
      </c>
      <c r="B145" s="190" t="s">
        <v>632</v>
      </c>
      <c r="C145" s="216">
        <v>120701</v>
      </c>
      <c r="D145" s="96"/>
      <c r="E145" s="99">
        <f t="shared" si="2"/>
        <v>120701</v>
      </c>
      <c r="F145" t="s">
        <v>1574</v>
      </c>
    </row>
    <row r="146" spans="1:6">
      <c r="A146" t="s">
        <v>1573</v>
      </c>
      <c r="B146" s="190" t="s">
        <v>1436</v>
      </c>
      <c r="C146" s="216">
        <v>83861</v>
      </c>
      <c r="D146" s="96"/>
      <c r="E146" s="99">
        <f t="shared" si="2"/>
        <v>83861</v>
      </c>
      <c r="F146" t="s">
        <v>1574</v>
      </c>
    </row>
    <row r="147" spans="1:6">
      <c r="A147" t="s">
        <v>1573</v>
      </c>
      <c r="B147" s="190" t="s">
        <v>1280</v>
      </c>
      <c r="C147" s="216">
        <v>118147</v>
      </c>
      <c r="D147" s="96"/>
      <c r="E147" s="99">
        <f t="shared" si="2"/>
        <v>118147</v>
      </c>
      <c r="F147" t="s">
        <v>1574</v>
      </c>
    </row>
    <row r="148" spans="1:6">
      <c r="A148" t="s">
        <v>1573</v>
      </c>
      <c r="B148" s="190" t="s">
        <v>1437</v>
      </c>
      <c r="C148" s="216">
        <v>33450</v>
      </c>
      <c r="D148" s="96"/>
      <c r="E148" s="99">
        <f t="shared" si="2"/>
        <v>33450</v>
      </c>
      <c r="F148" t="s">
        <v>1574</v>
      </c>
    </row>
    <row r="149" spans="1:6">
      <c r="A149" t="s">
        <v>1573</v>
      </c>
      <c r="B149" s="15" t="s">
        <v>1011</v>
      </c>
      <c r="C149" s="216">
        <v>71667</v>
      </c>
      <c r="D149" s="96"/>
      <c r="E149" s="99">
        <f t="shared" si="2"/>
        <v>71667</v>
      </c>
      <c r="F149" t="s">
        <v>1574</v>
      </c>
    </row>
    <row r="150" spans="1:6">
      <c r="A150" t="s">
        <v>1548</v>
      </c>
      <c r="B150" s="15" t="s">
        <v>1012</v>
      </c>
      <c r="C150" s="96"/>
      <c r="D150" s="104">
        <v>14685</v>
      </c>
      <c r="E150" s="99">
        <f t="shared" si="2"/>
        <v>-14685</v>
      </c>
      <c r="F150" t="s">
        <v>37</v>
      </c>
    </row>
    <row r="151" spans="1:6">
      <c r="A151" t="s">
        <v>1573</v>
      </c>
      <c r="B151" s="190" t="s">
        <v>1438</v>
      </c>
      <c r="C151" s="216">
        <v>3064</v>
      </c>
      <c r="D151" s="96"/>
      <c r="E151" s="99">
        <f t="shared" si="2"/>
        <v>3064</v>
      </c>
      <c r="F151" t="s">
        <v>1574</v>
      </c>
    </row>
    <row r="152" spans="1:6">
      <c r="A152" t="s">
        <v>1548</v>
      </c>
      <c r="B152" s="190" t="s">
        <v>1439</v>
      </c>
      <c r="C152" s="96"/>
      <c r="D152" s="104">
        <v>5250</v>
      </c>
      <c r="E152" s="99">
        <f t="shared" si="2"/>
        <v>-5250</v>
      </c>
      <c r="F152" t="s">
        <v>37</v>
      </c>
    </row>
    <row r="153" spans="1:6">
      <c r="A153" t="s">
        <v>1573</v>
      </c>
      <c r="B153" s="190" t="s">
        <v>1440</v>
      </c>
      <c r="C153" s="216">
        <v>6670</v>
      </c>
      <c r="D153" s="96"/>
      <c r="E153" s="99">
        <f t="shared" si="2"/>
        <v>6670</v>
      </c>
      <c r="F153" t="s">
        <v>1574</v>
      </c>
    </row>
    <row r="154" spans="1:6">
      <c r="A154" t="s">
        <v>1548</v>
      </c>
      <c r="B154" s="15" t="s">
        <v>1441</v>
      </c>
      <c r="C154" s="96"/>
      <c r="D154" s="104">
        <v>5458</v>
      </c>
      <c r="E154" s="99">
        <f t="shared" si="2"/>
        <v>-5458</v>
      </c>
      <c r="F154" t="s">
        <v>37</v>
      </c>
    </row>
    <row r="155" spans="1:6">
      <c r="A155" t="s">
        <v>1548</v>
      </c>
      <c r="B155" s="190" t="s">
        <v>646</v>
      </c>
      <c r="C155" s="96"/>
      <c r="D155" s="104">
        <v>187808</v>
      </c>
      <c r="E155" s="99">
        <f t="shared" si="2"/>
        <v>-187808</v>
      </c>
      <c r="F155" t="s">
        <v>37</v>
      </c>
    </row>
    <row r="156" spans="1:6">
      <c r="A156" t="s">
        <v>1573</v>
      </c>
      <c r="B156" s="190" t="s">
        <v>649</v>
      </c>
      <c r="C156" s="216">
        <v>31028</v>
      </c>
      <c r="D156" s="96"/>
      <c r="E156" s="99">
        <f t="shared" si="2"/>
        <v>31028</v>
      </c>
      <c r="F156" t="s">
        <v>1574</v>
      </c>
    </row>
    <row r="157" spans="1:6">
      <c r="A157" t="s">
        <v>1548</v>
      </c>
      <c r="B157" s="190" t="s">
        <v>1442</v>
      </c>
      <c r="C157" s="96"/>
      <c r="D157" s="214">
        <v>56543</v>
      </c>
      <c r="E157" s="99">
        <f t="shared" si="2"/>
        <v>-56543</v>
      </c>
      <c r="F157" t="s">
        <v>37</v>
      </c>
    </row>
    <row r="158" spans="1:6">
      <c r="A158" t="s">
        <v>1573</v>
      </c>
      <c r="B158" s="190" t="s">
        <v>1017</v>
      </c>
      <c r="C158" s="104">
        <v>40268</v>
      </c>
      <c r="D158" s="96"/>
      <c r="E158" s="99">
        <f t="shared" si="2"/>
        <v>40268</v>
      </c>
      <c r="F158" t="s">
        <v>1574</v>
      </c>
    </row>
    <row r="159" spans="1:6">
      <c r="A159" t="s">
        <v>1573</v>
      </c>
      <c r="B159" s="15" t="s">
        <v>654</v>
      </c>
      <c r="C159" s="216">
        <v>19492</v>
      </c>
      <c r="D159" s="96"/>
      <c r="E159" s="99">
        <f t="shared" si="2"/>
        <v>19492</v>
      </c>
      <c r="F159" t="s">
        <v>1574</v>
      </c>
    </row>
    <row r="160" spans="1:6">
      <c r="A160" t="s">
        <v>1548</v>
      </c>
      <c r="B160" s="190" t="s">
        <v>1443</v>
      </c>
      <c r="C160" s="96"/>
      <c r="D160" s="104">
        <v>2000</v>
      </c>
      <c r="E160" s="99">
        <f t="shared" si="2"/>
        <v>-2000</v>
      </c>
      <c r="F160" t="s">
        <v>37</v>
      </c>
    </row>
    <row r="161" spans="1:6">
      <c r="A161" t="s">
        <v>1573</v>
      </c>
      <c r="B161" s="190" t="s">
        <v>1444</v>
      </c>
      <c r="C161" s="216">
        <v>25006</v>
      </c>
      <c r="D161" s="96"/>
      <c r="E161" s="99">
        <f t="shared" si="2"/>
        <v>25006</v>
      </c>
      <c r="F161" t="s">
        <v>1574</v>
      </c>
    </row>
    <row r="162" spans="1:6">
      <c r="A162" t="s">
        <v>1548</v>
      </c>
      <c r="B162" s="190" t="s">
        <v>1445</v>
      </c>
      <c r="C162" s="96"/>
      <c r="D162" s="104">
        <v>800</v>
      </c>
      <c r="E162" s="99">
        <f t="shared" si="2"/>
        <v>-800</v>
      </c>
      <c r="F162" t="s">
        <v>37</v>
      </c>
    </row>
    <row r="163" spans="1:6">
      <c r="A163" t="s">
        <v>1548</v>
      </c>
      <c r="B163" s="15" t="s">
        <v>657</v>
      </c>
      <c r="C163" s="96"/>
      <c r="D163" s="104">
        <v>10392</v>
      </c>
      <c r="E163" s="99">
        <f t="shared" si="2"/>
        <v>-10392</v>
      </c>
      <c r="F163" t="s">
        <v>37</v>
      </c>
    </row>
    <row r="164" spans="1:6">
      <c r="A164" t="s">
        <v>1548</v>
      </c>
      <c r="B164" s="15" t="s">
        <v>658</v>
      </c>
      <c r="C164" s="96"/>
      <c r="D164" s="104">
        <v>120</v>
      </c>
      <c r="E164" s="99">
        <f t="shared" si="2"/>
        <v>-120</v>
      </c>
      <c r="F164" t="s">
        <v>37</v>
      </c>
    </row>
    <row r="165" spans="1:6">
      <c r="A165" t="s">
        <v>1548</v>
      </c>
      <c r="B165" s="15" t="s">
        <v>659</v>
      </c>
      <c r="C165" s="96"/>
      <c r="D165" s="104">
        <v>23973</v>
      </c>
      <c r="E165" s="99">
        <f t="shared" si="2"/>
        <v>-23973</v>
      </c>
      <c r="F165" t="s">
        <v>37</v>
      </c>
    </row>
    <row r="166" spans="1:6">
      <c r="A166" t="s">
        <v>1573</v>
      </c>
      <c r="B166" s="190" t="s">
        <v>1446</v>
      </c>
      <c r="C166" s="216">
        <v>12450</v>
      </c>
      <c r="D166" s="96"/>
      <c r="E166" s="99">
        <f t="shared" si="2"/>
        <v>12450</v>
      </c>
      <c r="F166" t="s">
        <v>1574</v>
      </c>
    </row>
    <row r="167" spans="1:6">
      <c r="A167" t="s">
        <v>1573</v>
      </c>
      <c r="B167" s="190" t="s">
        <v>1447</v>
      </c>
      <c r="C167" s="216">
        <v>10470</v>
      </c>
      <c r="D167" s="96"/>
      <c r="E167" s="99">
        <f t="shared" si="2"/>
        <v>10470</v>
      </c>
      <c r="F167" t="s">
        <v>1574</v>
      </c>
    </row>
    <row r="168" spans="1:6">
      <c r="A168" t="s">
        <v>1573</v>
      </c>
      <c r="B168" s="190" t="s">
        <v>1448</v>
      </c>
      <c r="C168" s="216">
        <v>6125</v>
      </c>
      <c r="D168" s="96"/>
      <c r="E168" s="99">
        <f t="shared" si="2"/>
        <v>6125</v>
      </c>
      <c r="F168" t="s">
        <v>1574</v>
      </c>
    </row>
    <row r="169" spans="1:6">
      <c r="A169" t="s">
        <v>1548</v>
      </c>
      <c r="B169" s="15" t="s">
        <v>664</v>
      </c>
      <c r="C169" s="96"/>
      <c r="D169" s="104">
        <v>11426</v>
      </c>
      <c r="E169" s="99">
        <f t="shared" si="2"/>
        <v>-11426</v>
      </c>
      <c r="F169" t="s">
        <v>37</v>
      </c>
    </row>
    <row r="170" spans="1:6">
      <c r="A170" t="s">
        <v>1573</v>
      </c>
      <c r="B170" s="190" t="s">
        <v>665</v>
      </c>
      <c r="C170" s="216">
        <v>13154</v>
      </c>
      <c r="D170" s="96"/>
      <c r="E170" s="99">
        <f t="shared" si="2"/>
        <v>13154</v>
      </c>
      <c r="F170" t="s">
        <v>1574</v>
      </c>
    </row>
    <row r="171" spans="1:6">
      <c r="A171" t="s">
        <v>1573</v>
      </c>
      <c r="B171" s="190" t="s">
        <v>1022</v>
      </c>
      <c r="C171" s="216">
        <v>48735</v>
      </c>
      <c r="D171" s="96"/>
      <c r="E171" s="99">
        <f t="shared" si="2"/>
        <v>48735</v>
      </c>
      <c r="F171" t="s">
        <v>1574</v>
      </c>
    </row>
    <row r="172" spans="1:6">
      <c r="A172" t="s">
        <v>1573</v>
      </c>
      <c r="B172" s="190" t="s">
        <v>666</v>
      </c>
      <c r="C172" s="216">
        <v>4483</v>
      </c>
      <c r="D172" s="96"/>
      <c r="E172" s="99">
        <f t="shared" si="2"/>
        <v>4483</v>
      </c>
      <c r="F172" t="s">
        <v>1574</v>
      </c>
    </row>
    <row r="173" spans="1:6">
      <c r="A173" t="s">
        <v>1573</v>
      </c>
      <c r="B173" s="190" t="s">
        <v>667</v>
      </c>
      <c r="C173" s="216">
        <v>3532</v>
      </c>
      <c r="D173" s="96"/>
      <c r="E173" s="99">
        <f t="shared" si="2"/>
        <v>3532</v>
      </c>
      <c r="F173" t="s">
        <v>1574</v>
      </c>
    </row>
    <row r="174" spans="1:6">
      <c r="A174" t="s">
        <v>1573</v>
      </c>
      <c r="B174" s="15" t="s">
        <v>1449</v>
      </c>
      <c r="C174" s="216">
        <v>46425</v>
      </c>
      <c r="D174" s="96"/>
      <c r="E174" s="99">
        <f t="shared" si="2"/>
        <v>46425</v>
      </c>
      <c r="F174" t="s">
        <v>1574</v>
      </c>
    </row>
    <row r="175" spans="1:6">
      <c r="A175" t="s">
        <v>1548</v>
      </c>
      <c r="B175" s="190" t="s">
        <v>1450</v>
      </c>
      <c r="C175" s="96"/>
      <c r="D175" s="104">
        <v>50000</v>
      </c>
      <c r="E175" s="99">
        <f t="shared" si="2"/>
        <v>-50000</v>
      </c>
      <c r="F175" t="s">
        <v>37</v>
      </c>
    </row>
    <row r="176" spans="1:6">
      <c r="A176" t="s">
        <v>1573</v>
      </c>
      <c r="B176" s="15" t="s">
        <v>670</v>
      </c>
      <c r="C176" s="216">
        <v>84915</v>
      </c>
      <c r="D176" s="96"/>
      <c r="E176" s="99">
        <f t="shared" si="2"/>
        <v>84915</v>
      </c>
      <c r="F176" t="s">
        <v>1574</v>
      </c>
    </row>
    <row r="177" spans="1:6">
      <c r="A177" t="s">
        <v>1548</v>
      </c>
      <c r="B177" s="190" t="s">
        <v>1279</v>
      </c>
      <c r="C177" s="96"/>
      <c r="D177" s="104">
        <v>18839</v>
      </c>
      <c r="E177" s="99">
        <f t="shared" si="2"/>
        <v>-18839</v>
      </c>
      <c r="F177" t="s">
        <v>37</v>
      </c>
    </row>
    <row r="178" spans="1:6">
      <c r="A178" t="s">
        <v>1573</v>
      </c>
      <c r="B178" s="190" t="s">
        <v>1451</v>
      </c>
      <c r="C178" s="216">
        <v>139578</v>
      </c>
      <c r="D178" s="96"/>
      <c r="E178" s="99">
        <f t="shared" si="2"/>
        <v>139578</v>
      </c>
      <c r="F178" t="s">
        <v>1574</v>
      </c>
    </row>
    <row r="179" spans="1:6">
      <c r="A179" t="s">
        <v>1573</v>
      </c>
      <c r="B179" s="15" t="s">
        <v>1452</v>
      </c>
      <c r="C179" s="216">
        <v>1780</v>
      </c>
      <c r="D179" s="96"/>
      <c r="E179" s="99">
        <f t="shared" si="2"/>
        <v>1780</v>
      </c>
      <c r="F179" t="s">
        <v>1574</v>
      </c>
    </row>
    <row r="180" spans="1:6">
      <c r="A180" t="s">
        <v>1548</v>
      </c>
      <c r="B180" s="190" t="s">
        <v>672</v>
      </c>
      <c r="C180" s="96"/>
      <c r="D180" s="104">
        <v>16895</v>
      </c>
      <c r="E180" s="99">
        <f t="shared" si="2"/>
        <v>-16895</v>
      </c>
      <c r="F180" t="s">
        <v>37</v>
      </c>
    </row>
    <row r="181" spans="1:6">
      <c r="A181" t="s">
        <v>1573</v>
      </c>
      <c r="B181" s="15" t="s">
        <v>673</v>
      </c>
      <c r="C181" s="216">
        <v>79811</v>
      </c>
      <c r="D181" s="96"/>
      <c r="E181" s="99">
        <f t="shared" si="2"/>
        <v>79811</v>
      </c>
      <c r="F181" t="s">
        <v>1574</v>
      </c>
    </row>
    <row r="182" spans="1:6">
      <c r="A182" t="s">
        <v>1548</v>
      </c>
      <c r="B182" s="190" t="s">
        <v>1025</v>
      </c>
      <c r="C182" s="96"/>
      <c r="D182" s="104">
        <v>75477</v>
      </c>
      <c r="E182" s="99">
        <f t="shared" si="2"/>
        <v>-75477</v>
      </c>
      <c r="F182" t="s">
        <v>37</v>
      </c>
    </row>
    <row r="183" spans="1:6">
      <c r="A183" t="s">
        <v>1573</v>
      </c>
      <c r="B183" s="15" t="s">
        <v>1453</v>
      </c>
      <c r="C183" s="216">
        <v>100000</v>
      </c>
      <c r="D183" s="96"/>
      <c r="E183" s="99">
        <f t="shared" si="2"/>
        <v>100000</v>
      </c>
      <c r="F183" t="s">
        <v>1574</v>
      </c>
    </row>
    <row r="184" spans="1:6">
      <c r="A184" t="s">
        <v>1548</v>
      </c>
      <c r="B184" s="190" t="s">
        <v>1454</v>
      </c>
      <c r="C184" s="96"/>
      <c r="D184" s="104">
        <v>2600</v>
      </c>
      <c r="E184" s="99">
        <f t="shared" si="2"/>
        <v>-2600</v>
      </c>
      <c r="F184" t="s">
        <v>37</v>
      </c>
    </row>
    <row r="185" spans="1:6">
      <c r="A185" t="s">
        <v>1548</v>
      </c>
      <c r="B185" s="190" t="s">
        <v>1455</v>
      </c>
      <c r="C185" s="96"/>
      <c r="D185" s="104">
        <v>6652</v>
      </c>
      <c r="E185" s="99">
        <f t="shared" si="2"/>
        <v>-6652</v>
      </c>
      <c r="F185" t="s">
        <v>37</v>
      </c>
    </row>
    <row r="186" spans="1:6">
      <c r="A186" t="s">
        <v>1573</v>
      </c>
      <c r="B186" s="15" t="s">
        <v>677</v>
      </c>
      <c r="C186" s="216">
        <v>21705</v>
      </c>
      <c r="D186" s="96"/>
      <c r="E186" s="99">
        <f t="shared" si="2"/>
        <v>21705</v>
      </c>
      <c r="F186" t="s">
        <v>1574</v>
      </c>
    </row>
    <row r="187" spans="1:6">
      <c r="A187" t="s">
        <v>1548</v>
      </c>
      <c r="B187" s="190" t="s">
        <v>678</v>
      </c>
      <c r="C187" s="96"/>
      <c r="D187" s="104">
        <v>8174</v>
      </c>
      <c r="E187" s="99">
        <f t="shared" si="2"/>
        <v>-8174</v>
      </c>
      <c r="F187" t="s">
        <v>37</v>
      </c>
    </row>
    <row r="188" spans="1:6">
      <c r="A188" t="s">
        <v>1548</v>
      </c>
      <c r="B188" s="15" t="s">
        <v>679</v>
      </c>
      <c r="C188" s="96"/>
      <c r="D188" s="104">
        <v>42419</v>
      </c>
      <c r="E188" s="99">
        <f t="shared" si="2"/>
        <v>-42419</v>
      </c>
      <c r="F188" t="s">
        <v>37</v>
      </c>
    </row>
    <row r="189" spans="1:6">
      <c r="A189" t="s">
        <v>1548</v>
      </c>
      <c r="B189" s="190" t="s">
        <v>1027</v>
      </c>
      <c r="C189" s="96"/>
      <c r="D189" s="104">
        <v>10350</v>
      </c>
      <c r="E189" s="99">
        <f t="shared" si="2"/>
        <v>-10350</v>
      </c>
      <c r="F189" t="s">
        <v>37</v>
      </c>
    </row>
    <row r="190" spans="1:6">
      <c r="A190" t="s">
        <v>1548</v>
      </c>
      <c r="B190" s="15" t="s">
        <v>681</v>
      </c>
      <c r="C190" s="96"/>
      <c r="D190" s="104">
        <v>2083</v>
      </c>
      <c r="E190" s="99">
        <f t="shared" si="2"/>
        <v>-2083</v>
      </c>
      <c r="F190" t="s">
        <v>37</v>
      </c>
    </row>
    <row r="191" spans="1:6">
      <c r="A191" t="s">
        <v>1548</v>
      </c>
      <c r="B191" s="15" t="s">
        <v>1028</v>
      </c>
      <c r="C191" s="96"/>
      <c r="D191" s="104">
        <v>20270</v>
      </c>
      <c r="E191" s="99">
        <f t="shared" si="2"/>
        <v>-20270</v>
      </c>
      <c r="F191" t="s">
        <v>37</v>
      </c>
    </row>
    <row r="192" spans="1:6">
      <c r="A192" t="s">
        <v>1548</v>
      </c>
      <c r="B192" s="190" t="s">
        <v>1456</v>
      </c>
      <c r="C192" s="96"/>
      <c r="D192" s="104">
        <v>236</v>
      </c>
      <c r="E192" s="99">
        <f t="shared" si="2"/>
        <v>-236</v>
      </c>
      <c r="F192" t="s">
        <v>37</v>
      </c>
    </row>
    <row r="193" spans="1:6">
      <c r="A193" t="s">
        <v>1573</v>
      </c>
      <c r="B193" s="15" t="s">
        <v>685</v>
      </c>
      <c r="C193" s="216">
        <v>75000</v>
      </c>
      <c r="D193" s="96"/>
      <c r="E193" s="99">
        <f t="shared" si="2"/>
        <v>75000</v>
      </c>
      <c r="F193" t="s">
        <v>1574</v>
      </c>
    </row>
    <row r="194" spans="1:6">
      <c r="A194" t="s">
        <v>1548</v>
      </c>
      <c r="B194" s="190" t="s">
        <v>1457</v>
      </c>
      <c r="C194" s="96"/>
      <c r="D194" s="214">
        <v>56964</v>
      </c>
      <c r="E194" s="99">
        <f t="shared" si="2"/>
        <v>-56964</v>
      </c>
      <c r="F194" t="s">
        <v>37</v>
      </c>
    </row>
    <row r="195" spans="1:6">
      <c r="A195" t="s">
        <v>1573</v>
      </c>
      <c r="B195" s="190" t="s">
        <v>1458</v>
      </c>
      <c r="C195" s="216">
        <v>760</v>
      </c>
      <c r="D195" s="96"/>
      <c r="E195" s="99">
        <f t="shared" si="2"/>
        <v>760</v>
      </c>
      <c r="F195" t="s">
        <v>1574</v>
      </c>
    </row>
    <row r="196" spans="1:6">
      <c r="A196" t="s">
        <v>1573</v>
      </c>
      <c r="B196" s="190" t="s">
        <v>1278</v>
      </c>
      <c r="C196" s="216">
        <v>99115</v>
      </c>
      <c r="D196" s="96"/>
      <c r="E196" s="99">
        <f t="shared" si="2"/>
        <v>99115</v>
      </c>
      <c r="F196" t="s">
        <v>1574</v>
      </c>
    </row>
    <row r="197" spans="1:6">
      <c r="A197" t="s">
        <v>1548</v>
      </c>
      <c r="B197" s="190" t="s">
        <v>1277</v>
      </c>
      <c r="C197" s="96"/>
      <c r="D197" s="104">
        <v>13000</v>
      </c>
      <c r="E197" s="99">
        <f t="shared" si="2"/>
        <v>-13000</v>
      </c>
      <c r="F197" t="s">
        <v>37</v>
      </c>
    </row>
    <row r="198" spans="1:6">
      <c r="A198" t="s">
        <v>1548</v>
      </c>
      <c r="B198" s="190" t="s">
        <v>1459</v>
      </c>
      <c r="C198" s="96"/>
      <c r="D198" s="104">
        <v>627885</v>
      </c>
      <c r="E198" s="99">
        <f t="shared" si="2"/>
        <v>-627885</v>
      </c>
      <c r="F198" t="s">
        <v>37</v>
      </c>
    </row>
    <row r="199" spans="1:6">
      <c r="A199" t="s">
        <v>1548</v>
      </c>
      <c r="B199" s="190" t="s">
        <v>1276</v>
      </c>
      <c r="C199" s="96"/>
      <c r="D199" s="104">
        <v>144688</v>
      </c>
      <c r="E199" s="99">
        <f t="shared" si="2"/>
        <v>-144688</v>
      </c>
      <c r="F199" t="s">
        <v>37</v>
      </c>
    </row>
    <row r="200" spans="1:6">
      <c r="A200" t="s">
        <v>1548</v>
      </c>
      <c r="B200" s="190" t="s">
        <v>1031</v>
      </c>
      <c r="C200" s="96"/>
      <c r="D200" s="104">
        <v>25306</v>
      </c>
      <c r="E200" s="99">
        <f t="shared" si="2"/>
        <v>-25306</v>
      </c>
      <c r="F200" t="s">
        <v>37</v>
      </c>
    </row>
    <row r="201" spans="1:6">
      <c r="A201" t="s">
        <v>1548</v>
      </c>
      <c r="B201" s="15" t="s">
        <v>1460</v>
      </c>
      <c r="C201" s="96"/>
      <c r="D201" s="104">
        <v>9022</v>
      </c>
      <c r="E201" s="99">
        <f t="shared" si="2"/>
        <v>-9022</v>
      </c>
      <c r="F201" t="s">
        <v>37</v>
      </c>
    </row>
    <row r="202" spans="1:6">
      <c r="A202" t="s">
        <v>1548</v>
      </c>
      <c r="B202" s="190" t="s">
        <v>696</v>
      </c>
      <c r="C202" s="96"/>
      <c r="D202" s="104">
        <v>12492</v>
      </c>
      <c r="E202" s="99">
        <f t="shared" si="2"/>
        <v>-12492</v>
      </c>
      <c r="F202" t="s">
        <v>37</v>
      </c>
    </row>
    <row r="203" spans="1:6">
      <c r="A203" t="s">
        <v>1573</v>
      </c>
      <c r="B203" s="190" t="s">
        <v>698</v>
      </c>
      <c r="C203" s="216">
        <v>231537</v>
      </c>
      <c r="D203" s="96"/>
      <c r="E203" s="99">
        <f t="shared" si="2"/>
        <v>231537</v>
      </c>
      <c r="F203" t="s">
        <v>1574</v>
      </c>
    </row>
    <row r="204" spans="1:6">
      <c r="A204" t="s">
        <v>1548</v>
      </c>
      <c r="B204" s="190" t="s">
        <v>699</v>
      </c>
      <c r="C204" s="96"/>
      <c r="D204" s="104">
        <v>3696</v>
      </c>
      <c r="E204" s="99">
        <f t="shared" si="2"/>
        <v>-3696</v>
      </c>
      <c r="F204" t="s">
        <v>37</v>
      </c>
    </row>
    <row r="205" spans="1:6">
      <c r="A205" t="s">
        <v>1548</v>
      </c>
      <c r="B205" s="190" t="s">
        <v>1275</v>
      </c>
      <c r="C205" s="96"/>
      <c r="D205" s="104">
        <v>5500</v>
      </c>
      <c r="E205" s="99">
        <f t="shared" si="2"/>
        <v>-5500</v>
      </c>
      <c r="F205" t="s">
        <v>37</v>
      </c>
    </row>
    <row r="206" spans="1:6">
      <c r="A206" t="s">
        <v>1548</v>
      </c>
      <c r="B206" s="190" t="s">
        <v>1032</v>
      </c>
      <c r="C206" s="96"/>
      <c r="D206" s="104">
        <v>316617.93</v>
      </c>
      <c r="E206" s="99">
        <f t="shared" ref="E206:E267" si="3">C206-D206</f>
        <v>-316617.93</v>
      </c>
      <c r="F206" t="s">
        <v>37</v>
      </c>
    </row>
    <row r="207" spans="1:6">
      <c r="A207" t="s">
        <v>1548</v>
      </c>
      <c r="B207" s="190" t="s">
        <v>1461</v>
      </c>
      <c r="C207" s="96"/>
      <c r="D207" s="104">
        <v>7400</v>
      </c>
      <c r="E207" s="99">
        <f t="shared" si="3"/>
        <v>-7400</v>
      </c>
      <c r="F207" t="s">
        <v>37</v>
      </c>
    </row>
    <row r="208" spans="1:6">
      <c r="A208" t="s">
        <v>1573</v>
      </c>
      <c r="B208" s="190" t="s">
        <v>1462</v>
      </c>
      <c r="C208" s="216">
        <v>95000</v>
      </c>
      <c r="D208" s="96"/>
      <c r="E208" s="99">
        <f t="shared" si="3"/>
        <v>95000</v>
      </c>
      <c r="F208" t="s">
        <v>1574</v>
      </c>
    </row>
    <row r="209" spans="1:6">
      <c r="A209" t="s">
        <v>1573</v>
      </c>
      <c r="B209" s="15" t="s">
        <v>1463</v>
      </c>
      <c r="C209" s="216">
        <v>1474</v>
      </c>
      <c r="D209" s="96"/>
      <c r="E209" s="99">
        <f t="shared" si="3"/>
        <v>1474</v>
      </c>
      <c r="F209" t="s">
        <v>1574</v>
      </c>
    </row>
    <row r="210" spans="1:6">
      <c r="A210" t="s">
        <v>1573</v>
      </c>
      <c r="B210" s="190" t="s">
        <v>1033</v>
      </c>
      <c r="C210" s="216">
        <v>40200</v>
      </c>
      <c r="D210" s="96"/>
      <c r="E210" s="99">
        <f t="shared" si="3"/>
        <v>40200</v>
      </c>
      <c r="F210" t="s">
        <v>1574</v>
      </c>
    </row>
    <row r="211" spans="1:6">
      <c r="A211" t="s">
        <v>1573</v>
      </c>
      <c r="B211" s="15" t="s">
        <v>650</v>
      </c>
      <c r="C211" s="216">
        <v>35403</v>
      </c>
      <c r="D211" s="96"/>
      <c r="E211" s="99">
        <f t="shared" si="3"/>
        <v>35403</v>
      </c>
      <c r="F211" t="s">
        <v>1574</v>
      </c>
    </row>
    <row r="212" spans="1:6">
      <c r="A212" t="s">
        <v>1573</v>
      </c>
      <c r="B212" s="15" t="s">
        <v>656</v>
      </c>
      <c r="C212" s="216">
        <v>516</v>
      </c>
      <c r="D212" s="96"/>
      <c r="E212" s="99">
        <f t="shared" si="3"/>
        <v>516</v>
      </c>
      <c r="F212" t="s">
        <v>1574</v>
      </c>
    </row>
    <row r="213" spans="1:6">
      <c r="A213" t="s">
        <v>1573</v>
      </c>
      <c r="B213" s="190" t="s">
        <v>1035</v>
      </c>
      <c r="C213" s="216">
        <v>42237</v>
      </c>
      <c r="D213" s="96"/>
      <c r="E213" s="99">
        <f t="shared" si="3"/>
        <v>42237</v>
      </c>
      <c r="F213" t="s">
        <v>1574</v>
      </c>
    </row>
    <row r="214" spans="1:6">
      <c r="A214" t="s">
        <v>1573</v>
      </c>
      <c r="B214" s="15" t="s">
        <v>1176</v>
      </c>
      <c r="C214" s="216">
        <v>1851</v>
      </c>
      <c r="D214" s="96"/>
      <c r="E214" s="99">
        <f t="shared" si="3"/>
        <v>1851</v>
      </c>
      <c r="F214" t="s">
        <v>1574</v>
      </c>
    </row>
    <row r="215" spans="1:6">
      <c r="A215" t="s">
        <v>1548</v>
      </c>
      <c r="B215" s="15" t="s">
        <v>1036</v>
      </c>
      <c r="C215" s="96"/>
      <c r="D215" s="104">
        <v>5982</v>
      </c>
      <c r="E215" s="99">
        <f t="shared" si="3"/>
        <v>-5982</v>
      </c>
      <c r="F215" t="s">
        <v>37</v>
      </c>
    </row>
    <row r="216" spans="1:6">
      <c r="A216" t="s">
        <v>1573</v>
      </c>
      <c r="B216" s="15" t="s">
        <v>1464</v>
      </c>
      <c r="C216" s="216">
        <v>1000</v>
      </c>
      <c r="D216" s="96"/>
      <c r="E216" s="99">
        <f t="shared" si="3"/>
        <v>1000</v>
      </c>
      <c r="F216" t="s">
        <v>1574</v>
      </c>
    </row>
    <row r="217" spans="1:6">
      <c r="A217" t="s">
        <v>1548</v>
      </c>
      <c r="B217" s="15" t="s">
        <v>1037</v>
      </c>
      <c r="C217" s="96"/>
      <c r="D217" s="104">
        <v>4498</v>
      </c>
      <c r="E217" s="99">
        <f t="shared" si="3"/>
        <v>-4498</v>
      </c>
      <c r="F217" t="s">
        <v>37</v>
      </c>
    </row>
    <row r="218" spans="1:6">
      <c r="A218" t="s">
        <v>1573</v>
      </c>
      <c r="B218" s="190" t="s">
        <v>1465</v>
      </c>
      <c r="C218" s="216">
        <v>2550</v>
      </c>
      <c r="D218" s="96"/>
      <c r="E218" s="99">
        <f t="shared" si="3"/>
        <v>2550</v>
      </c>
      <c r="F218" t="s">
        <v>1574</v>
      </c>
    </row>
    <row r="219" spans="1:6">
      <c r="A219" t="s">
        <v>1573</v>
      </c>
      <c r="B219" s="15" t="s">
        <v>1466</v>
      </c>
      <c r="C219" s="216">
        <v>2000</v>
      </c>
      <c r="D219" s="96"/>
      <c r="E219" s="99">
        <f t="shared" si="3"/>
        <v>2000</v>
      </c>
      <c r="F219" t="s">
        <v>1574</v>
      </c>
    </row>
    <row r="220" spans="1:6">
      <c r="A220" t="s">
        <v>1573</v>
      </c>
      <c r="B220" s="190" t="s">
        <v>1467</v>
      </c>
      <c r="C220" s="216">
        <v>22000</v>
      </c>
      <c r="D220" s="96"/>
      <c r="E220" s="99">
        <f t="shared" si="3"/>
        <v>22000</v>
      </c>
      <c r="F220" t="s">
        <v>1574</v>
      </c>
    </row>
    <row r="221" spans="1:6">
      <c r="A221" t="s">
        <v>1573</v>
      </c>
      <c r="B221" s="190" t="s">
        <v>697</v>
      </c>
      <c r="C221" s="216">
        <v>90070</v>
      </c>
      <c r="D221" s="96"/>
      <c r="E221" s="99">
        <f t="shared" si="3"/>
        <v>90070</v>
      </c>
      <c r="F221" t="s">
        <v>1574</v>
      </c>
    </row>
    <row r="222" spans="1:6">
      <c r="B222" s="194" t="s">
        <v>944</v>
      </c>
      <c r="C222" s="204">
        <v>280665</v>
      </c>
      <c r="D222" s="204">
        <v>3052545.2</v>
      </c>
      <c r="E222" s="99"/>
    </row>
    <row r="223" spans="1:6">
      <c r="A223" t="s">
        <v>1573</v>
      </c>
      <c r="B223" s="190" t="s">
        <v>1468</v>
      </c>
      <c r="C223" s="216">
        <v>1</v>
      </c>
      <c r="D223" s="96"/>
      <c r="E223" s="99">
        <f t="shared" si="3"/>
        <v>1</v>
      </c>
      <c r="F223" t="s">
        <v>1574</v>
      </c>
    </row>
    <row r="224" spans="1:6">
      <c r="A224" t="s">
        <v>1548</v>
      </c>
      <c r="B224" s="190" t="s">
        <v>1469</v>
      </c>
      <c r="C224" s="96"/>
      <c r="D224" s="104">
        <v>10962</v>
      </c>
      <c r="E224" s="99">
        <f t="shared" si="3"/>
        <v>-10962</v>
      </c>
      <c r="F224" t="s">
        <v>37</v>
      </c>
    </row>
    <row r="225" spans="1:6">
      <c r="A225" t="s">
        <v>1548</v>
      </c>
      <c r="B225" s="190" t="s">
        <v>1273</v>
      </c>
      <c r="C225" s="96"/>
      <c r="D225" s="104">
        <v>28985</v>
      </c>
      <c r="E225" s="99">
        <f t="shared" si="3"/>
        <v>-28985</v>
      </c>
      <c r="F225" t="s">
        <v>37</v>
      </c>
    </row>
    <row r="226" spans="1:6">
      <c r="A226" t="s">
        <v>1548</v>
      </c>
      <c r="B226" s="190" t="s">
        <v>704</v>
      </c>
      <c r="C226" s="96"/>
      <c r="D226" s="104">
        <v>761986</v>
      </c>
      <c r="E226" s="99">
        <f t="shared" si="3"/>
        <v>-761986</v>
      </c>
      <c r="F226" t="s">
        <v>37</v>
      </c>
    </row>
    <row r="227" spans="1:6">
      <c r="A227" t="s">
        <v>1548</v>
      </c>
      <c r="B227" s="190" t="s">
        <v>1039</v>
      </c>
      <c r="C227" s="96"/>
      <c r="D227" s="104">
        <v>143421</v>
      </c>
      <c r="E227" s="99">
        <f t="shared" si="3"/>
        <v>-143421</v>
      </c>
      <c r="F227" t="s">
        <v>37</v>
      </c>
    </row>
    <row r="228" spans="1:6">
      <c r="A228" t="s">
        <v>1548</v>
      </c>
      <c r="B228" s="190" t="s">
        <v>1470</v>
      </c>
      <c r="C228" s="96"/>
      <c r="D228" s="104">
        <v>63635</v>
      </c>
      <c r="E228" s="99">
        <f t="shared" si="3"/>
        <v>-63635</v>
      </c>
      <c r="F228" t="s">
        <v>37</v>
      </c>
    </row>
    <row r="229" spans="1:6">
      <c r="A229" t="s">
        <v>1548</v>
      </c>
      <c r="B229" s="190" t="s">
        <v>707</v>
      </c>
      <c r="C229" s="96"/>
      <c r="D229" s="104">
        <v>514711.2</v>
      </c>
      <c r="E229" s="99">
        <f t="shared" si="3"/>
        <v>-514711.2</v>
      </c>
      <c r="F229" t="s">
        <v>37</v>
      </c>
    </row>
    <row r="230" spans="1:6">
      <c r="A230" t="s">
        <v>1573</v>
      </c>
      <c r="B230" s="190" t="s">
        <v>1471</v>
      </c>
      <c r="C230" s="216">
        <v>315</v>
      </c>
      <c r="D230" s="96"/>
      <c r="E230" s="99">
        <f t="shared" si="3"/>
        <v>315</v>
      </c>
      <c r="F230" t="s">
        <v>1574</v>
      </c>
    </row>
    <row r="231" spans="1:6">
      <c r="A231" t="s">
        <v>1548</v>
      </c>
      <c r="B231" s="190" t="s">
        <v>1472</v>
      </c>
      <c r="C231" s="96"/>
      <c r="D231" s="104">
        <v>13</v>
      </c>
      <c r="E231" s="99">
        <f t="shared" si="3"/>
        <v>-13</v>
      </c>
      <c r="F231" t="s">
        <v>37</v>
      </c>
    </row>
    <row r="232" spans="1:6">
      <c r="A232" t="s">
        <v>1548</v>
      </c>
      <c r="B232" s="15" t="s">
        <v>1473</v>
      </c>
      <c r="C232" s="96"/>
      <c r="D232" s="104">
        <v>4635</v>
      </c>
      <c r="E232" s="99">
        <f t="shared" si="3"/>
        <v>-4635</v>
      </c>
      <c r="F232" t="s">
        <v>37</v>
      </c>
    </row>
    <row r="233" spans="1:6">
      <c r="A233" t="s">
        <v>1548</v>
      </c>
      <c r="B233" s="190" t="s">
        <v>709</v>
      </c>
      <c r="C233" s="96"/>
      <c r="D233" s="104">
        <v>113424</v>
      </c>
      <c r="E233" s="99">
        <f t="shared" si="3"/>
        <v>-113424</v>
      </c>
      <c r="F233" t="s">
        <v>37</v>
      </c>
    </row>
    <row r="234" spans="1:6">
      <c r="A234" t="s">
        <v>1548</v>
      </c>
      <c r="B234" s="15" t="s">
        <v>1474</v>
      </c>
      <c r="C234" s="96"/>
      <c r="D234" s="104">
        <v>13600</v>
      </c>
      <c r="E234" s="99">
        <f t="shared" si="3"/>
        <v>-13600</v>
      </c>
      <c r="F234" t="s">
        <v>37</v>
      </c>
    </row>
    <row r="235" spans="1:6">
      <c r="A235" t="s">
        <v>1548</v>
      </c>
      <c r="B235" s="190" t="s">
        <v>1272</v>
      </c>
      <c r="C235" s="96"/>
      <c r="D235" s="104">
        <v>12363</v>
      </c>
      <c r="E235" s="99">
        <f t="shared" si="3"/>
        <v>-12363</v>
      </c>
      <c r="F235" t="s">
        <v>37</v>
      </c>
    </row>
    <row r="236" spans="1:6">
      <c r="A236" t="s">
        <v>1573</v>
      </c>
      <c r="B236" s="15" t="s">
        <v>1475</v>
      </c>
      <c r="C236" s="216">
        <v>15200</v>
      </c>
      <c r="D236" s="96"/>
      <c r="E236" s="99">
        <f t="shared" si="3"/>
        <v>15200</v>
      </c>
      <c r="F236" t="s">
        <v>1574</v>
      </c>
    </row>
    <row r="237" spans="1:6">
      <c r="A237" t="s">
        <v>1548</v>
      </c>
      <c r="B237" s="15" t="s">
        <v>711</v>
      </c>
      <c r="C237" s="96"/>
      <c r="D237" s="104">
        <v>10324</v>
      </c>
      <c r="E237" s="99">
        <f t="shared" si="3"/>
        <v>-10324</v>
      </c>
      <c r="F237" t="s">
        <v>37</v>
      </c>
    </row>
    <row r="238" spans="1:6">
      <c r="A238" t="s">
        <v>1573</v>
      </c>
      <c r="B238" s="15" t="s">
        <v>1476</v>
      </c>
      <c r="C238" s="216">
        <v>33000</v>
      </c>
      <c r="D238" s="96"/>
      <c r="E238" s="99">
        <f t="shared" si="3"/>
        <v>33000</v>
      </c>
      <c r="F238" t="s">
        <v>1574</v>
      </c>
    </row>
    <row r="239" spans="1:6">
      <c r="A239" t="s">
        <v>1548</v>
      </c>
      <c r="B239" s="190" t="s">
        <v>1271</v>
      </c>
      <c r="C239" s="96"/>
      <c r="D239" s="104">
        <v>33800</v>
      </c>
      <c r="E239" s="99">
        <f t="shared" si="3"/>
        <v>-33800</v>
      </c>
      <c r="F239" t="s">
        <v>37</v>
      </c>
    </row>
    <row r="240" spans="1:6">
      <c r="A240" t="s">
        <v>1573</v>
      </c>
      <c r="B240" s="190" t="s">
        <v>1477</v>
      </c>
      <c r="C240" s="216">
        <v>355</v>
      </c>
      <c r="D240" s="96"/>
      <c r="E240" s="99">
        <f t="shared" si="3"/>
        <v>355</v>
      </c>
      <c r="F240" t="s">
        <v>1574</v>
      </c>
    </row>
    <row r="241" spans="1:6">
      <c r="A241" t="s">
        <v>1548</v>
      </c>
      <c r="B241" s="190" t="s">
        <v>1478</v>
      </c>
      <c r="C241" s="96"/>
      <c r="D241" s="104">
        <v>95692</v>
      </c>
      <c r="E241" s="99">
        <f t="shared" si="3"/>
        <v>-95692</v>
      </c>
      <c r="F241" t="s">
        <v>37</v>
      </c>
    </row>
    <row r="242" spans="1:6">
      <c r="A242" t="s">
        <v>1573</v>
      </c>
      <c r="B242" s="190" t="s">
        <v>1479</v>
      </c>
      <c r="C242" s="216">
        <v>217394</v>
      </c>
      <c r="D242" s="96"/>
      <c r="E242" s="99">
        <f t="shared" si="3"/>
        <v>217394</v>
      </c>
      <c r="F242" t="s">
        <v>1574</v>
      </c>
    </row>
    <row r="243" spans="1:6">
      <c r="A243" t="s">
        <v>1548</v>
      </c>
      <c r="B243" s="190" t="s">
        <v>714</v>
      </c>
      <c r="C243" s="96"/>
      <c r="D243" s="104">
        <v>42300</v>
      </c>
      <c r="E243" s="99">
        <f t="shared" si="3"/>
        <v>-42300</v>
      </c>
      <c r="F243" t="s">
        <v>37</v>
      </c>
    </row>
    <row r="244" spans="1:6">
      <c r="A244" t="s">
        <v>1548</v>
      </c>
      <c r="B244" s="190" t="s">
        <v>1480</v>
      </c>
      <c r="C244" s="96"/>
      <c r="D244" s="104">
        <v>3428</v>
      </c>
      <c r="E244" s="99">
        <f t="shared" si="3"/>
        <v>-3428</v>
      </c>
      <c r="F244" t="s">
        <v>37</v>
      </c>
    </row>
    <row r="245" spans="1:6">
      <c r="A245" t="s">
        <v>1548</v>
      </c>
      <c r="B245" s="190" t="s">
        <v>715</v>
      </c>
      <c r="C245" s="96"/>
      <c r="D245" s="104">
        <v>863278.75</v>
      </c>
      <c r="E245" s="99">
        <f t="shared" si="3"/>
        <v>-863278.75</v>
      </c>
      <c r="F245" t="s">
        <v>37</v>
      </c>
    </row>
    <row r="246" spans="1:6">
      <c r="A246" t="s">
        <v>1548</v>
      </c>
      <c r="B246" s="190" t="s">
        <v>1270</v>
      </c>
      <c r="C246" s="96"/>
      <c r="D246" s="104">
        <v>20000</v>
      </c>
      <c r="E246" s="99">
        <f t="shared" si="3"/>
        <v>-20000</v>
      </c>
      <c r="F246" t="s">
        <v>37</v>
      </c>
    </row>
    <row r="247" spans="1:6">
      <c r="A247" t="s">
        <v>1548</v>
      </c>
      <c r="B247" s="15" t="s">
        <v>1269</v>
      </c>
      <c r="C247" s="96"/>
      <c r="D247" s="104">
        <v>1.25</v>
      </c>
      <c r="E247" s="99">
        <f t="shared" si="3"/>
        <v>-1.25</v>
      </c>
      <c r="F247" t="s">
        <v>37</v>
      </c>
    </row>
    <row r="248" spans="1:6">
      <c r="A248" t="s">
        <v>1548</v>
      </c>
      <c r="B248" s="190" t="s">
        <v>1481</v>
      </c>
      <c r="C248" s="96"/>
      <c r="D248" s="104">
        <v>14946</v>
      </c>
      <c r="E248" s="99">
        <f t="shared" si="3"/>
        <v>-14946</v>
      </c>
      <c r="F248" t="s">
        <v>37</v>
      </c>
    </row>
    <row r="249" spans="1:6">
      <c r="A249" t="s">
        <v>1548</v>
      </c>
      <c r="B249" s="190" t="s">
        <v>720</v>
      </c>
      <c r="C249" s="96"/>
      <c r="D249" s="104">
        <v>27040</v>
      </c>
      <c r="E249" s="99">
        <f t="shared" si="3"/>
        <v>-27040</v>
      </c>
      <c r="F249" t="s">
        <v>37</v>
      </c>
    </row>
    <row r="250" spans="1:6">
      <c r="A250" t="s">
        <v>1548</v>
      </c>
      <c r="B250" s="190" t="s">
        <v>1268</v>
      </c>
      <c r="C250" s="96"/>
      <c r="D250" s="104">
        <v>3738</v>
      </c>
      <c r="E250" s="99">
        <f t="shared" si="3"/>
        <v>-3738</v>
      </c>
      <c r="F250" t="s">
        <v>37</v>
      </c>
    </row>
    <row r="251" spans="1:6">
      <c r="A251" t="s">
        <v>1573</v>
      </c>
      <c r="B251" s="190" t="s">
        <v>1482</v>
      </c>
      <c r="C251" s="216">
        <v>12900</v>
      </c>
      <c r="D251" s="96"/>
      <c r="E251" s="99">
        <f t="shared" si="3"/>
        <v>12900</v>
      </c>
      <c r="F251" t="s">
        <v>1574</v>
      </c>
    </row>
    <row r="252" spans="1:6">
      <c r="A252" t="s">
        <v>1548</v>
      </c>
      <c r="B252" s="190" t="s">
        <v>1042</v>
      </c>
      <c r="C252" s="96"/>
      <c r="D252" s="104">
        <v>15462</v>
      </c>
      <c r="E252" s="99">
        <f t="shared" si="3"/>
        <v>-15462</v>
      </c>
      <c r="F252" t="s">
        <v>37</v>
      </c>
    </row>
    <row r="253" spans="1:6">
      <c r="A253" t="s">
        <v>1548</v>
      </c>
      <c r="B253" s="15" t="s">
        <v>1043</v>
      </c>
      <c r="C253" s="96"/>
      <c r="D253" s="104">
        <v>169600</v>
      </c>
      <c r="E253" s="99">
        <f t="shared" si="3"/>
        <v>-169600</v>
      </c>
      <c r="F253" t="s">
        <v>37</v>
      </c>
    </row>
    <row r="254" spans="1:6">
      <c r="A254" t="s">
        <v>1548</v>
      </c>
      <c r="B254" s="190" t="s">
        <v>1044</v>
      </c>
      <c r="C254" s="96"/>
      <c r="D254" s="104">
        <v>6800</v>
      </c>
      <c r="E254" s="99">
        <f t="shared" si="3"/>
        <v>-6800</v>
      </c>
      <c r="F254" t="s">
        <v>37</v>
      </c>
    </row>
    <row r="255" spans="1:6">
      <c r="A255" t="s">
        <v>1548</v>
      </c>
      <c r="B255" s="15" t="s">
        <v>718</v>
      </c>
      <c r="C255" s="96"/>
      <c r="D255" s="104">
        <v>37500</v>
      </c>
      <c r="E255" s="99">
        <f t="shared" si="3"/>
        <v>-37500</v>
      </c>
      <c r="F255" t="s">
        <v>37</v>
      </c>
    </row>
    <row r="256" spans="1:6">
      <c r="A256" t="s">
        <v>1548</v>
      </c>
      <c r="B256" s="190" t="s">
        <v>1046</v>
      </c>
      <c r="C256" s="96"/>
      <c r="D256" s="104">
        <v>39400</v>
      </c>
      <c r="E256" s="99">
        <f t="shared" si="3"/>
        <v>-39400</v>
      </c>
      <c r="F256" t="s">
        <v>37</v>
      </c>
    </row>
    <row r="257" spans="1:7">
      <c r="B257" s="203" t="s">
        <v>943</v>
      </c>
      <c r="C257" s="204">
        <v>491150.9</v>
      </c>
      <c r="D257" s="108"/>
      <c r="E257" s="99"/>
    </row>
    <row r="258" spans="1:7">
      <c r="A258" t="s">
        <v>161</v>
      </c>
      <c r="B258" s="227" t="s">
        <v>1483</v>
      </c>
      <c r="C258" s="216">
        <v>491150.9</v>
      </c>
      <c r="D258" s="228"/>
      <c r="E258" s="226">
        <f t="shared" si="3"/>
        <v>491150.9</v>
      </c>
      <c r="F258" t="s">
        <v>1653</v>
      </c>
    </row>
    <row r="259" spans="1:7">
      <c r="A259" t="s">
        <v>1546</v>
      </c>
      <c r="B259" s="13" t="s">
        <v>1062</v>
      </c>
      <c r="C259" s="96"/>
      <c r="D259" s="104">
        <v>78862</v>
      </c>
      <c r="E259" s="99">
        <f t="shared" si="3"/>
        <v>-78862</v>
      </c>
    </row>
    <row r="260" spans="1:7">
      <c r="A260" t="s">
        <v>1546</v>
      </c>
      <c r="B260" s="13" t="s">
        <v>91</v>
      </c>
      <c r="C260" s="96"/>
      <c r="D260" s="104">
        <v>294347</v>
      </c>
      <c r="E260" s="99">
        <f t="shared" si="3"/>
        <v>-294347</v>
      </c>
    </row>
    <row r="261" spans="1:7">
      <c r="A261" t="s">
        <v>1546</v>
      </c>
      <c r="B261" s="13" t="s">
        <v>1063</v>
      </c>
      <c r="C261" s="96"/>
      <c r="D261" s="104">
        <v>100602.14</v>
      </c>
      <c r="E261" s="99">
        <f t="shared" si="3"/>
        <v>-100602.14</v>
      </c>
    </row>
    <row r="262" spans="1:7">
      <c r="B262" s="1" t="s">
        <v>39</v>
      </c>
      <c r="C262" s="105">
        <v>30755362.309999999</v>
      </c>
      <c r="D262" s="109"/>
      <c r="E262" s="99"/>
    </row>
    <row r="263" spans="1:7">
      <c r="B263" s="13" t="s">
        <v>92</v>
      </c>
      <c r="C263" s="104">
        <v>868251</v>
      </c>
      <c r="D263" s="96"/>
      <c r="E263" s="99">
        <f t="shared" si="3"/>
        <v>868251</v>
      </c>
    </row>
    <row r="264" spans="1:7">
      <c r="B264" s="13" t="s">
        <v>93</v>
      </c>
      <c r="C264" s="104">
        <v>269702.96000000002</v>
      </c>
      <c r="D264" s="96"/>
      <c r="E264" s="99">
        <f t="shared" si="3"/>
        <v>269702.96000000002</v>
      </c>
    </row>
    <row r="265" spans="1:7">
      <c r="B265" s="13" t="s">
        <v>94</v>
      </c>
      <c r="C265" s="104">
        <v>113035.69</v>
      </c>
      <c r="D265" s="96"/>
      <c r="E265" s="99">
        <f t="shared" si="3"/>
        <v>113035.69</v>
      </c>
    </row>
    <row r="266" spans="1:7">
      <c r="B266" s="13" t="s">
        <v>83</v>
      </c>
      <c r="C266" s="104">
        <v>24992972.43</v>
      </c>
      <c r="D266" s="96"/>
      <c r="E266" s="99">
        <f t="shared" si="3"/>
        <v>24992972.43</v>
      </c>
    </row>
    <row r="267" spans="1:7">
      <c r="B267" s="13" t="s">
        <v>942</v>
      </c>
      <c r="C267" s="104">
        <v>4511400.2300000004</v>
      </c>
      <c r="D267" s="96"/>
      <c r="E267" s="99">
        <f t="shared" si="3"/>
        <v>4511400.2300000004</v>
      </c>
    </row>
    <row r="268" spans="1:7">
      <c r="B268" s="1" t="s">
        <v>96</v>
      </c>
      <c r="C268" s="105">
        <v>94516481.290000007</v>
      </c>
      <c r="D268" s="105">
        <v>3407903.79</v>
      </c>
      <c r="E268" s="99"/>
    </row>
    <row r="269" spans="1:7">
      <c r="B269" s="14" t="s">
        <v>97</v>
      </c>
      <c r="C269" s="110">
        <v>20975000</v>
      </c>
      <c r="D269" s="111"/>
      <c r="E269" s="99"/>
    </row>
    <row r="270" spans="1:7">
      <c r="A270" t="s">
        <v>1560</v>
      </c>
      <c r="B270" s="15" t="s">
        <v>1264</v>
      </c>
      <c r="C270" s="112">
        <v>500000</v>
      </c>
      <c r="D270" s="95"/>
      <c r="E270" s="99">
        <f t="shared" ref="E270:E333" si="4">C270-D270</f>
        <v>500000</v>
      </c>
      <c r="F270" t="s">
        <v>1569</v>
      </c>
    </row>
    <row r="271" spans="1:7">
      <c r="A271" t="s">
        <v>1568</v>
      </c>
      <c r="B271" s="13" t="s">
        <v>730</v>
      </c>
      <c r="C271" s="112">
        <v>20450000</v>
      </c>
      <c r="D271" s="95"/>
      <c r="E271" s="99">
        <f t="shared" si="4"/>
        <v>20450000</v>
      </c>
      <c r="F271" t="s">
        <v>1570</v>
      </c>
    </row>
    <row r="272" spans="1:7">
      <c r="B272" s="15" t="s">
        <v>141</v>
      </c>
      <c r="C272" s="112">
        <v>1346644</v>
      </c>
      <c r="D272" s="95"/>
      <c r="E272" s="99"/>
      <c r="G272" t="s">
        <v>1543</v>
      </c>
    </row>
    <row r="273" spans="1:6">
      <c r="B273" s="118" t="s">
        <v>98</v>
      </c>
      <c r="C273" s="105">
        <v>57475973.399999999</v>
      </c>
      <c r="D273" s="105">
        <v>3407903.79</v>
      </c>
      <c r="E273" s="99"/>
    </row>
    <row r="274" spans="1:6">
      <c r="A274" t="s">
        <v>1561</v>
      </c>
      <c r="B274" s="15" t="s">
        <v>1484</v>
      </c>
      <c r="C274" s="231">
        <v>384139</v>
      </c>
      <c r="D274" s="95"/>
      <c r="E274" s="99">
        <f t="shared" si="4"/>
        <v>384139</v>
      </c>
      <c r="F274" t="s">
        <v>41</v>
      </c>
    </row>
    <row r="275" spans="1:6">
      <c r="A275" t="s">
        <v>1561</v>
      </c>
      <c r="B275" s="17" t="s">
        <v>732</v>
      </c>
      <c r="C275" s="231">
        <v>155431</v>
      </c>
      <c r="D275" s="95"/>
      <c r="E275" s="99">
        <f t="shared" si="4"/>
        <v>155431</v>
      </c>
      <c r="F275" t="s">
        <v>41</v>
      </c>
    </row>
    <row r="276" spans="1:6">
      <c r="A276" t="s">
        <v>1561</v>
      </c>
      <c r="B276" s="17" t="s">
        <v>733</v>
      </c>
      <c r="C276" s="231">
        <v>236250</v>
      </c>
      <c r="D276" s="95"/>
      <c r="E276" s="99">
        <f t="shared" si="4"/>
        <v>236250</v>
      </c>
      <c r="F276" t="s">
        <v>41</v>
      </c>
    </row>
    <row r="277" spans="1:6">
      <c r="A277" t="s">
        <v>1561</v>
      </c>
      <c r="B277" s="17" t="s">
        <v>734</v>
      </c>
      <c r="C277" s="231">
        <v>545590</v>
      </c>
      <c r="D277" s="95"/>
      <c r="E277" s="99">
        <f t="shared" si="4"/>
        <v>545590</v>
      </c>
      <c r="F277" t="s">
        <v>41</v>
      </c>
    </row>
    <row r="278" spans="1:6">
      <c r="A278" t="s">
        <v>1561</v>
      </c>
      <c r="B278" s="15" t="s">
        <v>1263</v>
      </c>
      <c r="C278" s="231">
        <v>1020296</v>
      </c>
      <c r="D278" s="95"/>
      <c r="E278" s="99">
        <f t="shared" si="4"/>
        <v>1020296</v>
      </c>
      <c r="F278" t="s">
        <v>41</v>
      </c>
    </row>
    <row r="279" spans="1:6">
      <c r="A279" t="s">
        <v>1561</v>
      </c>
      <c r="B279" s="15" t="s">
        <v>736</v>
      </c>
      <c r="C279" s="231">
        <v>99600</v>
      </c>
      <c r="D279" s="95"/>
      <c r="E279" s="99">
        <f t="shared" si="4"/>
        <v>99600</v>
      </c>
      <c r="F279" t="s">
        <v>41</v>
      </c>
    </row>
    <row r="280" spans="1:6">
      <c r="A280" t="s">
        <v>1561</v>
      </c>
      <c r="B280" s="15" t="s">
        <v>737</v>
      </c>
      <c r="C280" s="231">
        <v>626800</v>
      </c>
      <c r="D280" s="95"/>
      <c r="E280" s="99">
        <f t="shared" si="4"/>
        <v>626800</v>
      </c>
      <c r="F280" t="s">
        <v>41</v>
      </c>
    </row>
    <row r="281" spans="1:6">
      <c r="A281" t="s">
        <v>1561</v>
      </c>
      <c r="B281" s="15" t="s">
        <v>1485</v>
      </c>
      <c r="C281" s="231">
        <v>1012480</v>
      </c>
      <c r="D281" s="95"/>
      <c r="E281" s="99">
        <f t="shared" si="4"/>
        <v>1012480</v>
      </c>
      <c r="F281" t="s">
        <v>41</v>
      </c>
    </row>
    <row r="282" spans="1:6">
      <c r="A282" t="s">
        <v>1561</v>
      </c>
      <c r="B282" s="15" t="s">
        <v>1261</v>
      </c>
      <c r="C282" s="231">
        <v>8000</v>
      </c>
      <c r="D282" s="95"/>
      <c r="E282" s="99">
        <f t="shared" si="4"/>
        <v>8000</v>
      </c>
      <c r="F282" t="s">
        <v>41</v>
      </c>
    </row>
    <row r="283" spans="1:6">
      <c r="A283" t="s">
        <v>1561</v>
      </c>
      <c r="B283" s="15" t="s">
        <v>1064</v>
      </c>
      <c r="C283" s="231">
        <v>219102</v>
      </c>
      <c r="D283" s="95"/>
      <c r="E283" s="99">
        <f t="shared" si="4"/>
        <v>219102</v>
      </c>
      <c r="F283" t="s">
        <v>41</v>
      </c>
    </row>
    <row r="284" spans="1:6">
      <c r="A284" t="s">
        <v>1561</v>
      </c>
      <c r="B284" s="17" t="s">
        <v>1065</v>
      </c>
      <c r="C284" s="231">
        <v>2235943</v>
      </c>
      <c r="D284" s="95"/>
      <c r="E284" s="99">
        <f t="shared" si="4"/>
        <v>2235943</v>
      </c>
      <c r="F284" t="s">
        <v>41</v>
      </c>
    </row>
    <row r="285" spans="1:6">
      <c r="A285" t="s">
        <v>1561</v>
      </c>
      <c r="B285" s="17" t="s">
        <v>1260</v>
      </c>
      <c r="C285" s="231">
        <v>400008</v>
      </c>
      <c r="D285" s="95"/>
      <c r="E285" s="99">
        <f t="shared" si="4"/>
        <v>400008</v>
      </c>
      <c r="F285" t="s">
        <v>41</v>
      </c>
    </row>
    <row r="286" spans="1:6">
      <c r="A286" t="s">
        <v>1561</v>
      </c>
      <c r="B286" s="15" t="s">
        <v>742</v>
      </c>
      <c r="C286" s="231">
        <v>7529270.8300000001</v>
      </c>
      <c r="D286" s="95"/>
      <c r="E286" s="99">
        <f t="shared" si="4"/>
        <v>7529270.8300000001</v>
      </c>
      <c r="F286" t="s">
        <v>41</v>
      </c>
    </row>
    <row r="287" spans="1:6">
      <c r="A287" t="s">
        <v>1561</v>
      </c>
      <c r="B287" s="17" t="s">
        <v>744</v>
      </c>
      <c r="C287" s="112">
        <v>124638</v>
      </c>
      <c r="D287" s="95"/>
      <c r="E287" s="99">
        <f t="shared" si="4"/>
        <v>124638</v>
      </c>
      <c r="F287" t="s">
        <v>41</v>
      </c>
    </row>
    <row r="288" spans="1:6">
      <c r="A288" t="s">
        <v>1561</v>
      </c>
      <c r="B288" s="17" t="s">
        <v>745</v>
      </c>
      <c r="C288" s="112">
        <v>2870651</v>
      </c>
      <c r="D288" s="95"/>
      <c r="E288" s="99">
        <f t="shared" si="4"/>
        <v>2870651</v>
      </c>
      <c r="F288" t="s">
        <v>41</v>
      </c>
    </row>
    <row r="289" spans="1:10">
      <c r="A289" t="s">
        <v>1561</v>
      </c>
      <c r="B289" s="15" t="s">
        <v>746</v>
      </c>
      <c r="C289" s="112">
        <v>19831</v>
      </c>
      <c r="D289" s="95"/>
      <c r="E289" s="99">
        <f t="shared" si="4"/>
        <v>19831</v>
      </c>
      <c r="F289" t="s">
        <v>41</v>
      </c>
    </row>
    <row r="290" spans="1:10">
      <c r="A290" t="s">
        <v>1561</v>
      </c>
      <c r="B290" s="17" t="s">
        <v>747</v>
      </c>
      <c r="C290" s="112">
        <v>1190827</v>
      </c>
      <c r="D290" s="95"/>
      <c r="E290" s="99">
        <f t="shared" si="4"/>
        <v>1190827</v>
      </c>
      <c r="F290" t="s">
        <v>41</v>
      </c>
    </row>
    <row r="291" spans="1:10">
      <c r="A291" t="s">
        <v>1561</v>
      </c>
      <c r="B291" s="15" t="s">
        <v>748</v>
      </c>
      <c r="C291" s="112">
        <v>335266</v>
      </c>
      <c r="D291" s="95"/>
      <c r="E291" s="99">
        <f t="shared" si="4"/>
        <v>335266</v>
      </c>
      <c r="F291" t="s">
        <v>41</v>
      </c>
    </row>
    <row r="292" spans="1:10">
      <c r="A292" t="s">
        <v>1561</v>
      </c>
      <c r="B292" s="15" t="s">
        <v>749</v>
      </c>
      <c r="C292" s="112">
        <v>535518</v>
      </c>
      <c r="D292" s="95"/>
      <c r="E292" s="99">
        <f t="shared" si="4"/>
        <v>535518</v>
      </c>
      <c r="F292" t="s">
        <v>41</v>
      </c>
      <c r="I292" s="98">
        <f>SUM(C287:C292)</f>
        <v>5076731</v>
      </c>
      <c r="J292" s="100">
        <f>12555634+I292</f>
        <v>17632365</v>
      </c>
    </row>
    <row r="293" spans="1:10">
      <c r="A293" t="s">
        <v>1561</v>
      </c>
      <c r="B293" s="15" t="s">
        <v>750</v>
      </c>
      <c r="C293" s="231">
        <v>1262140</v>
      </c>
      <c r="D293" s="95"/>
      <c r="E293" s="99">
        <f t="shared" si="4"/>
        <v>1262140</v>
      </c>
      <c r="F293" t="s">
        <v>41</v>
      </c>
      <c r="I293" s="100">
        <f>22046034-I292</f>
        <v>16969303</v>
      </c>
    </row>
    <row r="294" spans="1:10">
      <c r="A294" t="s">
        <v>1561</v>
      </c>
      <c r="B294" s="15" t="s">
        <v>752</v>
      </c>
      <c r="C294" s="231">
        <v>400133</v>
      </c>
      <c r="D294" s="95"/>
      <c r="E294" s="99">
        <f t="shared" si="4"/>
        <v>400133</v>
      </c>
      <c r="F294" t="s">
        <v>41</v>
      </c>
    </row>
    <row r="295" spans="1:10">
      <c r="A295" t="s">
        <v>1561</v>
      </c>
      <c r="B295" s="17" t="s">
        <v>753</v>
      </c>
      <c r="C295" s="231">
        <v>607145.86</v>
      </c>
      <c r="D295" s="95"/>
      <c r="E295" s="99">
        <f t="shared" si="4"/>
        <v>607145.86</v>
      </c>
      <c r="F295" t="s">
        <v>41</v>
      </c>
    </row>
    <row r="296" spans="1:10">
      <c r="A296" t="s">
        <v>1561</v>
      </c>
      <c r="B296" s="15" t="s">
        <v>754</v>
      </c>
      <c r="C296" s="231">
        <v>1160600</v>
      </c>
      <c r="D296" s="95"/>
      <c r="E296" s="99">
        <f t="shared" si="4"/>
        <v>1160600</v>
      </c>
      <c r="F296" t="s">
        <v>41</v>
      </c>
    </row>
    <row r="297" spans="1:10">
      <c r="A297" t="s">
        <v>1561</v>
      </c>
      <c r="B297" s="15" t="s">
        <v>1067</v>
      </c>
      <c r="C297" s="231">
        <v>792441</v>
      </c>
      <c r="D297" s="95"/>
      <c r="E297" s="99">
        <f t="shared" si="4"/>
        <v>792441</v>
      </c>
      <c r="F297" t="s">
        <v>41</v>
      </c>
    </row>
    <row r="298" spans="1:10">
      <c r="A298" t="s">
        <v>1561</v>
      </c>
      <c r="B298" s="15" t="s">
        <v>1339</v>
      </c>
      <c r="C298" s="231">
        <v>639286.19999999995</v>
      </c>
      <c r="D298" s="95"/>
      <c r="E298" s="99">
        <f t="shared" si="4"/>
        <v>639286.19999999995</v>
      </c>
      <c r="F298" t="s">
        <v>41</v>
      </c>
    </row>
    <row r="299" spans="1:10">
      <c r="A299" t="s">
        <v>1561</v>
      </c>
      <c r="B299" s="15" t="s">
        <v>1486</v>
      </c>
      <c r="C299" s="231">
        <v>2463213</v>
      </c>
      <c r="D299" s="95"/>
      <c r="E299" s="99">
        <f t="shared" si="4"/>
        <v>2463213</v>
      </c>
      <c r="F299" t="s">
        <v>41</v>
      </c>
    </row>
    <row r="300" spans="1:10">
      <c r="A300" t="s">
        <v>1561</v>
      </c>
      <c r="B300" s="17" t="s">
        <v>1068</v>
      </c>
      <c r="C300" s="231">
        <v>52926</v>
      </c>
      <c r="D300" s="95"/>
      <c r="E300" s="99">
        <f t="shared" si="4"/>
        <v>52926</v>
      </c>
      <c r="F300" t="s">
        <v>41</v>
      </c>
    </row>
    <row r="301" spans="1:10">
      <c r="A301" t="s">
        <v>1561</v>
      </c>
      <c r="B301" s="15" t="s">
        <v>756</v>
      </c>
      <c r="C301" s="231">
        <v>98880</v>
      </c>
      <c r="D301" s="95"/>
      <c r="E301" s="99">
        <f t="shared" si="4"/>
        <v>98880</v>
      </c>
      <c r="F301" t="s">
        <v>41</v>
      </c>
    </row>
    <row r="302" spans="1:10">
      <c r="A302" t="s">
        <v>1561</v>
      </c>
      <c r="B302" s="15" t="s">
        <v>1259</v>
      </c>
      <c r="C302" s="231">
        <v>46383</v>
      </c>
      <c r="D302" s="95"/>
      <c r="E302" s="99">
        <f t="shared" si="4"/>
        <v>46383</v>
      </c>
      <c r="F302" t="s">
        <v>41</v>
      </c>
    </row>
    <row r="303" spans="1:10">
      <c r="A303" t="s">
        <v>1554</v>
      </c>
      <c r="B303" s="17" t="s">
        <v>757</v>
      </c>
      <c r="C303" s="95"/>
      <c r="D303" s="112">
        <v>376638</v>
      </c>
      <c r="E303" s="99">
        <f t="shared" si="4"/>
        <v>-376638</v>
      </c>
    </row>
    <row r="304" spans="1:10">
      <c r="A304" t="s">
        <v>1554</v>
      </c>
      <c r="B304" s="15" t="s">
        <v>1258</v>
      </c>
      <c r="C304" s="95"/>
      <c r="D304" s="112">
        <v>52653.49</v>
      </c>
      <c r="E304" s="99">
        <f t="shared" si="4"/>
        <v>-52653.49</v>
      </c>
    </row>
    <row r="305" spans="1:6">
      <c r="A305" t="s">
        <v>1554</v>
      </c>
      <c r="B305" s="15" t="s">
        <v>1487</v>
      </c>
      <c r="C305" s="95"/>
      <c r="D305" s="112">
        <v>15000</v>
      </c>
      <c r="E305" s="99">
        <f t="shared" si="4"/>
        <v>-15000</v>
      </c>
    </row>
    <row r="306" spans="1:6">
      <c r="A306" t="s">
        <v>1561</v>
      </c>
      <c r="B306" s="15" t="s">
        <v>1488</v>
      </c>
      <c r="C306" s="231">
        <v>4112863</v>
      </c>
      <c r="D306" s="95"/>
      <c r="E306" s="99">
        <f t="shared" si="4"/>
        <v>4112863</v>
      </c>
      <c r="F306" t="s">
        <v>41</v>
      </c>
    </row>
    <row r="307" spans="1:6">
      <c r="A307" t="s">
        <v>1561</v>
      </c>
      <c r="B307" s="17" t="s">
        <v>758</v>
      </c>
      <c r="C307" s="231">
        <v>83725</v>
      </c>
      <c r="D307" s="95"/>
      <c r="E307" s="99">
        <f t="shared" si="4"/>
        <v>83725</v>
      </c>
      <c r="F307" t="s">
        <v>41</v>
      </c>
    </row>
    <row r="308" spans="1:6">
      <c r="A308" t="s">
        <v>1554</v>
      </c>
      <c r="B308" s="15" t="s">
        <v>759</v>
      </c>
      <c r="C308" s="95"/>
      <c r="D308" s="112">
        <v>55634</v>
      </c>
      <c r="E308" s="99">
        <f t="shared" si="4"/>
        <v>-55634</v>
      </c>
    </row>
    <row r="309" spans="1:6">
      <c r="A309" t="s">
        <v>1554</v>
      </c>
      <c r="B309" s="15" t="s">
        <v>760</v>
      </c>
      <c r="C309" s="95"/>
      <c r="D309" s="112">
        <v>520308</v>
      </c>
      <c r="E309" s="99">
        <f t="shared" si="4"/>
        <v>-520308</v>
      </c>
    </row>
    <row r="310" spans="1:6">
      <c r="A310" t="s">
        <v>1561</v>
      </c>
      <c r="B310" s="15" t="s">
        <v>761</v>
      </c>
      <c r="C310" s="231">
        <v>598527</v>
      </c>
      <c r="D310" s="95"/>
      <c r="E310" s="99">
        <f t="shared" si="4"/>
        <v>598527</v>
      </c>
      <c r="F310" t="s">
        <v>41</v>
      </c>
    </row>
    <row r="311" spans="1:6">
      <c r="A311" t="s">
        <v>1561</v>
      </c>
      <c r="B311" s="15" t="s">
        <v>762</v>
      </c>
      <c r="C311" s="231">
        <v>106744</v>
      </c>
      <c r="D311" s="95"/>
      <c r="E311" s="99">
        <f t="shared" si="4"/>
        <v>106744</v>
      </c>
      <c r="F311" t="s">
        <v>41</v>
      </c>
    </row>
    <row r="312" spans="1:6">
      <c r="A312" t="s">
        <v>1561</v>
      </c>
      <c r="B312" s="15" t="s">
        <v>1071</v>
      </c>
      <c r="C312" s="231">
        <v>44934</v>
      </c>
      <c r="D312" s="95"/>
      <c r="E312" s="99">
        <f t="shared" si="4"/>
        <v>44934</v>
      </c>
      <c r="F312" t="s">
        <v>41</v>
      </c>
    </row>
    <row r="313" spans="1:6">
      <c r="A313" t="s">
        <v>1561</v>
      </c>
      <c r="B313" s="15" t="s">
        <v>763</v>
      </c>
      <c r="C313" s="231">
        <v>25127</v>
      </c>
      <c r="D313" s="95"/>
      <c r="E313" s="99">
        <f t="shared" si="4"/>
        <v>25127</v>
      </c>
      <c r="F313" t="s">
        <v>41</v>
      </c>
    </row>
    <row r="314" spans="1:6">
      <c r="A314" t="s">
        <v>1561</v>
      </c>
      <c r="B314" s="15" t="s">
        <v>764</v>
      </c>
      <c r="C314" s="231">
        <v>45096</v>
      </c>
      <c r="D314" s="95"/>
      <c r="E314" s="99">
        <f t="shared" si="4"/>
        <v>45096</v>
      </c>
      <c r="F314" t="s">
        <v>41</v>
      </c>
    </row>
    <row r="315" spans="1:6">
      <c r="A315" t="s">
        <v>1561</v>
      </c>
      <c r="B315" s="15" t="s">
        <v>765</v>
      </c>
      <c r="C315" s="231">
        <v>59720</v>
      </c>
      <c r="D315" s="95"/>
      <c r="E315" s="99">
        <f t="shared" si="4"/>
        <v>59720</v>
      </c>
      <c r="F315" t="s">
        <v>41</v>
      </c>
    </row>
    <row r="316" spans="1:6">
      <c r="A316" t="s">
        <v>1561</v>
      </c>
      <c r="B316" s="15" t="s">
        <v>766</v>
      </c>
      <c r="C316" s="231">
        <v>6395</v>
      </c>
      <c r="D316" s="95"/>
      <c r="E316" s="99">
        <f t="shared" si="4"/>
        <v>6395</v>
      </c>
      <c r="F316" t="s">
        <v>41</v>
      </c>
    </row>
    <row r="317" spans="1:6">
      <c r="A317" t="s">
        <v>1561</v>
      </c>
      <c r="B317" s="15" t="s">
        <v>767</v>
      </c>
      <c r="C317" s="231">
        <v>10740</v>
      </c>
      <c r="D317" s="95"/>
      <c r="E317" s="99">
        <f t="shared" si="4"/>
        <v>10740</v>
      </c>
      <c r="F317" t="s">
        <v>41</v>
      </c>
    </row>
    <row r="318" spans="1:6">
      <c r="A318" t="s">
        <v>1561</v>
      </c>
      <c r="B318" s="15" t="s">
        <v>768</v>
      </c>
      <c r="C318" s="231">
        <v>38625</v>
      </c>
      <c r="D318" s="95"/>
      <c r="E318" s="99">
        <f t="shared" si="4"/>
        <v>38625</v>
      </c>
      <c r="F318" t="s">
        <v>41</v>
      </c>
    </row>
    <row r="319" spans="1:6">
      <c r="A319" t="s">
        <v>1561</v>
      </c>
      <c r="B319" s="15" t="s">
        <v>1256</v>
      </c>
      <c r="C319" s="231">
        <v>1928190</v>
      </c>
      <c r="D319" s="95"/>
      <c r="E319" s="99">
        <f t="shared" si="4"/>
        <v>1928190</v>
      </c>
      <c r="F319" t="s">
        <v>41</v>
      </c>
    </row>
    <row r="320" spans="1:6">
      <c r="A320" t="s">
        <v>1561</v>
      </c>
      <c r="B320" s="15" t="s">
        <v>1489</v>
      </c>
      <c r="C320" s="231">
        <v>14736</v>
      </c>
      <c r="D320" s="95"/>
      <c r="E320" s="99">
        <f t="shared" si="4"/>
        <v>14736</v>
      </c>
      <c r="F320" t="s">
        <v>41</v>
      </c>
    </row>
    <row r="321" spans="1:6">
      <c r="A321" t="s">
        <v>1561</v>
      </c>
      <c r="B321" s="17" t="s">
        <v>1490</v>
      </c>
      <c r="C321" s="112">
        <v>3425790</v>
      </c>
      <c r="D321" s="95"/>
      <c r="E321" s="99">
        <f t="shared" si="4"/>
        <v>3425790</v>
      </c>
      <c r="F321" t="s">
        <v>41</v>
      </c>
    </row>
    <row r="322" spans="1:6">
      <c r="A322" t="s">
        <v>1561</v>
      </c>
      <c r="B322" s="15" t="s">
        <v>1072</v>
      </c>
      <c r="C322" s="231">
        <v>2729785</v>
      </c>
      <c r="D322" s="95"/>
      <c r="E322" s="99">
        <f t="shared" si="4"/>
        <v>2729785</v>
      </c>
      <c r="F322" t="s">
        <v>41</v>
      </c>
    </row>
    <row r="323" spans="1:6">
      <c r="A323" t="s">
        <v>1561</v>
      </c>
      <c r="B323" s="15" t="s">
        <v>771</v>
      </c>
      <c r="C323" s="231">
        <v>615250</v>
      </c>
      <c r="D323" s="95"/>
      <c r="E323" s="99">
        <f t="shared" si="4"/>
        <v>615250</v>
      </c>
      <c r="F323" t="s">
        <v>41</v>
      </c>
    </row>
    <row r="324" spans="1:6">
      <c r="A324" t="s">
        <v>1561</v>
      </c>
      <c r="B324" s="15" t="s">
        <v>772</v>
      </c>
      <c r="C324" s="231">
        <v>2331244</v>
      </c>
      <c r="D324" s="95"/>
      <c r="E324" s="99">
        <f t="shared" si="4"/>
        <v>2331244</v>
      </c>
      <c r="F324" t="s">
        <v>41</v>
      </c>
    </row>
    <row r="325" spans="1:6">
      <c r="A325" t="s">
        <v>1554</v>
      </c>
      <c r="B325" s="15" t="s">
        <v>1491</v>
      </c>
      <c r="C325" s="95"/>
      <c r="D325" s="112">
        <v>613711.30000000005</v>
      </c>
      <c r="E325" s="99">
        <f t="shared" si="4"/>
        <v>-613711.30000000005</v>
      </c>
    </row>
    <row r="326" spans="1:6">
      <c r="A326" t="s">
        <v>1554</v>
      </c>
      <c r="B326" s="15" t="s">
        <v>1492</v>
      </c>
      <c r="C326" s="95"/>
      <c r="D326" s="112">
        <f>255301-60</f>
        <v>255241</v>
      </c>
      <c r="E326" s="99">
        <f>C326-D326</f>
        <v>-255241</v>
      </c>
    </row>
    <row r="327" spans="1:6">
      <c r="A327" t="s">
        <v>1554</v>
      </c>
      <c r="B327" s="17" t="s">
        <v>1493</v>
      </c>
      <c r="C327" s="95"/>
      <c r="D327" s="112">
        <v>250000</v>
      </c>
      <c r="E327" s="99">
        <f t="shared" si="4"/>
        <v>-250000</v>
      </c>
    </row>
    <row r="328" spans="1:6">
      <c r="A328" t="s">
        <v>1561</v>
      </c>
      <c r="B328" s="17" t="s">
        <v>1073</v>
      </c>
      <c r="C328" s="231">
        <v>5694</v>
      </c>
      <c r="D328" s="95"/>
      <c r="E328" s="99">
        <f t="shared" si="4"/>
        <v>5694</v>
      </c>
      <c r="F328" t="s">
        <v>41</v>
      </c>
    </row>
    <row r="329" spans="1:6">
      <c r="A329" t="s">
        <v>1561</v>
      </c>
      <c r="B329" s="17" t="s">
        <v>776</v>
      </c>
      <c r="C329" s="231">
        <v>204110</v>
      </c>
      <c r="D329" s="95"/>
      <c r="E329" s="99">
        <f t="shared" si="4"/>
        <v>204110</v>
      </c>
      <c r="F329" t="s">
        <v>41</v>
      </c>
    </row>
    <row r="330" spans="1:6">
      <c r="A330" t="s">
        <v>1561</v>
      </c>
      <c r="B330" s="15" t="s">
        <v>1342</v>
      </c>
      <c r="C330" s="231">
        <v>226000</v>
      </c>
      <c r="D330" s="95"/>
      <c r="E330" s="99">
        <f t="shared" si="4"/>
        <v>226000</v>
      </c>
      <c r="F330" t="s">
        <v>41</v>
      </c>
    </row>
    <row r="331" spans="1:6">
      <c r="A331" t="s">
        <v>1561</v>
      </c>
      <c r="B331" s="15" t="s">
        <v>1494</v>
      </c>
      <c r="C331" s="231">
        <v>670776</v>
      </c>
      <c r="D331" s="95"/>
      <c r="E331" s="99">
        <f t="shared" si="4"/>
        <v>670776</v>
      </c>
      <c r="F331" t="s">
        <v>41</v>
      </c>
    </row>
    <row r="332" spans="1:6">
      <c r="A332" t="s">
        <v>1561</v>
      </c>
      <c r="B332" s="15" t="s">
        <v>1495</v>
      </c>
      <c r="C332" s="231">
        <v>2281052</v>
      </c>
      <c r="D332" s="95"/>
      <c r="E332" s="99">
        <f t="shared" si="4"/>
        <v>2281052</v>
      </c>
      <c r="F332" t="s">
        <v>41</v>
      </c>
    </row>
    <row r="333" spans="1:6">
      <c r="A333" t="s">
        <v>1561</v>
      </c>
      <c r="B333" s="17" t="s">
        <v>778</v>
      </c>
      <c r="C333" s="231">
        <v>718081</v>
      </c>
      <c r="D333" s="95"/>
      <c r="E333" s="99">
        <f t="shared" si="4"/>
        <v>718081</v>
      </c>
      <c r="F333" t="s">
        <v>41</v>
      </c>
    </row>
    <row r="334" spans="1:6">
      <c r="A334" t="s">
        <v>1561</v>
      </c>
      <c r="B334" s="15" t="s">
        <v>1255</v>
      </c>
      <c r="C334" s="231">
        <v>127610</v>
      </c>
      <c r="D334" s="95"/>
      <c r="E334" s="99">
        <f t="shared" ref="E334:E351" si="5">C334-D334</f>
        <v>127610</v>
      </c>
      <c r="F334" t="s">
        <v>41</v>
      </c>
    </row>
    <row r="335" spans="1:6">
      <c r="A335" t="s">
        <v>1561</v>
      </c>
      <c r="B335" s="15" t="s">
        <v>1496</v>
      </c>
      <c r="C335" s="231">
        <v>1348050</v>
      </c>
      <c r="D335" s="95"/>
      <c r="E335" s="99">
        <f t="shared" si="5"/>
        <v>1348050</v>
      </c>
      <c r="F335" t="s">
        <v>41</v>
      </c>
    </row>
    <row r="336" spans="1:6">
      <c r="A336" t="s">
        <v>1561</v>
      </c>
      <c r="B336" s="15" t="s">
        <v>1497</v>
      </c>
      <c r="C336" s="231">
        <v>152925</v>
      </c>
      <c r="D336" s="95"/>
      <c r="E336" s="99">
        <f t="shared" si="5"/>
        <v>152925</v>
      </c>
      <c r="F336" t="s">
        <v>41</v>
      </c>
    </row>
    <row r="337" spans="1:6">
      <c r="A337" t="s">
        <v>1561</v>
      </c>
      <c r="B337" s="15" t="s">
        <v>782</v>
      </c>
      <c r="C337" s="231">
        <v>1070809</v>
      </c>
      <c r="D337" s="95"/>
      <c r="E337" s="99">
        <f t="shared" si="5"/>
        <v>1070809</v>
      </c>
      <c r="F337" t="s">
        <v>41</v>
      </c>
    </row>
    <row r="338" spans="1:6">
      <c r="A338" t="s">
        <v>1561</v>
      </c>
      <c r="B338" s="15" t="s">
        <v>783</v>
      </c>
      <c r="C338" s="231">
        <v>2662058</v>
      </c>
      <c r="D338" s="95"/>
      <c r="E338" s="99">
        <f t="shared" si="5"/>
        <v>2662058</v>
      </c>
      <c r="F338" t="s">
        <v>41</v>
      </c>
    </row>
    <row r="339" spans="1:6">
      <c r="A339" t="s">
        <v>1554</v>
      </c>
      <c r="B339" s="15" t="s">
        <v>1254</v>
      </c>
      <c r="C339" s="95"/>
      <c r="D339" s="112">
        <v>868658</v>
      </c>
      <c r="E339" s="99">
        <f t="shared" si="5"/>
        <v>-868658</v>
      </c>
      <c r="F339" t="s">
        <v>41</v>
      </c>
    </row>
    <row r="340" spans="1:6">
      <c r="A340" t="s">
        <v>1561</v>
      </c>
      <c r="B340" s="15" t="s">
        <v>1253</v>
      </c>
      <c r="C340" s="231">
        <v>152145</v>
      </c>
      <c r="D340" s="95"/>
      <c r="E340" s="99">
        <f t="shared" si="5"/>
        <v>152145</v>
      </c>
      <c r="F340" t="s">
        <v>41</v>
      </c>
    </row>
    <row r="341" spans="1:6">
      <c r="A341" t="s">
        <v>1561</v>
      </c>
      <c r="B341" s="15" t="s">
        <v>1498</v>
      </c>
      <c r="C341" s="231">
        <v>309009.3</v>
      </c>
      <c r="D341" s="95"/>
      <c r="E341" s="99">
        <f t="shared" si="5"/>
        <v>309009.3</v>
      </c>
      <c r="F341" t="s">
        <v>41</v>
      </c>
    </row>
    <row r="342" spans="1:6">
      <c r="A342" t="s">
        <v>1554</v>
      </c>
      <c r="B342" s="15" t="s">
        <v>1499</v>
      </c>
      <c r="C342" s="95"/>
      <c r="D342" s="112">
        <v>400000</v>
      </c>
      <c r="E342" s="99">
        <f t="shared" si="5"/>
        <v>-400000</v>
      </c>
      <c r="F342" t="s">
        <v>41</v>
      </c>
    </row>
    <row r="343" spans="1:6">
      <c r="A343" t="s">
        <v>1561</v>
      </c>
      <c r="B343" s="15" t="s">
        <v>1500</v>
      </c>
      <c r="C343" s="231">
        <v>1990563.41</v>
      </c>
      <c r="D343" s="95"/>
      <c r="E343" s="99">
        <f t="shared" si="5"/>
        <v>1990563.41</v>
      </c>
      <c r="F343" t="s">
        <v>41</v>
      </c>
    </row>
    <row r="344" spans="1:6">
      <c r="A344" t="s">
        <v>1561</v>
      </c>
      <c r="B344" s="15" t="s">
        <v>793</v>
      </c>
      <c r="C344" s="231">
        <v>9152</v>
      </c>
      <c r="D344" s="95"/>
      <c r="E344" s="99">
        <f t="shared" si="5"/>
        <v>9152</v>
      </c>
      <c r="F344" t="s">
        <v>41</v>
      </c>
    </row>
    <row r="345" spans="1:6">
      <c r="A345" t="s">
        <v>1561</v>
      </c>
      <c r="B345" s="15" t="s">
        <v>794</v>
      </c>
      <c r="C345" s="231">
        <v>474051.8</v>
      </c>
      <c r="D345" s="95"/>
      <c r="E345" s="99">
        <f t="shared" si="5"/>
        <v>474051.8</v>
      </c>
      <c r="F345" t="s">
        <v>41</v>
      </c>
    </row>
    <row r="346" spans="1:6">
      <c r="A346" t="s">
        <v>1561</v>
      </c>
      <c r="B346" s="17" t="s">
        <v>1250</v>
      </c>
      <c r="C346" s="231">
        <v>689163</v>
      </c>
      <c r="D346" s="95"/>
      <c r="E346" s="99">
        <f t="shared" si="5"/>
        <v>689163</v>
      </c>
      <c r="F346" t="s">
        <v>41</v>
      </c>
    </row>
    <row r="347" spans="1:6">
      <c r="A347" t="s">
        <v>1561</v>
      </c>
      <c r="B347" s="15" t="s">
        <v>1248</v>
      </c>
      <c r="C347" s="112">
        <v>520900</v>
      </c>
      <c r="D347" s="95"/>
      <c r="E347" s="99">
        <f t="shared" si="5"/>
        <v>520900</v>
      </c>
      <c r="F347" t="s">
        <v>41</v>
      </c>
    </row>
    <row r="348" spans="1:6">
      <c r="A348" t="s">
        <v>1561</v>
      </c>
      <c r="B348" s="15" t="s">
        <v>1501</v>
      </c>
      <c r="C348" s="231">
        <v>608247</v>
      </c>
      <c r="D348" s="95"/>
      <c r="E348" s="99">
        <f t="shared" si="5"/>
        <v>608247</v>
      </c>
      <c r="F348" t="s">
        <v>41</v>
      </c>
    </row>
    <row r="349" spans="1:6">
      <c r="A349" t="s">
        <v>1561</v>
      </c>
      <c r="B349" s="15" t="s">
        <v>803</v>
      </c>
      <c r="C349" s="231">
        <v>5297</v>
      </c>
      <c r="D349" s="95"/>
      <c r="E349" s="99">
        <f t="shared" si="5"/>
        <v>5297</v>
      </c>
      <c r="F349" t="s">
        <v>41</v>
      </c>
    </row>
    <row r="350" spans="1:6">
      <c r="B350" s="118" t="s">
        <v>69</v>
      </c>
      <c r="C350" s="105">
        <v>55230</v>
      </c>
      <c r="D350" s="114"/>
      <c r="E350" s="99"/>
    </row>
    <row r="351" spans="1:6">
      <c r="A351" t="s">
        <v>1562</v>
      </c>
      <c r="B351" s="17" t="s">
        <v>260</v>
      </c>
      <c r="C351" s="112">
        <v>55230</v>
      </c>
      <c r="D351" s="95"/>
      <c r="E351" s="99">
        <f t="shared" si="5"/>
        <v>55230</v>
      </c>
      <c r="F351" t="s">
        <v>1565</v>
      </c>
    </row>
    <row r="352" spans="1:6">
      <c r="B352" s="118" t="s">
        <v>70</v>
      </c>
      <c r="C352" s="105">
        <v>5875082.8899999997</v>
      </c>
      <c r="D352" s="114"/>
      <c r="E352" s="99"/>
    </row>
    <row r="353" spans="1:10">
      <c r="B353" s="194" t="s">
        <v>804</v>
      </c>
      <c r="C353" s="201">
        <v>3941197.03</v>
      </c>
      <c r="D353" s="113"/>
      <c r="E353" s="99"/>
    </row>
    <row r="354" spans="1:10">
      <c r="A354" t="s">
        <v>1566</v>
      </c>
      <c r="B354" s="190" t="s">
        <v>805</v>
      </c>
      <c r="C354" s="104">
        <v>14699.08</v>
      </c>
      <c r="D354" s="96"/>
      <c r="E354" s="99">
        <f t="shared" ref="E354:E364" si="6">C354-D354</f>
        <v>14699.08</v>
      </c>
      <c r="F354" t="s">
        <v>1567</v>
      </c>
    </row>
    <row r="355" spans="1:10">
      <c r="A355" t="s">
        <v>1566</v>
      </c>
      <c r="B355" s="190" t="s">
        <v>806</v>
      </c>
      <c r="C355" s="104">
        <v>12797.11</v>
      </c>
      <c r="D355" s="96"/>
      <c r="E355" s="99">
        <f t="shared" si="6"/>
        <v>12797.11</v>
      </c>
      <c r="F355" t="s">
        <v>1567</v>
      </c>
    </row>
    <row r="356" spans="1:10">
      <c r="A356" t="s">
        <v>1566</v>
      </c>
      <c r="B356" s="15" t="s">
        <v>807</v>
      </c>
      <c r="C356" s="104">
        <v>37019.47</v>
      </c>
      <c r="D356" s="96"/>
      <c r="E356" s="99">
        <f t="shared" si="6"/>
        <v>37019.47</v>
      </c>
      <c r="F356" t="s">
        <v>1567</v>
      </c>
    </row>
    <row r="357" spans="1:10">
      <c r="A357" t="s">
        <v>1566</v>
      </c>
      <c r="B357" s="190" t="s">
        <v>808</v>
      </c>
      <c r="C357" s="104">
        <v>20258.3</v>
      </c>
      <c r="D357" s="96"/>
      <c r="E357" s="99">
        <f t="shared" si="6"/>
        <v>20258.3</v>
      </c>
      <c r="F357" t="s">
        <v>1567</v>
      </c>
    </row>
    <row r="358" spans="1:10">
      <c r="A358" t="s">
        <v>1566</v>
      </c>
      <c r="B358" s="15" t="s">
        <v>809</v>
      </c>
      <c r="C358" s="104">
        <v>20745.5</v>
      </c>
      <c r="D358" s="96"/>
      <c r="E358" s="99">
        <f t="shared" si="6"/>
        <v>20745.5</v>
      </c>
      <c r="F358" t="s">
        <v>1567</v>
      </c>
    </row>
    <row r="359" spans="1:10">
      <c r="A359" t="s">
        <v>1566</v>
      </c>
      <c r="B359" s="15" t="s">
        <v>810</v>
      </c>
      <c r="C359" s="104">
        <v>12303.5</v>
      </c>
      <c r="D359" s="96"/>
      <c r="E359" s="99">
        <f t="shared" si="6"/>
        <v>12303.5</v>
      </c>
      <c r="F359" t="s">
        <v>1567</v>
      </c>
    </row>
    <row r="360" spans="1:10">
      <c r="A360" t="s">
        <v>1566</v>
      </c>
      <c r="B360" s="15" t="s">
        <v>261</v>
      </c>
      <c r="C360" s="104">
        <f>130290.93+440</f>
        <v>130730.93</v>
      </c>
      <c r="D360" s="96"/>
      <c r="E360" s="99">
        <f t="shared" si="6"/>
        <v>130730.93</v>
      </c>
      <c r="F360" t="s">
        <v>1567</v>
      </c>
      <c r="J360" s="20"/>
    </row>
    <row r="361" spans="1:10">
      <c r="A361" t="s">
        <v>1566</v>
      </c>
      <c r="B361" s="190" t="s">
        <v>811</v>
      </c>
      <c r="C361" s="104">
        <v>3159546.77</v>
      </c>
      <c r="D361" s="96"/>
      <c r="E361" s="99">
        <f t="shared" si="6"/>
        <v>3159546.77</v>
      </c>
      <c r="F361" t="s">
        <v>1567</v>
      </c>
    </row>
    <row r="362" spans="1:10">
      <c r="A362" t="s">
        <v>1566</v>
      </c>
      <c r="B362" s="190" t="s">
        <v>812</v>
      </c>
      <c r="C362" s="104">
        <v>498120.5</v>
      </c>
      <c r="D362" s="96"/>
      <c r="E362" s="99">
        <f t="shared" si="6"/>
        <v>498120.5</v>
      </c>
      <c r="F362" t="s">
        <v>1567</v>
      </c>
    </row>
    <row r="363" spans="1:10">
      <c r="A363" t="s">
        <v>1566</v>
      </c>
      <c r="B363" s="190" t="s">
        <v>813</v>
      </c>
      <c r="C363" s="104">
        <v>21297.87</v>
      </c>
      <c r="D363" s="96"/>
      <c r="E363" s="99">
        <f t="shared" si="6"/>
        <v>21297.87</v>
      </c>
      <c r="F363" t="s">
        <v>1567</v>
      </c>
    </row>
    <row r="364" spans="1:10">
      <c r="A364" t="s">
        <v>1566</v>
      </c>
      <c r="B364" s="190" t="s">
        <v>814</v>
      </c>
      <c r="C364" s="104">
        <v>14118</v>
      </c>
      <c r="D364" s="96"/>
      <c r="E364" s="99">
        <f t="shared" si="6"/>
        <v>14118</v>
      </c>
      <c r="F364" t="s">
        <v>1567</v>
      </c>
    </row>
    <row r="365" spans="1:10">
      <c r="B365" s="194" t="s">
        <v>815</v>
      </c>
      <c r="C365" s="204">
        <v>1933885.86</v>
      </c>
      <c r="D365" s="108"/>
      <c r="E365" s="99"/>
    </row>
    <row r="366" spans="1:10">
      <c r="A366" t="s">
        <v>1566</v>
      </c>
      <c r="B366" s="15" t="s">
        <v>816</v>
      </c>
      <c r="C366" s="104">
        <v>11681.17</v>
      </c>
      <c r="D366" s="96"/>
      <c r="E366" s="99">
        <f t="shared" ref="E366:E372" si="7">C366-D366</f>
        <v>11681.17</v>
      </c>
      <c r="F366" t="s">
        <v>1567</v>
      </c>
    </row>
    <row r="367" spans="1:10">
      <c r="A367" t="s">
        <v>1566</v>
      </c>
      <c r="B367" s="190" t="s">
        <v>817</v>
      </c>
      <c r="C367" s="104">
        <v>820617.32</v>
      </c>
      <c r="D367" s="96"/>
      <c r="E367" s="99">
        <f t="shared" si="7"/>
        <v>820617.32</v>
      </c>
      <c r="F367" t="s">
        <v>1567</v>
      </c>
    </row>
    <row r="368" spans="1:10">
      <c r="A368" t="s">
        <v>1566</v>
      </c>
      <c r="B368" s="190" t="s">
        <v>818</v>
      </c>
      <c r="C368" s="104">
        <v>13938.98</v>
      </c>
      <c r="D368" s="96"/>
      <c r="E368" s="99">
        <f t="shared" si="7"/>
        <v>13938.98</v>
      </c>
      <c r="F368" t="s">
        <v>1567</v>
      </c>
    </row>
    <row r="369" spans="1:6">
      <c r="A369" t="s">
        <v>1566</v>
      </c>
      <c r="B369" s="190" t="s">
        <v>819</v>
      </c>
      <c r="C369" s="104">
        <v>1050668</v>
      </c>
      <c r="D369" s="96"/>
      <c r="E369" s="99">
        <f t="shared" si="7"/>
        <v>1050668</v>
      </c>
      <c r="F369" t="s">
        <v>1567</v>
      </c>
    </row>
    <row r="370" spans="1:6">
      <c r="A370" t="s">
        <v>1566</v>
      </c>
      <c r="B370" s="15" t="s">
        <v>820</v>
      </c>
      <c r="C370" s="104">
        <v>11037.14</v>
      </c>
      <c r="D370" s="96"/>
      <c r="E370" s="99">
        <f t="shared" si="7"/>
        <v>11037.14</v>
      </c>
      <c r="F370" t="s">
        <v>1567</v>
      </c>
    </row>
    <row r="371" spans="1:6">
      <c r="A371" t="s">
        <v>1566</v>
      </c>
      <c r="B371" s="190" t="s">
        <v>821</v>
      </c>
      <c r="C371" s="104">
        <v>25943.25</v>
      </c>
      <c r="D371" s="96"/>
      <c r="E371" s="99">
        <f t="shared" si="7"/>
        <v>25943.25</v>
      </c>
      <c r="F371" t="s">
        <v>1567</v>
      </c>
    </row>
    <row r="372" spans="1:6">
      <c r="A372" t="s">
        <v>1581</v>
      </c>
      <c r="B372" s="13" t="s">
        <v>99</v>
      </c>
      <c r="C372" s="104">
        <v>10135195</v>
      </c>
      <c r="D372" s="96"/>
      <c r="E372" s="99">
        <f t="shared" si="7"/>
        <v>10135195</v>
      </c>
      <c r="F372" t="s">
        <v>1582</v>
      </c>
    </row>
    <row r="373" spans="1:6">
      <c r="B373" s="1" t="s">
        <v>100</v>
      </c>
      <c r="C373" s="105">
        <v>178258793.30000001</v>
      </c>
      <c r="D373" s="105">
        <v>173880538.44999999</v>
      </c>
      <c r="E373" s="99"/>
    </row>
    <row r="374" spans="1:6">
      <c r="A374" t="s">
        <v>1563</v>
      </c>
      <c r="B374" s="13" t="s">
        <v>1502</v>
      </c>
      <c r="C374" s="104">
        <v>6750</v>
      </c>
      <c r="D374" s="96"/>
      <c r="E374" s="99">
        <f t="shared" ref="E374:E437" si="8">C374-D374</f>
        <v>6750</v>
      </c>
      <c r="F374" t="s">
        <v>1564</v>
      </c>
    </row>
    <row r="375" spans="1:6">
      <c r="A375" t="s">
        <v>1563</v>
      </c>
      <c r="B375" s="13" t="s">
        <v>822</v>
      </c>
      <c r="C375" s="96"/>
      <c r="D375" s="104">
        <v>201</v>
      </c>
      <c r="E375" s="99">
        <f t="shared" si="8"/>
        <v>-201</v>
      </c>
      <c r="F375" t="s">
        <v>1564</v>
      </c>
    </row>
    <row r="376" spans="1:6">
      <c r="A376" t="s">
        <v>1563</v>
      </c>
      <c r="B376" s="13" t="s">
        <v>1246</v>
      </c>
      <c r="C376" s="96"/>
      <c r="D376" s="104">
        <v>34050</v>
      </c>
      <c r="E376" s="99">
        <f t="shared" si="8"/>
        <v>-34050</v>
      </c>
      <c r="F376" t="s">
        <v>1564</v>
      </c>
    </row>
    <row r="377" spans="1:6">
      <c r="A377" t="s">
        <v>1563</v>
      </c>
      <c r="B377" s="13" t="s">
        <v>1245</v>
      </c>
      <c r="C377" s="96"/>
      <c r="D377" s="104">
        <v>1544</v>
      </c>
      <c r="E377" s="99">
        <f t="shared" si="8"/>
        <v>-1544</v>
      </c>
      <c r="F377" t="s">
        <v>1564</v>
      </c>
    </row>
    <row r="378" spans="1:6">
      <c r="A378" t="s">
        <v>1563</v>
      </c>
      <c r="B378" s="13" t="s">
        <v>823</v>
      </c>
      <c r="C378" s="96"/>
      <c r="D378" s="104">
        <v>2</v>
      </c>
      <c r="E378" s="99">
        <f t="shared" si="8"/>
        <v>-2</v>
      </c>
      <c r="F378" t="s">
        <v>1564</v>
      </c>
    </row>
    <row r="379" spans="1:6">
      <c r="A379" t="s">
        <v>1563</v>
      </c>
      <c r="B379" s="13" t="s">
        <v>1503</v>
      </c>
      <c r="C379" s="104">
        <v>2630</v>
      </c>
      <c r="D379" s="96"/>
      <c r="E379" s="99">
        <f t="shared" si="8"/>
        <v>2630</v>
      </c>
      <c r="F379" t="s">
        <v>1564</v>
      </c>
    </row>
    <row r="380" spans="1:6">
      <c r="A380" t="s">
        <v>1563</v>
      </c>
      <c r="B380" s="13" t="s">
        <v>1504</v>
      </c>
      <c r="C380" s="104">
        <v>38204</v>
      </c>
      <c r="D380" s="96"/>
      <c r="E380" s="99">
        <f t="shared" si="8"/>
        <v>38204</v>
      </c>
      <c r="F380" t="s">
        <v>1564</v>
      </c>
    </row>
    <row r="381" spans="1:6">
      <c r="A381" t="s">
        <v>1563</v>
      </c>
      <c r="B381" s="13" t="s">
        <v>824</v>
      </c>
      <c r="C381" s="96"/>
      <c r="D381" s="104">
        <v>800</v>
      </c>
      <c r="E381" s="99">
        <f t="shared" si="8"/>
        <v>-800</v>
      </c>
      <c r="F381" t="s">
        <v>1564</v>
      </c>
    </row>
    <row r="382" spans="1:6">
      <c r="A382" t="s">
        <v>1563</v>
      </c>
      <c r="B382" s="13" t="s">
        <v>825</v>
      </c>
      <c r="C382" s="104">
        <v>2727</v>
      </c>
      <c r="D382" s="96"/>
      <c r="E382" s="99">
        <f t="shared" si="8"/>
        <v>2727</v>
      </c>
      <c r="F382" t="s">
        <v>1564</v>
      </c>
    </row>
    <row r="383" spans="1:6">
      <c r="A383" t="s">
        <v>1563</v>
      </c>
      <c r="B383" s="13" t="s">
        <v>826</v>
      </c>
      <c r="C383" s="104">
        <v>4741.3999999999996</v>
      </c>
      <c r="D383" s="96"/>
      <c r="E383" s="99">
        <f t="shared" si="8"/>
        <v>4741.3999999999996</v>
      </c>
      <c r="F383" t="s">
        <v>1564</v>
      </c>
    </row>
    <row r="384" spans="1:6">
      <c r="A384" t="s">
        <v>1563</v>
      </c>
      <c r="B384" s="13" t="s">
        <v>1244</v>
      </c>
      <c r="C384" s="104">
        <v>16075</v>
      </c>
      <c r="D384" s="96"/>
      <c r="E384" s="99">
        <f t="shared" si="8"/>
        <v>16075</v>
      </c>
      <c r="F384" t="s">
        <v>1564</v>
      </c>
    </row>
    <row r="385" spans="1:6">
      <c r="A385" t="s">
        <v>1563</v>
      </c>
      <c r="B385" s="13" t="s">
        <v>830</v>
      </c>
      <c r="C385" s="96"/>
      <c r="D385" s="104">
        <v>500</v>
      </c>
      <c r="E385" s="99">
        <f t="shared" si="8"/>
        <v>-500</v>
      </c>
      <c r="F385" t="s">
        <v>1564</v>
      </c>
    </row>
    <row r="386" spans="1:6">
      <c r="A386" t="s">
        <v>1563</v>
      </c>
      <c r="B386" s="13" t="s">
        <v>1505</v>
      </c>
      <c r="C386" s="104">
        <v>5875</v>
      </c>
      <c r="D386" s="96"/>
      <c r="E386" s="99">
        <f t="shared" si="8"/>
        <v>5875</v>
      </c>
      <c r="F386" t="s">
        <v>1564</v>
      </c>
    </row>
    <row r="387" spans="1:6">
      <c r="A387" t="s">
        <v>1563</v>
      </c>
      <c r="B387" s="13" t="s">
        <v>833</v>
      </c>
      <c r="C387" s="104">
        <v>6924</v>
      </c>
      <c r="D387" s="96"/>
      <c r="E387" s="99">
        <f t="shared" si="8"/>
        <v>6924</v>
      </c>
      <c r="F387" t="s">
        <v>1564</v>
      </c>
    </row>
    <row r="388" spans="1:6">
      <c r="A388" t="s">
        <v>1563</v>
      </c>
      <c r="B388" s="13" t="s">
        <v>1506</v>
      </c>
      <c r="C388" s="96"/>
      <c r="D388" s="104">
        <v>41010</v>
      </c>
      <c r="E388" s="99">
        <f t="shared" si="8"/>
        <v>-41010</v>
      </c>
      <c r="F388" t="s">
        <v>1564</v>
      </c>
    </row>
    <row r="389" spans="1:6">
      <c r="A389" t="s">
        <v>1563</v>
      </c>
      <c r="B389" s="13" t="s">
        <v>1507</v>
      </c>
      <c r="C389" s="104">
        <v>214084</v>
      </c>
      <c r="D389" s="96"/>
      <c r="E389" s="99">
        <f t="shared" si="8"/>
        <v>214084</v>
      </c>
      <c r="F389" t="s">
        <v>1564</v>
      </c>
    </row>
    <row r="390" spans="1:6">
      <c r="A390" t="s">
        <v>1563</v>
      </c>
      <c r="B390" s="13" t="s">
        <v>835</v>
      </c>
      <c r="C390" s="96"/>
      <c r="D390" s="104">
        <v>2000</v>
      </c>
      <c r="E390" s="99">
        <f t="shared" si="8"/>
        <v>-2000</v>
      </c>
      <c r="F390" t="s">
        <v>1564</v>
      </c>
    </row>
    <row r="391" spans="1:6">
      <c r="A391" t="s">
        <v>1563</v>
      </c>
      <c r="B391" s="13" t="s">
        <v>1508</v>
      </c>
      <c r="C391" s="104">
        <v>256166</v>
      </c>
      <c r="D391" s="96"/>
      <c r="E391" s="99">
        <f t="shared" si="8"/>
        <v>256166</v>
      </c>
      <c r="F391" t="s">
        <v>1564</v>
      </c>
    </row>
    <row r="392" spans="1:6">
      <c r="A392" t="s">
        <v>1563</v>
      </c>
      <c r="B392" s="13" t="s">
        <v>1509</v>
      </c>
      <c r="C392" s="104">
        <v>11180</v>
      </c>
      <c r="D392" s="96"/>
      <c r="E392" s="99">
        <f t="shared" si="8"/>
        <v>11180</v>
      </c>
      <c r="F392" t="s">
        <v>1564</v>
      </c>
    </row>
    <row r="393" spans="1:6">
      <c r="A393" t="s">
        <v>1563</v>
      </c>
      <c r="B393" s="13" t="s">
        <v>1510</v>
      </c>
      <c r="C393" s="104">
        <v>6121</v>
      </c>
      <c r="D393" s="96"/>
      <c r="E393" s="99">
        <f t="shared" si="8"/>
        <v>6121</v>
      </c>
      <c r="F393" t="s">
        <v>1564</v>
      </c>
    </row>
    <row r="394" spans="1:6">
      <c r="A394" t="s">
        <v>1563</v>
      </c>
      <c r="B394" s="13" t="s">
        <v>1511</v>
      </c>
      <c r="C394" s="104">
        <v>901</v>
      </c>
      <c r="D394" s="96"/>
      <c r="E394" s="99">
        <f t="shared" si="8"/>
        <v>901</v>
      </c>
      <c r="F394" t="s">
        <v>1564</v>
      </c>
    </row>
    <row r="395" spans="1:6">
      <c r="A395" t="s">
        <v>1563</v>
      </c>
      <c r="B395" s="13" t="s">
        <v>836</v>
      </c>
      <c r="C395" s="104">
        <v>88647</v>
      </c>
      <c r="D395" s="96"/>
      <c r="E395" s="99">
        <f t="shared" si="8"/>
        <v>88647</v>
      </c>
      <c r="F395" t="s">
        <v>1564</v>
      </c>
    </row>
    <row r="396" spans="1:6">
      <c r="A396" t="s">
        <v>1563</v>
      </c>
      <c r="B396" s="13" t="s">
        <v>1243</v>
      </c>
      <c r="C396" s="104">
        <v>32269</v>
      </c>
      <c r="D396" s="96"/>
      <c r="E396" s="99">
        <f t="shared" si="8"/>
        <v>32269</v>
      </c>
      <c r="F396" t="s">
        <v>1564</v>
      </c>
    </row>
    <row r="397" spans="1:6">
      <c r="A397" t="s">
        <v>1563</v>
      </c>
      <c r="B397" s="13" t="s">
        <v>1242</v>
      </c>
      <c r="C397" s="104">
        <v>26404</v>
      </c>
      <c r="D397" s="96"/>
      <c r="E397" s="99">
        <f t="shared" si="8"/>
        <v>26404</v>
      </c>
      <c r="F397" t="s">
        <v>1564</v>
      </c>
    </row>
    <row r="398" spans="1:6">
      <c r="A398" t="s">
        <v>1563</v>
      </c>
      <c r="B398" s="13" t="s">
        <v>1512</v>
      </c>
      <c r="C398" s="104">
        <v>255291</v>
      </c>
      <c r="D398" s="96"/>
      <c r="E398" s="99">
        <f t="shared" si="8"/>
        <v>255291</v>
      </c>
      <c r="F398" t="s">
        <v>1564</v>
      </c>
    </row>
    <row r="399" spans="1:6">
      <c r="A399" t="s">
        <v>1563</v>
      </c>
      <c r="B399" s="13" t="s">
        <v>837</v>
      </c>
      <c r="C399" s="104">
        <v>75</v>
      </c>
      <c r="D399" s="96"/>
      <c r="E399" s="99">
        <f t="shared" si="8"/>
        <v>75</v>
      </c>
      <c r="F399" t="s">
        <v>1564</v>
      </c>
    </row>
    <row r="400" spans="1:6">
      <c r="A400" t="s">
        <v>1563</v>
      </c>
      <c r="B400" s="13" t="s">
        <v>838</v>
      </c>
      <c r="C400" s="104">
        <v>5578</v>
      </c>
      <c r="D400" s="96"/>
      <c r="E400" s="99">
        <f t="shared" si="8"/>
        <v>5578</v>
      </c>
      <c r="F400" t="s">
        <v>1564</v>
      </c>
    </row>
    <row r="401" spans="1:6">
      <c r="A401" t="s">
        <v>1563</v>
      </c>
      <c r="B401" s="13" t="s">
        <v>839</v>
      </c>
      <c r="C401" s="104">
        <v>22244</v>
      </c>
      <c r="D401" s="96"/>
      <c r="E401" s="99">
        <f t="shared" si="8"/>
        <v>22244</v>
      </c>
      <c r="F401" t="s">
        <v>1564</v>
      </c>
    </row>
    <row r="402" spans="1:6">
      <c r="A402" t="s">
        <v>1563</v>
      </c>
      <c r="B402" s="13" t="s">
        <v>840</v>
      </c>
      <c r="C402" s="104">
        <v>18095</v>
      </c>
      <c r="D402" s="96"/>
      <c r="E402" s="99">
        <f t="shared" si="8"/>
        <v>18095</v>
      </c>
      <c r="F402" t="s">
        <v>1564</v>
      </c>
    </row>
    <row r="403" spans="1:6">
      <c r="A403" t="s">
        <v>1563</v>
      </c>
      <c r="B403" s="13" t="s">
        <v>841</v>
      </c>
      <c r="C403" s="104">
        <v>31056</v>
      </c>
      <c r="D403" s="96"/>
      <c r="E403" s="99">
        <f t="shared" si="8"/>
        <v>31056</v>
      </c>
      <c r="F403" t="s">
        <v>1564</v>
      </c>
    </row>
    <row r="404" spans="1:6">
      <c r="A404" t="s">
        <v>1563</v>
      </c>
      <c r="B404" s="13" t="s">
        <v>842</v>
      </c>
      <c r="C404" s="104">
        <v>27512</v>
      </c>
      <c r="D404" s="96"/>
      <c r="E404" s="99">
        <f t="shared" si="8"/>
        <v>27512</v>
      </c>
      <c r="F404" t="s">
        <v>1564</v>
      </c>
    </row>
    <row r="405" spans="1:6">
      <c r="A405" t="s">
        <v>1563</v>
      </c>
      <c r="B405" s="13" t="s">
        <v>843</v>
      </c>
      <c r="C405" s="96"/>
      <c r="D405" s="104">
        <v>2000</v>
      </c>
      <c r="E405" s="99">
        <f t="shared" si="8"/>
        <v>-2000</v>
      </c>
      <c r="F405" t="s">
        <v>1564</v>
      </c>
    </row>
    <row r="406" spans="1:6">
      <c r="A406" t="s">
        <v>1563</v>
      </c>
      <c r="B406" s="13" t="s">
        <v>1241</v>
      </c>
      <c r="C406" s="104">
        <v>50425</v>
      </c>
      <c r="D406" s="96"/>
      <c r="E406" s="99">
        <f t="shared" si="8"/>
        <v>50425</v>
      </c>
      <c r="F406" t="s">
        <v>1564</v>
      </c>
    </row>
    <row r="407" spans="1:6">
      <c r="A407" t="s">
        <v>1563</v>
      </c>
      <c r="B407" s="13" t="s">
        <v>844</v>
      </c>
      <c r="C407" s="96"/>
      <c r="D407" s="104">
        <v>2100</v>
      </c>
      <c r="E407" s="99">
        <f t="shared" si="8"/>
        <v>-2100</v>
      </c>
      <c r="F407" t="s">
        <v>1564</v>
      </c>
    </row>
    <row r="408" spans="1:6">
      <c r="A408" t="s">
        <v>1563</v>
      </c>
      <c r="B408" s="13" t="s">
        <v>845</v>
      </c>
      <c r="C408" s="96"/>
      <c r="D408" s="104">
        <v>5745</v>
      </c>
      <c r="E408" s="99">
        <f t="shared" si="8"/>
        <v>-5745</v>
      </c>
      <c r="F408" t="s">
        <v>1564</v>
      </c>
    </row>
    <row r="409" spans="1:6">
      <c r="A409" t="s">
        <v>1563</v>
      </c>
      <c r="B409" s="13" t="s">
        <v>1513</v>
      </c>
      <c r="C409" s="96"/>
      <c r="D409" s="104">
        <v>154406</v>
      </c>
      <c r="E409" s="99">
        <f t="shared" si="8"/>
        <v>-154406</v>
      </c>
      <c r="F409" t="s">
        <v>1564</v>
      </c>
    </row>
    <row r="410" spans="1:6">
      <c r="A410" t="s">
        <v>1563</v>
      </c>
      <c r="B410" s="13" t="s">
        <v>1514</v>
      </c>
      <c r="C410" s="104">
        <v>327835</v>
      </c>
      <c r="D410" s="96"/>
      <c r="E410" s="99">
        <f t="shared" si="8"/>
        <v>327835</v>
      </c>
      <c r="F410" t="s">
        <v>1564</v>
      </c>
    </row>
    <row r="411" spans="1:6">
      <c r="A411" t="s">
        <v>1563</v>
      </c>
      <c r="B411" s="13" t="s">
        <v>1515</v>
      </c>
      <c r="C411" s="104">
        <v>299580</v>
      </c>
      <c r="D411" s="96"/>
      <c r="E411" s="99">
        <f t="shared" si="8"/>
        <v>299580</v>
      </c>
      <c r="F411" t="s">
        <v>1564</v>
      </c>
    </row>
    <row r="412" spans="1:6">
      <c r="A412" t="s">
        <v>1563</v>
      </c>
      <c r="B412" s="13" t="s">
        <v>846</v>
      </c>
      <c r="C412" s="104">
        <v>3188</v>
      </c>
      <c r="D412" s="96"/>
      <c r="E412" s="99">
        <f t="shared" si="8"/>
        <v>3188</v>
      </c>
      <c r="F412" t="s">
        <v>1564</v>
      </c>
    </row>
    <row r="413" spans="1:6">
      <c r="A413" t="s">
        <v>1563</v>
      </c>
      <c r="B413" s="13" t="s">
        <v>1516</v>
      </c>
      <c r="C413" s="104">
        <v>20</v>
      </c>
      <c r="D413" s="96"/>
      <c r="E413" s="99">
        <f t="shared" si="8"/>
        <v>20</v>
      </c>
      <c r="F413" t="s">
        <v>1564</v>
      </c>
    </row>
    <row r="414" spans="1:6">
      <c r="A414" t="s">
        <v>1563</v>
      </c>
      <c r="B414" s="13" t="s">
        <v>1517</v>
      </c>
      <c r="C414" s="104">
        <v>12044</v>
      </c>
      <c r="D414" s="96"/>
      <c r="E414" s="99">
        <f t="shared" si="8"/>
        <v>12044</v>
      </c>
      <c r="F414" t="s">
        <v>1564</v>
      </c>
    </row>
    <row r="415" spans="1:6">
      <c r="A415" t="s">
        <v>1563</v>
      </c>
      <c r="B415" s="13" t="s">
        <v>849</v>
      </c>
      <c r="C415" s="96"/>
      <c r="D415" s="104">
        <v>1000</v>
      </c>
      <c r="E415" s="99">
        <f t="shared" si="8"/>
        <v>-1000</v>
      </c>
      <c r="F415" t="s">
        <v>1564</v>
      </c>
    </row>
    <row r="416" spans="1:6">
      <c r="A416" t="s">
        <v>1563</v>
      </c>
      <c r="B416" s="13" t="s">
        <v>850</v>
      </c>
      <c r="C416" s="104">
        <v>2950</v>
      </c>
      <c r="D416" s="96"/>
      <c r="E416" s="99">
        <f t="shared" si="8"/>
        <v>2950</v>
      </c>
      <c r="F416" t="s">
        <v>1564</v>
      </c>
    </row>
    <row r="417" spans="1:6">
      <c r="A417" t="s">
        <v>1563</v>
      </c>
      <c r="B417" s="13" t="s">
        <v>1518</v>
      </c>
      <c r="C417" s="104">
        <v>87410</v>
      </c>
      <c r="D417" s="96"/>
      <c r="E417" s="99">
        <f t="shared" si="8"/>
        <v>87410</v>
      </c>
      <c r="F417" t="s">
        <v>1564</v>
      </c>
    </row>
    <row r="418" spans="1:6">
      <c r="A418" t="s">
        <v>1563</v>
      </c>
      <c r="B418" s="13" t="s">
        <v>1240</v>
      </c>
      <c r="C418" s="104">
        <v>15054</v>
      </c>
      <c r="D418" s="96"/>
      <c r="E418" s="99">
        <f t="shared" si="8"/>
        <v>15054</v>
      </c>
      <c r="F418" t="s">
        <v>1564</v>
      </c>
    </row>
    <row r="419" spans="1:6">
      <c r="A419" t="s">
        <v>1563</v>
      </c>
      <c r="B419" s="13" t="s">
        <v>1519</v>
      </c>
      <c r="C419" s="104">
        <v>36363</v>
      </c>
      <c r="D419" s="96"/>
      <c r="E419" s="99">
        <f t="shared" si="8"/>
        <v>36363</v>
      </c>
      <c r="F419" t="s">
        <v>1564</v>
      </c>
    </row>
    <row r="420" spans="1:6">
      <c r="A420" t="s">
        <v>1563</v>
      </c>
      <c r="B420" s="13" t="s">
        <v>851</v>
      </c>
      <c r="C420" s="104">
        <v>50</v>
      </c>
      <c r="D420" s="96"/>
      <c r="E420" s="99">
        <f t="shared" si="8"/>
        <v>50</v>
      </c>
      <c r="F420" t="s">
        <v>1564</v>
      </c>
    </row>
    <row r="421" spans="1:6">
      <c r="A421" t="s">
        <v>1563</v>
      </c>
      <c r="B421" s="13" t="s">
        <v>853</v>
      </c>
      <c r="C421" s="104">
        <v>13605</v>
      </c>
      <c r="D421" s="96"/>
      <c r="E421" s="99">
        <f t="shared" si="8"/>
        <v>13605</v>
      </c>
      <c r="F421" t="s">
        <v>1564</v>
      </c>
    </row>
    <row r="422" spans="1:6">
      <c r="A422" t="s">
        <v>1563</v>
      </c>
      <c r="B422" s="13" t="s">
        <v>854</v>
      </c>
      <c r="C422" s="96"/>
      <c r="D422" s="104">
        <v>2494</v>
      </c>
      <c r="E422" s="99">
        <f t="shared" si="8"/>
        <v>-2494</v>
      </c>
      <c r="F422" t="s">
        <v>1564</v>
      </c>
    </row>
    <row r="423" spans="1:6">
      <c r="A423" t="s">
        <v>1563</v>
      </c>
      <c r="B423" s="13" t="s">
        <v>1520</v>
      </c>
      <c r="C423" s="104">
        <v>250974</v>
      </c>
      <c r="D423" s="96"/>
      <c r="E423" s="99">
        <f t="shared" si="8"/>
        <v>250974</v>
      </c>
      <c r="F423" t="s">
        <v>1564</v>
      </c>
    </row>
    <row r="424" spans="1:6">
      <c r="A424" t="s">
        <v>1563</v>
      </c>
      <c r="B424" s="13" t="s">
        <v>1521</v>
      </c>
      <c r="C424" s="96"/>
      <c r="D424" s="104">
        <v>1577</v>
      </c>
      <c r="E424" s="99">
        <f t="shared" si="8"/>
        <v>-1577</v>
      </c>
      <c r="F424" t="s">
        <v>1564</v>
      </c>
    </row>
    <row r="425" spans="1:6">
      <c r="A425" t="s">
        <v>1563</v>
      </c>
      <c r="B425" s="13" t="s">
        <v>1522</v>
      </c>
      <c r="C425" s="104">
        <v>25114</v>
      </c>
      <c r="D425" s="96"/>
      <c r="E425" s="99">
        <f t="shared" si="8"/>
        <v>25114</v>
      </c>
      <c r="F425" t="s">
        <v>1564</v>
      </c>
    </row>
    <row r="426" spans="1:6">
      <c r="A426" t="s">
        <v>1563</v>
      </c>
      <c r="B426" s="13" t="s">
        <v>1523</v>
      </c>
      <c r="C426" s="96"/>
      <c r="D426" s="104">
        <v>55000</v>
      </c>
      <c r="E426" s="99">
        <f t="shared" si="8"/>
        <v>-55000</v>
      </c>
      <c r="F426" t="s">
        <v>1564</v>
      </c>
    </row>
    <row r="427" spans="1:6">
      <c r="A427" t="s">
        <v>1563</v>
      </c>
      <c r="B427" s="13" t="s">
        <v>855</v>
      </c>
      <c r="C427" s="104">
        <v>1247599.7</v>
      </c>
      <c r="D427" s="96"/>
      <c r="E427" s="99">
        <f t="shared" si="8"/>
        <v>1247599.7</v>
      </c>
      <c r="F427" t="s">
        <v>1564</v>
      </c>
    </row>
    <row r="428" spans="1:6">
      <c r="A428" t="s">
        <v>1563</v>
      </c>
      <c r="B428" s="13" t="s">
        <v>1239</v>
      </c>
      <c r="C428" s="104">
        <v>1500</v>
      </c>
      <c r="D428" s="96"/>
      <c r="E428" s="99">
        <f t="shared" si="8"/>
        <v>1500</v>
      </c>
      <c r="F428" t="s">
        <v>1564</v>
      </c>
    </row>
    <row r="429" spans="1:6">
      <c r="A429" t="s">
        <v>1563</v>
      </c>
      <c r="B429" s="13" t="s">
        <v>256</v>
      </c>
      <c r="C429" s="104">
        <v>173566233.44999999</v>
      </c>
      <c r="D429" s="96"/>
      <c r="E429" s="99">
        <f t="shared" si="8"/>
        <v>173566233.44999999</v>
      </c>
      <c r="F429" t="s">
        <v>1564</v>
      </c>
    </row>
    <row r="430" spans="1:6">
      <c r="A430" t="s">
        <v>1563</v>
      </c>
      <c r="B430" s="13" t="s">
        <v>856</v>
      </c>
      <c r="C430" s="96"/>
      <c r="D430" s="104">
        <v>871252</v>
      </c>
      <c r="E430" s="99">
        <f t="shared" si="8"/>
        <v>-871252</v>
      </c>
      <c r="F430" t="s">
        <v>1564</v>
      </c>
    </row>
    <row r="431" spans="1:6">
      <c r="A431" t="s">
        <v>1563</v>
      </c>
      <c r="B431" s="13" t="s">
        <v>857</v>
      </c>
      <c r="C431" s="96"/>
      <c r="D431" s="104">
        <v>115592895</v>
      </c>
      <c r="E431" s="99">
        <f t="shared" si="8"/>
        <v>-115592895</v>
      </c>
      <c r="F431" t="s">
        <v>1564</v>
      </c>
    </row>
    <row r="432" spans="1:6">
      <c r="A432" t="s">
        <v>1563</v>
      </c>
      <c r="B432" s="13" t="s">
        <v>858</v>
      </c>
      <c r="C432" s="96"/>
      <c r="D432" s="104">
        <v>57102086.450000003</v>
      </c>
      <c r="E432" s="99">
        <f t="shared" si="8"/>
        <v>-57102086.450000003</v>
      </c>
      <c r="F432" t="s">
        <v>1564</v>
      </c>
    </row>
    <row r="433" spans="1:6">
      <c r="A433" t="s">
        <v>1563</v>
      </c>
      <c r="B433" s="13" t="s">
        <v>1524</v>
      </c>
      <c r="C433" s="104">
        <v>79433</v>
      </c>
      <c r="D433" s="96"/>
      <c r="E433" s="99">
        <f t="shared" si="8"/>
        <v>79433</v>
      </c>
      <c r="F433" t="s">
        <v>1564</v>
      </c>
    </row>
    <row r="434" spans="1:6">
      <c r="A434" t="s">
        <v>1563</v>
      </c>
      <c r="B434" s="13" t="s">
        <v>1525</v>
      </c>
      <c r="C434" s="104">
        <v>142067</v>
      </c>
      <c r="D434" s="96"/>
      <c r="E434" s="99">
        <f t="shared" si="8"/>
        <v>142067</v>
      </c>
      <c r="F434" t="s">
        <v>1564</v>
      </c>
    </row>
    <row r="435" spans="1:6">
      <c r="A435" t="s">
        <v>1563</v>
      </c>
      <c r="B435" s="13" t="s">
        <v>859</v>
      </c>
      <c r="C435" s="104">
        <v>10812</v>
      </c>
      <c r="D435" s="96"/>
      <c r="E435" s="99">
        <f t="shared" si="8"/>
        <v>10812</v>
      </c>
      <c r="F435" t="s">
        <v>1564</v>
      </c>
    </row>
    <row r="436" spans="1:6">
      <c r="A436" t="s">
        <v>1563</v>
      </c>
      <c r="B436" s="13" t="s">
        <v>860</v>
      </c>
      <c r="C436" s="104">
        <v>6042</v>
      </c>
      <c r="D436" s="96"/>
      <c r="E436" s="99">
        <f t="shared" si="8"/>
        <v>6042</v>
      </c>
      <c r="F436" t="s">
        <v>1564</v>
      </c>
    </row>
    <row r="437" spans="1:6">
      <c r="A437" t="s">
        <v>1563</v>
      </c>
      <c r="B437" s="13" t="s">
        <v>1526</v>
      </c>
      <c r="C437" s="104">
        <v>1510</v>
      </c>
      <c r="D437" s="96"/>
      <c r="E437" s="99">
        <f t="shared" si="8"/>
        <v>1510</v>
      </c>
      <c r="F437" t="s">
        <v>1564</v>
      </c>
    </row>
    <row r="438" spans="1:6">
      <c r="A438" t="s">
        <v>1563</v>
      </c>
      <c r="B438" s="13" t="s">
        <v>861</v>
      </c>
      <c r="C438" s="96"/>
      <c r="D438" s="104">
        <v>6589</v>
      </c>
      <c r="E438" s="99">
        <f t="shared" ref="E438:E456" si="9">C438-D438</f>
        <v>-6589</v>
      </c>
      <c r="F438" t="s">
        <v>1564</v>
      </c>
    </row>
    <row r="439" spans="1:6">
      <c r="A439" t="s">
        <v>1563</v>
      </c>
      <c r="B439" s="13" t="s">
        <v>1238</v>
      </c>
      <c r="C439" s="104">
        <v>137041</v>
      </c>
      <c r="D439" s="96"/>
      <c r="E439" s="99">
        <f t="shared" si="9"/>
        <v>137041</v>
      </c>
      <c r="F439" t="s">
        <v>1564</v>
      </c>
    </row>
    <row r="440" spans="1:6">
      <c r="A440" t="s">
        <v>1563</v>
      </c>
      <c r="B440" s="13" t="s">
        <v>1527</v>
      </c>
      <c r="C440" s="104">
        <v>252547</v>
      </c>
      <c r="D440" s="96"/>
      <c r="E440" s="99">
        <f t="shared" si="9"/>
        <v>252547</v>
      </c>
      <c r="F440" t="s">
        <v>1564</v>
      </c>
    </row>
    <row r="441" spans="1:6">
      <c r="A441" t="s">
        <v>1563</v>
      </c>
      <c r="B441" s="13" t="s">
        <v>1528</v>
      </c>
      <c r="C441" s="104">
        <v>11276</v>
      </c>
      <c r="D441" s="96"/>
      <c r="E441" s="99">
        <f t="shared" si="9"/>
        <v>11276</v>
      </c>
      <c r="F441" t="s">
        <v>1564</v>
      </c>
    </row>
    <row r="442" spans="1:6">
      <c r="A442" t="s">
        <v>1563</v>
      </c>
      <c r="B442" s="13" t="s">
        <v>1529</v>
      </c>
      <c r="C442" s="104">
        <v>131539</v>
      </c>
      <c r="D442" s="96"/>
      <c r="E442" s="99">
        <f t="shared" si="9"/>
        <v>131539</v>
      </c>
      <c r="F442" t="s">
        <v>1564</v>
      </c>
    </row>
    <row r="443" spans="1:6">
      <c r="A443" t="s">
        <v>1563</v>
      </c>
      <c r="B443" s="13" t="s">
        <v>1237</v>
      </c>
      <c r="C443" s="104">
        <v>69540</v>
      </c>
      <c r="D443" s="96"/>
      <c r="E443" s="99">
        <f t="shared" si="9"/>
        <v>69540</v>
      </c>
      <c r="F443" t="s">
        <v>1564</v>
      </c>
    </row>
    <row r="444" spans="1:6">
      <c r="A444" t="s">
        <v>1563</v>
      </c>
      <c r="B444" s="13" t="s">
        <v>863</v>
      </c>
      <c r="C444" s="104">
        <v>6075</v>
      </c>
      <c r="D444" s="96"/>
      <c r="E444" s="99">
        <f t="shared" si="9"/>
        <v>6075</v>
      </c>
      <c r="F444" t="s">
        <v>1564</v>
      </c>
    </row>
    <row r="445" spans="1:6">
      <c r="A445" t="s">
        <v>1563</v>
      </c>
      <c r="B445" s="13" t="s">
        <v>1089</v>
      </c>
      <c r="C445" s="104">
        <v>40054.199999999997</v>
      </c>
      <c r="D445" s="96"/>
      <c r="E445" s="99">
        <f t="shared" si="9"/>
        <v>40054.199999999997</v>
      </c>
      <c r="F445" t="s">
        <v>1564</v>
      </c>
    </row>
    <row r="446" spans="1:6">
      <c r="A446" t="s">
        <v>1563</v>
      </c>
      <c r="B446" s="13" t="s">
        <v>1236</v>
      </c>
      <c r="C446" s="104">
        <v>38444</v>
      </c>
      <c r="D446" s="96"/>
      <c r="E446" s="99">
        <f t="shared" si="9"/>
        <v>38444</v>
      </c>
      <c r="F446" t="s">
        <v>1564</v>
      </c>
    </row>
    <row r="447" spans="1:6">
      <c r="A447" t="s">
        <v>1563</v>
      </c>
      <c r="B447" s="13" t="s">
        <v>1235</v>
      </c>
      <c r="C447" s="96"/>
      <c r="D447" s="104">
        <v>2987</v>
      </c>
      <c r="E447" s="99">
        <f t="shared" si="9"/>
        <v>-2987</v>
      </c>
      <c r="F447" t="s">
        <v>1564</v>
      </c>
    </row>
    <row r="448" spans="1:6">
      <c r="A448" t="s">
        <v>1563</v>
      </c>
      <c r="B448" s="13" t="s">
        <v>864</v>
      </c>
      <c r="C448" s="104">
        <v>19090</v>
      </c>
      <c r="D448" s="96"/>
      <c r="E448" s="99">
        <f t="shared" si="9"/>
        <v>19090</v>
      </c>
      <c r="F448" t="s">
        <v>1564</v>
      </c>
    </row>
    <row r="449" spans="1:6">
      <c r="A449" t="s">
        <v>1563</v>
      </c>
      <c r="B449" s="13" t="s">
        <v>865</v>
      </c>
      <c r="C449" s="104">
        <v>6188</v>
      </c>
      <c r="D449" s="96"/>
      <c r="E449" s="99">
        <f t="shared" si="9"/>
        <v>6188</v>
      </c>
      <c r="F449" t="s">
        <v>1564</v>
      </c>
    </row>
    <row r="450" spans="1:6">
      <c r="A450" t="s">
        <v>1563</v>
      </c>
      <c r="B450" s="13" t="s">
        <v>866</v>
      </c>
      <c r="C450" s="104">
        <v>6576</v>
      </c>
      <c r="D450" s="96"/>
      <c r="E450" s="99">
        <f t="shared" si="9"/>
        <v>6576</v>
      </c>
      <c r="F450" t="s">
        <v>1564</v>
      </c>
    </row>
    <row r="451" spans="1:6">
      <c r="A451" t="s">
        <v>1563</v>
      </c>
      <c r="B451" s="13" t="s">
        <v>867</v>
      </c>
      <c r="C451" s="104">
        <v>486</v>
      </c>
      <c r="D451" s="96"/>
      <c r="E451" s="99">
        <f t="shared" si="9"/>
        <v>486</v>
      </c>
      <c r="F451" t="s">
        <v>1564</v>
      </c>
    </row>
    <row r="452" spans="1:6">
      <c r="A452" t="s">
        <v>1563</v>
      </c>
      <c r="B452" s="13" t="s">
        <v>868</v>
      </c>
      <c r="C452" s="104">
        <v>2101</v>
      </c>
      <c r="D452" s="96"/>
      <c r="E452" s="99">
        <f t="shared" si="9"/>
        <v>2101</v>
      </c>
      <c r="F452" t="s">
        <v>1564</v>
      </c>
    </row>
    <row r="453" spans="1:6">
      <c r="A453" t="s">
        <v>1563</v>
      </c>
      <c r="B453" s="13" t="s">
        <v>869</v>
      </c>
      <c r="C453" s="96"/>
      <c r="D453" s="104">
        <v>300</v>
      </c>
      <c r="E453" s="99">
        <f t="shared" si="9"/>
        <v>-300</v>
      </c>
      <c r="F453" t="s">
        <v>1564</v>
      </c>
    </row>
    <row r="454" spans="1:6">
      <c r="A454" t="s">
        <v>1563</v>
      </c>
      <c r="B454" s="13" t="s">
        <v>1530</v>
      </c>
      <c r="C454" s="104">
        <v>1687</v>
      </c>
      <c r="D454" s="96"/>
      <c r="E454" s="99">
        <f t="shared" si="9"/>
        <v>1687</v>
      </c>
      <c r="F454" t="s">
        <v>1564</v>
      </c>
    </row>
    <row r="455" spans="1:6">
      <c r="A455" t="s">
        <v>1563</v>
      </c>
      <c r="B455" s="13" t="s">
        <v>1531</v>
      </c>
      <c r="C455" s="104">
        <v>112504</v>
      </c>
      <c r="D455" s="96"/>
      <c r="E455" s="99">
        <f t="shared" si="9"/>
        <v>112504</v>
      </c>
      <c r="F455" t="s">
        <v>1564</v>
      </c>
    </row>
    <row r="456" spans="1:6">
      <c r="A456" t="s">
        <v>1563</v>
      </c>
      <c r="B456" s="13" t="s">
        <v>941</v>
      </c>
      <c r="C456" s="104">
        <v>164286.54999999999</v>
      </c>
      <c r="D456" s="96"/>
      <c r="E456" s="99">
        <f t="shared" si="9"/>
        <v>164286.54999999999</v>
      </c>
      <c r="F456" t="s">
        <v>1564</v>
      </c>
    </row>
    <row r="457" spans="1:6">
      <c r="B457" s="1" t="s">
        <v>101</v>
      </c>
      <c r="C457" s="105">
        <v>224989.5</v>
      </c>
      <c r="D457" s="105">
        <v>51020.5</v>
      </c>
      <c r="E457" s="99"/>
    </row>
    <row r="458" spans="1:6">
      <c r="A458" t="s">
        <v>1562</v>
      </c>
      <c r="B458" s="13" t="s">
        <v>870</v>
      </c>
      <c r="C458" s="96"/>
      <c r="D458" s="104">
        <v>2781.5</v>
      </c>
      <c r="E458" s="99">
        <f t="shared" ref="E458:E478" si="10">C458-D458</f>
        <v>-2781.5</v>
      </c>
      <c r="F458" t="s">
        <v>1565</v>
      </c>
    </row>
    <row r="459" spans="1:6">
      <c r="A459" t="s">
        <v>1562</v>
      </c>
      <c r="B459" s="13" t="s">
        <v>871</v>
      </c>
      <c r="C459" s="96"/>
      <c r="D459" s="104">
        <v>4836.5</v>
      </c>
      <c r="E459" s="99">
        <f t="shared" si="10"/>
        <v>-4836.5</v>
      </c>
      <c r="F459" t="s">
        <v>1565</v>
      </c>
    </row>
    <row r="460" spans="1:6">
      <c r="A460" t="s">
        <v>1562</v>
      </c>
      <c r="B460" s="13" t="s">
        <v>872</v>
      </c>
      <c r="C460" s="96"/>
      <c r="D460" s="104">
        <v>23740</v>
      </c>
      <c r="E460" s="99">
        <f t="shared" si="10"/>
        <v>-23740</v>
      </c>
      <c r="F460" t="s">
        <v>1565</v>
      </c>
    </row>
    <row r="461" spans="1:6">
      <c r="A461" t="s">
        <v>1562</v>
      </c>
      <c r="B461" s="13" t="s">
        <v>873</v>
      </c>
      <c r="C461" s="104">
        <v>3001</v>
      </c>
      <c r="D461" s="96"/>
      <c r="E461" s="99">
        <f t="shared" si="10"/>
        <v>3001</v>
      </c>
      <c r="F461" t="s">
        <v>1565</v>
      </c>
    </row>
    <row r="462" spans="1:6">
      <c r="A462" t="s">
        <v>1562</v>
      </c>
      <c r="B462" s="13" t="s">
        <v>874</v>
      </c>
      <c r="C462" s="96"/>
      <c r="D462" s="104">
        <v>126.8</v>
      </c>
      <c r="E462" s="99">
        <f t="shared" si="10"/>
        <v>-126.8</v>
      </c>
      <c r="F462" t="s">
        <v>1565</v>
      </c>
    </row>
    <row r="463" spans="1:6">
      <c r="A463" t="s">
        <v>1562</v>
      </c>
      <c r="B463" s="13" t="s">
        <v>875</v>
      </c>
      <c r="C463" s="104">
        <v>908</v>
      </c>
      <c r="D463" s="96"/>
      <c r="E463" s="99">
        <f t="shared" si="10"/>
        <v>908</v>
      </c>
      <c r="F463" t="s">
        <v>1565</v>
      </c>
    </row>
    <row r="464" spans="1:6">
      <c r="A464" t="s">
        <v>1562</v>
      </c>
      <c r="B464" s="13" t="s">
        <v>876</v>
      </c>
      <c r="C464" s="96"/>
      <c r="D464" s="104">
        <v>3702</v>
      </c>
      <c r="E464" s="99">
        <f t="shared" si="10"/>
        <v>-3702</v>
      </c>
      <c r="F464" t="s">
        <v>1565</v>
      </c>
    </row>
    <row r="465" spans="1:6">
      <c r="A465" t="s">
        <v>1562</v>
      </c>
      <c r="B465" s="13" t="s">
        <v>877</v>
      </c>
      <c r="C465" s="104">
        <v>167004</v>
      </c>
      <c r="D465" s="96"/>
      <c r="E465" s="99">
        <f t="shared" si="10"/>
        <v>167004</v>
      </c>
      <c r="F465" t="s">
        <v>1565</v>
      </c>
    </row>
    <row r="466" spans="1:6">
      <c r="A466" t="s">
        <v>1562</v>
      </c>
      <c r="B466" s="13" t="s">
        <v>879</v>
      </c>
      <c r="C466" s="96"/>
      <c r="D466" s="104">
        <v>9773</v>
      </c>
      <c r="E466" s="99">
        <f t="shared" si="10"/>
        <v>-9773</v>
      </c>
      <c r="F466" t="s">
        <v>1565</v>
      </c>
    </row>
    <row r="467" spans="1:6">
      <c r="A467" t="s">
        <v>1562</v>
      </c>
      <c r="B467" s="13" t="s">
        <v>1532</v>
      </c>
      <c r="C467" s="104">
        <v>3499</v>
      </c>
      <c r="D467" s="96"/>
      <c r="E467" s="99">
        <f t="shared" si="10"/>
        <v>3499</v>
      </c>
      <c r="F467" t="s">
        <v>1565</v>
      </c>
    </row>
    <row r="468" spans="1:6">
      <c r="A468" t="s">
        <v>1562</v>
      </c>
      <c r="B468" s="13" t="s">
        <v>880</v>
      </c>
      <c r="C468" s="104">
        <v>2417.5</v>
      </c>
      <c r="D468" s="96"/>
      <c r="E468" s="99">
        <f t="shared" si="10"/>
        <v>2417.5</v>
      </c>
      <c r="F468" t="s">
        <v>1565</v>
      </c>
    </row>
    <row r="469" spans="1:6">
      <c r="A469" t="s">
        <v>1562</v>
      </c>
      <c r="B469" s="13" t="s">
        <v>1533</v>
      </c>
      <c r="C469" s="104">
        <v>14317</v>
      </c>
      <c r="D469" s="96"/>
      <c r="E469" s="99">
        <f t="shared" si="10"/>
        <v>14317</v>
      </c>
      <c r="F469" t="s">
        <v>1565</v>
      </c>
    </row>
    <row r="470" spans="1:6">
      <c r="A470" t="s">
        <v>1562</v>
      </c>
      <c r="B470" s="13" t="s">
        <v>1534</v>
      </c>
      <c r="C470" s="104">
        <v>15000</v>
      </c>
      <c r="D470" s="96"/>
      <c r="E470" s="99">
        <f t="shared" si="10"/>
        <v>15000</v>
      </c>
      <c r="F470" t="s">
        <v>1565</v>
      </c>
    </row>
    <row r="471" spans="1:6">
      <c r="A471" t="s">
        <v>1562</v>
      </c>
      <c r="B471" s="13" t="s">
        <v>883</v>
      </c>
      <c r="C471" s="96"/>
      <c r="D471" s="104">
        <v>4525</v>
      </c>
      <c r="E471" s="99">
        <f t="shared" si="10"/>
        <v>-4525</v>
      </c>
      <c r="F471" t="s">
        <v>1565</v>
      </c>
    </row>
    <row r="472" spans="1:6">
      <c r="A472" t="s">
        <v>1562</v>
      </c>
      <c r="B472" s="13" t="s">
        <v>884</v>
      </c>
      <c r="C472" s="96"/>
      <c r="D472" s="104">
        <v>1172.7</v>
      </c>
      <c r="E472" s="99">
        <f t="shared" si="10"/>
        <v>-1172.7</v>
      </c>
      <c r="F472" t="s">
        <v>1565</v>
      </c>
    </row>
    <row r="473" spans="1:6">
      <c r="A473" t="s">
        <v>1562</v>
      </c>
      <c r="B473" s="13" t="s">
        <v>885</v>
      </c>
      <c r="C473" s="104">
        <v>14693</v>
      </c>
      <c r="D473" s="96"/>
      <c r="E473" s="99">
        <f t="shared" si="10"/>
        <v>14693</v>
      </c>
      <c r="F473" t="s">
        <v>1565</v>
      </c>
    </row>
    <row r="474" spans="1:6">
      <c r="A474" t="s">
        <v>1562</v>
      </c>
      <c r="B474" s="13" t="s">
        <v>1233</v>
      </c>
      <c r="C474" s="96"/>
      <c r="D474" s="104">
        <v>363</v>
      </c>
      <c r="E474" s="99">
        <f t="shared" si="10"/>
        <v>-363</v>
      </c>
      <c r="F474" t="s">
        <v>1565</v>
      </c>
    </row>
    <row r="475" spans="1:6">
      <c r="A475" t="s">
        <v>1562</v>
      </c>
      <c r="B475" s="13" t="s">
        <v>1094</v>
      </c>
      <c r="C475" s="104">
        <v>1500</v>
      </c>
      <c r="D475" s="96"/>
      <c r="E475" s="99">
        <f t="shared" si="10"/>
        <v>1500</v>
      </c>
      <c r="F475" t="s">
        <v>1565</v>
      </c>
    </row>
    <row r="476" spans="1:6">
      <c r="A476" t="s">
        <v>1562</v>
      </c>
      <c r="B476" s="13" t="s">
        <v>887</v>
      </c>
      <c r="C476" s="104">
        <v>500</v>
      </c>
      <c r="D476" s="96"/>
      <c r="E476" s="99">
        <f t="shared" si="10"/>
        <v>500</v>
      </c>
      <c r="F476" t="s">
        <v>1565</v>
      </c>
    </row>
    <row r="477" spans="1:6">
      <c r="A477" t="s">
        <v>1562</v>
      </c>
      <c r="B477" s="13" t="s">
        <v>888</v>
      </c>
      <c r="C477" s="104">
        <v>750</v>
      </c>
      <c r="D477" s="96"/>
      <c r="E477" s="99">
        <f t="shared" si="10"/>
        <v>750</v>
      </c>
      <c r="F477" t="s">
        <v>1565</v>
      </c>
    </row>
    <row r="478" spans="1:6">
      <c r="A478" t="s">
        <v>1562</v>
      </c>
      <c r="B478" s="13" t="s">
        <v>889</v>
      </c>
      <c r="C478" s="104">
        <v>1400</v>
      </c>
      <c r="D478" s="96"/>
      <c r="E478" s="99">
        <f t="shared" si="10"/>
        <v>1400</v>
      </c>
      <c r="F478" t="s">
        <v>1565</v>
      </c>
    </row>
    <row r="479" spans="1:6">
      <c r="B479" s="1" t="s">
        <v>102</v>
      </c>
      <c r="C479" s="109"/>
      <c r="D479" s="105">
        <v>288760941.44999999</v>
      </c>
      <c r="E479" s="99"/>
    </row>
    <row r="480" spans="1:6">
      <c r="A480" t="s">
        <v>1583</v>
      </c>
      <c r="B480" s="13" t="s">
        <v>103</v>
      </c>
      <c r="C480" s="96"/>
      <c r="D480" s="104">
        <v>288760941.44999999</v>
      </c>
      <c r="E480" s="99">
        <f>C480-D480</f>
        <v>-288760941.44999999</v>
      </c>
      <c r="F480" t="s">
        <v>1584</v>
      </c>
    </row>
    <row r="481" spans="1:6">
      <c r="B481" s="1" t="s">
        <v>104</v>
      </c>
      <c r="C481" s="105">
        <v>63461991.840000004</v>
      </c>
      <c r="D481" s="109"/>
      <c r="E481" s="99"/>
    </row>
    <row r="482" spans="1:6">
      <c r="A482" t="s">
        <v>1589</v>
      </c>
      <c r="B482" s="13" t="s">
        <v>105</v>
      </c>
      <c r="C482" s="104">
        <v>1683147</v>
      </c>
      <c r="D482" s="96"/>
      <c r="E482" s="99">
        <f t="shared" ref="E482:E512" si="11">C482-D482</f>
        <v>1683147</v>
      </c>
      <c r="F482" t="s">
        <v>1590</v>
      </c>
    </row>
    <row r="483" spans="1:6">
      <c r="A483" t="s">
        <v>1589</v>
      </c>
      <c r="B483" s="13" t="s">
        <v>1095</v>
      </c>
      <c r="C483" s="104">
        <v>28800</v>
      </c>
      <c r="D483" s="96"/>
      <c r="E483" s="99">
        <f t="shared" si="11"/>
        <v>28800</v>
      </c>
      <c r="F483" t="s">
        <v>1590</v>
      </c>
    </row>
    <row r="484" spans="1:6">
      <c r="A484" t="s">
        <v>1589</v>
      </c>
      <c r="B484" s="13" t="s">
        <v>106</v>
      </c>
      <c r="C484" s="104">
        <v>297516</v>
      </c>
      <c r="D484" s="96"/>
      <c r="E484" s="99">
        <f t="shared" si="11"/>
        <v>297516</v>
      </c>
      <c r="F484" t="s">
        <v>1590</v>
      </c>
    </row>
    <row r="485" spans="1:6">
      <c r="A485" t="s">
        <v>1589</v>
      </c>
      <c r="B485" s="13" t="s">
        <v>107</v>
      </c>
      <c r="C485" s="104">
        <v>301955</v>
      </c>
      <c r="D485" s="96"/>
      <c r="E485" s="99">
        <f t="shared" si="11"/>
        <v>301955</v>
      </c>
      <c r="F485" t="s">
        <v>1590</v>
      </c>
    </row>
    <row r="486" spans="1:6">
      <c r="A486" t="s">
        <v>1589</v>
      </c>
      <c r="B486" s="13" t="s">
        <v>108</v>
      </c>
      <c r="C486" s="104">
        <v>401699</v>
      </c>
      <c r="D486" s="96"/>
      <c r="E486" s="99">
        <f t="shared" si="11"/>
        <v>401699</v>
      </c>
      <c r="F486" t="s">
        <v>1590</v>
      </c>
    </row>
    <row r="487" spans="1:6">
      <c r="A487" t="s">
        <v>1589</v>
      </c>
      <c r="B487" s="13" t="s">
        <v>109</v>
      </c>
      <c r="C487" s="104">
        <v>545716</v>
      </c>
      <c r="D487" s="96"/>
      <c r="E487" s="99">
        <f t="shared" si="11"/>
        <v>545716</v>
      </c>
      <c r="F487" t="s">
        <v>1590</v>
      </c>
    </row>
    <row r="488" spans="1:6">
      <c r="A488" t="s">
        <v>1589</v>
      </c>
      <c r="B488" s="13" t="s">
        <v>110</v>
      </c>
      <c r="C488" s="104">
        <v>4119171</v>
      </c>
      <c r="D488" s="96"/>
      <c r="E488" s="99">
        <f t="shared" si="11"/>
        <v>4119171</v>
      </c>
      <c r="F488" t="s">
        <v>1590</v>
      </c>
    </row>
    <row r="489" spans="1:6">
      <c r="A489" t="s">
        <v>1589</v>
      </c>
      <c r="B489" s="13" t="s">
        <v>111</v>
      </c>
      <c r="C489" s="104">
        <v>175527</v>
      </c>
      <c r="D489" s="96"/>
      <c r="E489" s="99">
        <f t="shared" si="11"/>
        <v>175527</v>
      </c>
      <c r="F489" t="s">
        <v>1590</v>
      </c>
    </row>
    <row r="490" spans="1:6">
      <c r="A490" t="s">
        <v>1589</v>
      </c>
      <c r="B490" s="16" t="s">
        <v>112</v>
      </c>
      <c r="C490" s="104">
        <v>1215390</v>
      </c>
      <c r="D490" s="96"/>
      <c r="E490" s="99">
        <f t="shared" si="11"/>
        <v>1215390</v>
      </c>
      <c r="F490" t="s">
        <v>1590</v>
      </c>
    </row>
    <row r="491" spans="1:6">
      <c r="A491" t="s">
        <v>1589</v>
      </c>
      <c r="B491" s="13" t="s">
        <v>113</v>
      </c>
      <c r="C491" s="104">
        <v>1477646</v>
      </c>
      <c r="D491" s="96"/>
      <c r="E491" s="99">
        <f t="shared" si="11"/>
        <v>1477646</v>
      </c>
      <c r="F491" t="s">
        <v>1590</v>
      </c>
    </row>
    <row r="492" spans="1:6">
      <c r="A492" t="s">
        <v>1589</v>
      </c>
      <c r="B492" s="13" t="s">
        <v>114</v>
      </c>
      <c r="C492" s="104">
        <v>43796</v>
      </c>
      <c r="D492" s="96"/>
      <c r="E492" s="99">
        <f t="shared" si="11"/>
        <v>43796</v>
      </c>
      <c r="F492" t="s">
        <v>1590</v>
      </c>
    </row>
    <row r="493" spans="1:6">
      <c r="A493" t="s">
        <v>1589</v>
      </c>
      <c r="B493" s="13" t="s">
        <v>1535</v>
      </c>
      <c r="C493" s="104">
        <v>745400</v>
      </c>
      <c r="D493" s="96"/>
      <c r="E493" s="99">
        <f t="shared" si="11"/>
        <v>745400</v>
      </c>
      <c r="F493" t="s">
        <v>1590</v>
      </c>
    </row>
    <row r="494" spans="1:6">
      <c r="A494" t="s">
        <v>1589</v>
      </c>
      <c r="B494" s="13" t="s">
        <v>115</v>
      </c>
      <c r="C494" s="104">
        <v>1108818</v>
      </c>
      <c r="D494" s="96"/>
      <c r="E494" s="99">
        <f t="shared" si="11"/>
        <v>1108818</v>
      </c>
      <c r="F494" t="s">
        <v>1590</v>
      </c>
    </row>
    <row r="495" spans="1:6">
      <c r="A495" t="s">
        <v>1589</v>
      </c>
      <c r="B495" s="13" t="s">
        <v>116</v>
      </c>
      <c r="C495" s="104">
        <v>5230072</v>
      </c>
      <c r="D495" s="96"/>
      <c r="E495" s="99">
        <f t="shared" si="11"/>
        <v>5230072</v>
      </c>
      <c r="F495" t="s">
        <v>1590</v>
      </c>
    </row>
    <row r="496" spans="1:6">
      <c r="A496" t="s">
        <v>1589</v>
      </c>
      <c r="B496" s="13" t="s">
        <v>117</v>
      </c>
      <c r="C496" s="104">
        <v>89275</v>
      </c>
      <c r="D496" s="96"/>
      <c r="E496" s="99">
        <f t="shared" si="11"/>
        <v>89275</v>
      </c>
      <c r="F496" t="s">
        <v>1590</v>
      </c>
    </row>
    <row r="497" spans="1:6">
      <c r="A497" t="s">
        <v>1589</v>
      </c>
      <c r="B497" s="13" t="s">
        <v>940</v>
      </c>
      <c r="C497" s="104">
        <v>530653</v>
      </c>
      <c r="D497" s="96"/>
      <c r="E497" s="99">
        <f t="shared" si="11"/>
        <v>530653</v>
      </c>
      <c r="F497" t="s">
        <v>1590</v>
      </c>
    </row>
    <row r="498" spans="1:6">
      <c r="A498" t="s">
        <v>1589</v>
      </c>
      <c r="B498" s="13" t="s">
        <v>119</v>
      </c>
      <c r="C498" s="104">
        <v>2042160</v>
      </c>
      <c r="D498" s="96"/>
      <c r="E498" s="99">
        <f t="shared" si="11"/>
        <v>2042160</v>
      </c>
      <c r="F498" t="s">
        <v>1590</v>
      </c>
    </row>
    <row r="499" spans="1:6">
      <c r="A499" t="s">
        <v>1589</v>
      </c>
      <c r="B499" s="13" t="s">
        <v>120</v>
      </c>
      <c r="C499" s="104">
        <v>3824083</v>
      </c>
      <c r="D499" s="96"/>
      <c r="E499" s="99">
        <f t="shared" si="11"/>
        <v>3824083</v>
      </c>
      <c r="F499" t="s">
        <v>1590</v>
      </c>
    </row>
    <row r="500" spans="1:6">
      <c r="A500" t="s">
        <v>1589</v>
      </c>
      <c r="B500" s="13" t="s">
        <v>939</v>
      </c>
      <c r="C500" s="104">
        <v>6888938.4000000004</v>
      </c>
      <c r="D500" s="96"/>
      <c r="E500" s="99">
        <f t="shared" si="11"/>
        <v>6888938.4000000004</v>
      </c>
      <c r="F500" t="s">
        <v>1590</v>
      </c>
    </row>
    <row r="501" spans="1:6">
      <c r="A501" t="s">
        <v>1589</v>
      </c>
      <c r="B501" s="13" t="s">
        <v>938</v>
      </c>
      <c r="C501" s="104">
        <v>1360316</v>
      </c>
      <c r="D501" s="96"/>
      <c r="E501" s="99">
        <f t="shared" si="11"/>
        <v>1360316</v>
      </c>
      <c r="F501" t="s">
        <v>1590</v>
      </c>
    </row>
    <row r="502" spans="1:6">
      <c r="A502" t="s">
        <v>1589</v>
      </c>
      <c r="B502" s="13" t="s">
        <v>937</v>
      </c>
      <c r="C502" s="104">
        <v>24083</v>
      </c>
      <c r="D502" s="96"/>
      <c r="E502" s="99">
        <f t="shared" si="11"/>
        <v>24083</v>
      </c>
      <c r="F502" t="s">
        <v>1590</v>
      </c>
    </row>
    <row r="503" spans="1:6">
      <c r="A503" t="s">
        <v>1589</v>
      </c>
      <c r="B503" s="13" t="s">
        <v>936</v>
      </c>
      <c r="C503" s="104">
        <v>1457348</v>
      </c>
      <c r="D503" s="96"/>
      <c r="E503" s="99">
        <f t="shared" si="11"/>
        <v>1457348</v>
      </c>
      <c r="F503" t="s">
        <v>1590</v>
      </c>
    </row>
    <row r="504" spans="1:6">
      <c r="A504" t="s">
        <v>1589</v>
      </c>
      <c r="B504" s="13" t="s">
        <v>935</v>
      </c>
      <c r="C504" s="104">
        <v>963862.7</v>
      </c>
      <c r="D504" s="96"/>
      <c r="E504" s="99">
        <f t="shared" si="11"/>
        <v>963862.7</v>
      </c>
      <c r="F504" t="s">
        <v>1590</v>
      </c>
    </row>
    <row r="505" spans="1:6">
      <c r="A505" t="s">
        <v>1589</v>
      </c>
      <c r="B505" s="13" t="s">
        <v>121</v>
      </c>
      <c r="C505" s="104">
        <v>4497589</v>
      </c>
      <c r="D505" s="96"/>
      <c r="E505" s="99">
        <f t="shared" si="11"/>
        <v>4497589</v>
      </c>
      <c r="F505" t="s">
        <v>1590</v>
      </c>
    </row>
    <row r="506" spans="1:6">
      <c r="A506" t="s">
        <v>1589</v>
      </c>
      <c r="B506" s="13" t="s">
        <v>934</v>
      </c>
      <c r="C506" s="104">
        <v>266872</v>
      </c>
      <c r="D506" s="96"/>
      <c r="E506" s="99">
        <f t="shared" si="11"/>
        <v>266872</v>
      </c>
      <c r="F506" t="s">
        <v>1590</v>
      </c>
    </row>
    <row r="507" spans="1:6">
      <c r="A507" t="s">
        <v>1589</v>
      </c>
      <c r="B507" s="16" t="s">
        <v>122</v>
      </c>
      <c r="C507" s="104">
        <v>7348468</v>
      </c>
      <c r="D507" s="96"/>
      <c r="E507" s="99">
        <f t="shared" si="11"/>
        <v>7348468</v>
      </c>
      <c r="F507" t="s">
        <v>1590</v>
      </c>
    </row>
    <row r="508" spans="1:6">
      <c r="A508" t="s">
        <v>1589</v>
      </c>
      <c r="B508" s="13" t="s">
        <v>933</v>
      </c>
      <c r="C508" s="104">
        <v>16909</v>
      </c>
      <c r="D508" s="96"/>
      <c r="E508" s="99">
        <f t="shared" si="11"/>
        <v>16909</v>
      </c>
      <c r="F508" t="s">
        <v>1590</v>
      </c>
    </row>
    <row r="509" spans="1:6">
      <c r="A509" t="s">
        <v>1589</v>
      </c>
      <c r="B509" s="13" t="s">
        <v>123</v>
      </c>
      <c r="C509" s="104">
        <v>12173068.74</v>
      </c>
      <c r="D509" s="96"/>
      <c r="E509" s="99">
        <f t="shared" si="11"/>
        <v>12173068.74</v>
      </c>
      <c r="F509" t="s">
        <v>1590</v>
      </c>
    </row>
    <row r="510" spans="1:6">
      <c r="A510" t="s">
        <v>1589</v>
      </c>
      <c r="B510" s="16" t="s">
        <v>932</v>
      </c>
      <c r="C510" s="104">
        <v>745292</v>
      </c>
      <c r="D510" s="96"/>
      <c r="E510" s="99">
        <f t="shared" si="11"/>
        <v>745292</v>
      </c>
      <c r="F510" t="s">
        <v>1590</v>
      </c>
    </row>
    <row r="511" spans="1:6">
      <c r="A511" t="s">
        <v>1589</v>
      </c>
      <c r="B511" s="13" t="s">
        <v>124</v>
      </c>
      <c r="C511" s="104">
        <v>3807414</v>
      </c>
      <c r="D511" s="96"/>
      <c r="E511" s="99">
        <f t="shared" si="11"/>
        <v>3807414</v>
      </c>
      <c r="F511" t="s">
        <v>1590</v>
      </c>
    </row>
    <row r="512" spans="1:6">
      <c r="A512" t="s">
        <v>1589</v>
      </c>
      <c r="B512" s="13" t="s">
        <v>931</v>
      </c>
      <c r="C512" s="104">
        <v>51007</v>
      </c>
      <c r="D512" s="96"/>
      <c r="E512" s="99">
        <f t="shared" si="11"/>
        <v>51007</v>
      </c>
      <c r="F512" t="s">
        <v>1590</v>
      </c>
    </row>
    <row r="513" spans="1:6">
      <c r="B513" s="1" t="s">
        <v>125</v>
      </c>
      <c r="C513" s="109"/>
      <c r="D513" s="105">
        <v>9059298</v>
      </c>
      <c r="E513" s="99"/>
    </row>
    <row r="514" spans="1:6">
      <c r="A514" t="s">
        <v>1553</v>
      </c>
      <c r="B514" s="13" t="s">
        <v>126</v>
      </c>
      <c r="C514" s="96"/>
      <c r="D514" s="104">
        <v>30000</v>
      </c>
      <c r="E514" s="99">
        <f>C514-D514</f>
        <v>-30000</v>
      </c>
    </row>
    <row r="515" spans="1:6">
      <c r="A515" t="s">
        <v>1553</v>
      </c>
      <c r="B515" s="13" t="s">
        <v>127</v>
      </c>
      <c r="C515" s="96"/>
      <c r="D515" s="104">
        <v>230500</v>
      </c>
      <c r="E515" s="99">
        <f>C515-D515</f>
        <v>-230500</v>
      </c>
    </row>
    <row r="516" spans="1:6">
      <c r="A516" t="s">
        <v>1553</v>
      </c>
      <c r="B516" s="13" t="s">
        <v>128</v>
      </c>
      <c r="C516" s="96"/>
      <c r="D516" s="104">
        <v>8678798</v>
      </c>
      <c r="E516" s="99">
        <f>C516-D516</f>
        <v>-8678798</v>
      </c>
    </row>
    <row r="517" spans="1:6">
      <c r="A517" t="s">
        <v>1553</v>
      </c>
      <c r="B517" s="13" t="s">
        <v>129</v>
      </c>
      <c r="C517" s="96"/>
      <c r="D517" s="104">
        <v>120000</v>
      </c>
      <c r="E517" s="99">
        <f>C517-D517</f>
        <v>-120000</v>
      </c>
    </row>
    <row r="518" spans="1:6">
      <c r="B518" s="1" t="s">
        <v>130</v>
      </c>
      <c r="C518" s="105">
        <v>1538971.45</v>
      </c>
      <c r="D518" s="109"/>
      <c r="E518" s="99"/>
    </row>
    <row r="519" spans="1:6">
      <c r="B519" s="13" t="s">
        <v>130</v>
      </c>
      <c r="C519" s="104">
        <v>1538971.45</v>
      </c>
      <c r="D519" s="96"/>
      <c r="E519" s="99">
        <f>C519-D519</f>
        <v>1538971.45</v>
      </c>
    </row>
    <row r="520" spans="1:6">
      <c r="B520" s="1" t="s">
        <v>131</v>
      </c>
      <c r="C520" s="105">
        <v>44819</v>
      </c>
      <c r="D520" s="105">
        <v>81752</v>
      </c>
      <c r="E520" s="99"/>
    </row>
    <row r="521" spans="1:6">
      <c r="A521" t="s">
        <v>1547</v>
      </c>
      <c r="B521" s="13" t="s">
        <v>1225</v>
      </c>
      <c r="C521" s="96"/>
      <c r="D521" s="104">
        <v>81752</v>
      </c>
      <c r="E521" s="99">
        <f>C521-D521</f>
        <v>-81752</v>
      </c>
      <c r="F521" t="s">
        <v>1557</v>
      </c>
    </row>
    <row r="522" spans="1:6">
      <c r="A522" t="s">
        <v>1547</v>
      </c>
      <c r="B522" s="13" t="s">
        <v>1536</v>
      </c>
      <c r="C522" s="104">
        <v>4127</v>
      </c>
      <c r="D522" s="96"/>
      <c r="E522" s="99">
        <f>C522-D522</f>
        <v>4127</v>
      </c>
      <c r="F522" t="s">
        <v>1557</v>
      </c>
    </row>
    <row r="523" spans="1:6">
      <c r="A523" t="s">
        <v>1547</v>
      </c>
      <c r="B523" s="13" t="s">
        <v>1224</v>
      </c>
      <c r="C523" s="104">
        <v>40692</v>
      </c>
      <c r="D523" s="96"/>
      <c r="E523" s="99">
        <f>C523-D523</f>
        <v>40692</v>
      </c>
      <c r="F523" t="s">
        <v>1557</v>
      </c>
    </row>
    <row r="524" spans="1:6">
      <c r="B524" s="1" t="s">
        <v>132</v>
      </c>
      <c r="C524" s="105">
        <v>32034139</v>
      </c>
      <c r="D524" s="109"/>
      <c r="E524" s="99"/>
    </row>
    <row r="525" spans="1:6">
      <c r="A525" t="s">
        <v>1568</v>
      </c>
      <c r="B525" s="13" t="s">
        <v>133</v>
      </c>
      <c r="C525" s="104">
        <v>32034139</v>
      </c>
      <c r="D525" s="96"/>
      <c r="E525" s="99">
        <f>C525-D525</f>
        <v>32034139</v>
      </c>
      <c r="F525" t="s">
        <v>1570</v>
      </c>
    </row>
    <row r="526" spans="1:6">
      <c r="B526" s="1" t="s">
        <v>134</v>
      </c>
      <c r="C526" s="105">
        <v>117150</v>
      </c>
      <c r="D526" s="109"/>
      <c r="E526" s="99"/>
    </row>
    <row r="527" spans="1:6">
      <c r="A527" t="s">
        <v>1555</v>
      </c>
      <c r="B527" s="13" t="s">
        <v>135</v>
      </c>
      <c r="C527" s="104">
        <v>116150</v>
      </c>
      <c r="D527" s="96"/>
      <c r="E527" s="99">
        <f>C527-D527</f>
        <v>116150</v>
      </c>
      <c r="F527" t="s">
        <v>1556</v>
      </c>
    </row>
    <row r="528" spans="1:6">
      <c r="A528" t="s">
        <v>1555</v>
      </c>
      <c r="B528" s="13" t="s">
        <v>136</v>
      </c>
      <c r="C528" s="104">
        <v>1000</v>
      </c>
      <c r="D528" s="96"/>
      <c r="E528" s="99">
        <f>C528-D528</f>
        <v>1000</v>
      </c>
      <c r="F528" t="s">
        <v>1556</v>
      </c>
    </row>
    <row r="529" spans="1:6">
      <c r="B529" s="1" t="s">
        <v>137</v>
      </c>
      <c r="C529" s="105">
        <v>69200082.780000001</v>
      </c>
      <c r="D529" s="105">
        <v>2507165.65</v>
      </c>
      <c r="E529" s="99"/>
    </row>
    <row r="530" spans="1:6">
      <c r="B530" s="118" t="s">
        <v>29</v>
      </c>
      <c r="C530" s="103">
        <v>51503785.380000003</v>
      </c>
      <c r="D530" s="111"/>
      <c r="E530" s="99"/>
    </row>
    <row r="531" spans="1:6">
      <c r="A531" t="s">
        <v>1558</v>
      </c>
      <c r="B531" s="15" t="s">
        <v>894</v>
      </c>
      <c r="C531" s="112">
        <v>23000</v>
      </c>
      <c r="D531" s="95"/>
      <c r="E531" s="99">
        <f t="shared" ref="E531:E548" si="12">C531-D531</f>
        <v>23000</v>
      </c>
      <c r="F531" t="s">
        <v>1559</v>
      </c>
    </row>
    <row r="532" spans="1:6">
      <c r="A532" t="s">
        <v>1558</v>
      </c>
      <c r="B532" s="15" t="s">
        <v>895</v>
      </c>
      <c r="C532" s="112">
        <v>6258</v>
      </c>
      <c r="D532" s="95"/>
      <c r="E532" s="99">
        <f t="shared" si="12"/>
        <v>6258</v>
      </c>
      <c r="F532" t="s">
        <v>1559</v>
      </c>
    </row>
    <row r="533" spans="1:6">
      <c r="A533" t="s">
        <v>1558</v>
      </c>
      <c r="B533" s="15" t="s">
        <v>896</v>
      </c>
      <c r="C533" s="112">
        <v>2852</v>
      </c>
      <c r="D533" s="95"/>
      <c r="E533" s="99">
        <f t="shared" si="12"/>
        <v>2852</v>
      </c>
      <c r="F533" t="s">
        <v>1559</v>
      </c>
    </row>
    <row r="534" spans="1:6">
      <c r="A534" t="s">
        <v>1558</v>
      </c>
      <c r="B534" s="15" t="s">
        <v>897</v>
      </c>
      <c r="C534" s="112">
        <v>3792</v>
      </c>
      <c r="D534" s="95"/>
      <c r="E534" s="99">
        <f t="shared" si="12"/>
        <v>3792</v>
      </c>
      <c r="F534" t="s">
        <v>1559</v>
      </c>
    </row>
    <row r="535" spans="1:6">
      <c r="A535" t="s">
        <v>1558</v>
      </c>
      <c r="B535" s="15" t="s">
        <v>898</v>
      </c>
      <c r="C535" s="112">
        <v>13000</v>
      </c>
      <c r="D535" s="95"/>
      <c r="E535" s="99">
        <f t="shared" si="12"/>
        <v>13000</v>
      </c>
      <c r="F535" t="s">
        <v>1559</v>
      </c>
    </row>
    <row r="536" spans="1:6">
      <c r="A536" t="s">
        <v>1558</v>
      </c>
      <c r="B536" s="15" t="s">
        <v>899</v>
      </c>
      <c r="C536" s="112">
        <v>35000</v>
      </c>
      <c r="D536" s="95"/>
      <c r="E536" s="99">
        <f t="shared" si="12"/>
        <v>35000</v>
      </c>
      <c r="F536" t="s">
        <v>1559</v>
      </c>
    </row>
    <row r="537" spans="1:6">
      <c r="A537" t="s">
        <v>1558</v>
      </c>
      <c r="B537" s="15" t="s">
        <v>900</v>
      </c>
      <c r="C537" s="112">
        <v>10000</v>
      </c>
      <c r="D537" s="95"/>
      <c r="E537" s="99">
        <f t="shared" si="12"/>
        <v>10000</v>
      </c>
      <c r="F537" t="s">
        <v>1559</v>
      </c>
    </row>
    <row r="538" spans="1:6">
      <c r="A538" t="s">
        <v>1558</v>
      </c>
      <c r="B538" s="17" t="s">
        <v>901</v>
      </c>
      <c r="C538" s="112">
        <v>130161</v>
      </c>
      <c r="D538" s="95"/>
      <c r="E538" s="99">
        <f t="shared" si="12"/>
        <v>130161</v>
      </c>
      <c r="F538" t="s">
        <v>1559</v>
      </c>
    </row>
    <row r="539" spans="1:6">
      <c r="A539" t="s">
        <v>1558</v>
      </c>
      <c r="B539" s="17" t="s">
        <v>902</v>
      </c>
      <c r="C539" s="112">
        <v>48314.43</v>
      </c>
      <c r="D539" s="95"/>
      <c r="E539" s="99">
        <f t="shared" si="12"/>
        <v>48314.43</v>
      </c>
      <c r="F539" t="s">
        <v>1559</v>
      </c>
    </row>
    <row r="540" spans="1:6">
      <c r="A540" t="s">
        <v>1558</v>
      </c>
      <c r="B540" s="15" t="s">
        <v>903</v>
      </c>
      <c r="C540" s="112">
        <v>56000</v>
      </c>
      <c r="D540" s="95"/>
      <c r="E540" s="99">
        <f t="shared" si="12"/>
        <v>56000</v>
      </c>
      <c r="F540" t="s">
        <v>1559</v>
      </c>
    </row>
    <row r="541" spans="1:6">
      <c r="A541" t="s">
        <v>1558</v>
      </c>
      <c r="B541" s="17" t="s">
        <v>904</v>
      </c>
      <c r="C541" s="112">
        <v>4781.92</v>
      </c>
      <c r="D541" s="95"/>
      <c r="E541" s="99">
        <f t="shared" si="12"/>
        <v>4781.92</v>
      </c>
      <c r="F541" t="s">
        <v>1559</v>
      </c>
    </row>
    <row r="542" spans="1:6">
      <c r="A542" t="s">
        <v>1558</v>
      </c>
      <c r="B542" s="17" t="s">
        <v>905</v>
      </c>
      <c r="C542" s="112">
        <v>20556</v>
      </c>
      <c r="D542" s="95"/>
      <c r="E542" s="99">
        <f t="shared" si="12"/>
        <v>20556</v>
      </c>
      <c r="F542" t="s">
        <v>1559</v>
      </c>
    </row>
    <row r="543" spans="1:6">
      <c r="A543" t="s">
        <v>1558</v>
      </c>
      <c r="B543" s="13" t="s">
        <v>906</v>
      </c>
      <c r="C543" s="112">
        <v>50667510.140000001</v>
      </c>
      <c r="D543" s="95"/>
      <c r="E543" s="99">
        <f t="shared" si="12"/>
        <v>50667510.140000001</v>
      </c>
      <c r="F543" t="s">
        <v>1559</v>
      </c>
    </row>
    <row r="544" spans="1:6">
      <c r="A544" t="s">
        <v>1558</v>
      </c>
      <c r="B544" s="15" t="s">
        <v>907</v>
      </c>
      <c r="C544" s="112">
        <v>149259.89000000001</v>
      </c>
      <c r="D544" s="95"/>
      <c r="E544" s="99">
        <f t="shared" si="12"/>
        <v>149259.89000000001</v>
      </c>
      <c r="F544" t="s">
        <v>1559</v>
      </c>
    </row>
    <row r="545" spans="1:8">
      <c r="A545" t="s">
        <v>1558</v>
      </c>
      <c r="B545" s="17" t="s">
        <v>908</v>
      </c>
      <c r="C545" s="112">
        <v>4000</v>
      </c>
      <c r="D545" s="95"/>
      <c r="E545" s="99">
        <f t="shared" si="12"/>
        <v>4000</v>
      </c>
      <c r="F545" t="s">
        <v>1559</v>
      </c>
    </row>
    <row r="546" spans="1:8">
      <c r="A546" t="s">
        <v>1558</v>
      </c>
      <c r="B546" s="15" t="s">
        <v>909</v>
      </c>
      <c r="C546" s="112">
        <v>176124</v>
      </c>
      <c r="D546" s="95"/>
      <c r="E546" s="99">
        <f t="shared" si="12"/>
        <v>176124</v>
      </c>
      <c r="F546" t="s">
        <v>1559</v>
      </c>
    </row>
    <row r="547" spans="1:8">
      <c r="A547" t="s">
        <v>1558</v>
      </c>
      <c r="B547" s="15" t="s">
        <v>910</v>
      </c>
      <c r="C547" s="112">
        <v>145476</v>
      </c>
      <c r="D547" s="95"/>
      <c r="E547" s="99">
        <f t="shared" si="12"/>
        <v>145476</v>
      </c>
      <c r="F547" t="s">
        <v>1559</v>
      </c>
    </row>
    <row r="548" spans="1:8">
      <c r="A548" t="s">
        <v>1558</v>
      </c>
      <c r="B548" s="17" t="s">
        <v>911</v>
      </c>
      <c r="C548" s="112">
        <v>7700</v>
      </c>
      <c r="D548" s="95"/>
      <c r="E548" s="99">
        <f t="shared" si="12"/>
        <v>7700</v>
      </c>
      <c r="F548" t="s">
        <v>1559</v>
      </c>
    </row>
    <row r="549" spans="1:8">
      <c r="B549" s="118" t="s">
        <v>138</v>
      </c>
      <c r="C549" s="105">
        <v>7978681.4000000004</v>
      </c>
      <c r="D549" s="114"/>
      <c r="E549" s="99"/>
    </row>
    <row r="550" spans="1:8">
      <c r="A550" t="s">
        <v>1577</v>
      </c>
      <c r="B550" s="13" t="s">
        <v>921</v>
      </c>
      <c r="C550" s="112">
        <v>7978681.4000000004</v>
      </c>
      <c r="D550" s="95"/>
      <c r="E550" s="99">
        <f t="shared" ref="E550:E563" si="13">C550-D550</f>
        <v>7978681.4000000004</v>
      </c>
      <c r="F550" t="s">
        <v>1578</v>
      </c>
    </row>
    <row r="551" spans="1:8">
      <c r="A551" t="s">
        <v>1579</v>
      </c>
      <c r="B551" s="13" t="s">
        <v>139</v>
      </c>
      <c r="C551" s="104">
        <v>6779975</v>
      </c>
      <c r="D551" s="96"/>
      <c r="E551" s="99">
        <f t="shared" si="13"/>
        <v>6779975</v>
      </c>
      <c r="F551" t="s">
        <v>1580</v>
      </c>
      <c r="G551" s="98"/>
      <c r="H551" s="100"/>
    </row>
    <row r="552" spans="1:8">
      <c r="A552" t="s">
        <v>1558</v>
      </c>
      <c r="B552" s="13" t="s">
        <v>140</v>
      </c>
      <c r="C552" s="104">
        <v>40000</v>
      </c>
      <c r="D552" s="96"/>
      <c r="E552" s="99">
        <f t="shared" si="13"/>
        <v>40000</v>
      </c>
      <c r="F552" t="s">
        <v>1559</v>
      </c>
      <c r="H552" s="100"/>
    </row>
    <row r="553" spans="1:8">
      <c r="A553" t="s">
        <v>1558</v>
      </c>
      <c r="B553" s="13" t="s">
        <v>923</v>
      </c>
      <c r="C553" s="104">
        <v>48000</v>
      </c>
      <c r="D553" s="96"/>
      <c r="E553" s="99">
        <f t="shared" si="13"/>
        <v>48000</v>
      </c>
      <c r="F553" t="s">
        <v>1559</v>
      </c>
    </row>
    <row r="554" spans="1:8">
      <c r="A554" t="s">
        <v>1558</v>
      </c>
      <c r="B554" s="13" t="s">
        <v>142</v>
      </c>
      <c r="C554" s="104">
        <v>9530</v>
      </c>
      <c r="D554" s="96"/>
      <c r="E554" s="99">
        <f t="shared" si="13"/>
        <v>9530</v>
      </c>
      <c r="F554" t="s">
        <v>1559</v>
      </c>
    </row>
    <row r="555" spans="1:8">
      <c r="A555" t="s">
        <v>1558</v>
      </c>
      <c r="B555" s="13" t="s">
        <v>143</v>
      </c>
      <c r="C555" s="104">
        <v>497780</v>
      </c>
      <c r="D555" s="96"/>
      <c r="E555" s="99">
        <f t="shared" si="13"/>
        <v>497780</v>
      </c>
      <c r="F555" t="s">
        <v>1559</v>
      </c>
    </row>
    <row r="556" spans="1:8">
      <c r="A556" t="s">
        <v>1558</v>
      </c>
      <c r="B556" s="13" t="s">
        <v>144</v>
      </c>
      <c r="C556" s="104">
        <v>5500</v>
      </c>
      <c r="D556" s="96"/>
      <c r="E556" s="99">
        <f t="shared" si="13"/>
        <v>5500</v>
      </c>
      <c r="F556" t="s">
        <v>1559</v>
      </c>
    </row>
    <row r="557" spans="1:8">
      <c r="A557" t="s">
        <v>1558</v>
      </c>
      <c r="B557" s="13" t="s">
        <v>145</v>
      </c>
      <c r="C557" s="104">
        <v>316713</v>
      </c>
      <c r="D557" s="96"/>
      <c r="E557" s="99">
        <f t="shared" si="13"/>
        <v>316713</v>
      </c>
      <c r="F557" t="s">
        <v>1559</v>
      </c>
    </row>
    <row r="558" spans="1:8">
      <c r="A558" t="s">
        <v>1558</v>
      </c>
      <c r="B558" s="13" t="s">
        <v>146</v>
      </c>
      <c r="C558" s="104">
        <v>13150</v>
      </c>
      <c r="D558" s="96"/>
      <c r="E558" s="99">
        <f t="shared" si="13"/>
        <v>13150</v>
      </c>
      <c r="F558" t="s">
        <v>1559</v>
      </c>
    </row>
    <row r="559" spans="1:8">
      <c r="A559" t="s">
        <v>1558</v>
      </c>
      <c r="B559" s="13" t="s">
        <v>147</v>
      </c>
      <c r="C559" s="104">
        <v>577187</v>
      </c>
      <c r="D559" s="96"/>
      <c r="E559" s="99">
        <f t="shared" si="13"/>
        <v>577187</v>
      </c>
      <c r="F559" t="s">
        <v>1559</v>
      </c>
    </row>
    <row r="560" spans="1:8">
      <c r="A560" t="s">
        <v>1549</v>
      </c>
      <c r="B560" s="13" t="s">
        <v>148</v>
      </c>
      <c r="C560" s="96"/>
      <c r="D560" s="104">
        <v>2507165.65</v>
      </c>
      <c r="E560" s="99">
        <f t="shared" si="13"/>
        <v>-2507165.65</v>
      </c>
    </row>
    <row r="561" spans="1:7">
      <c r="A561" t="s">
        <v>1571</v>
      </c>
      <c r="B561" s="13" t="s">
        <v>149</v>
      </c>
      <c r="C561" s="104">
        <v>79555</v>
      </c>
      <c r="D561" s="96"/>
      <c r="E561" s="99">
        <f t="shared" si="13"/>
        <v>79555</v>
      </c>
      <c r="F561" t="s">
        <v>1572</v>
      </c>
    </row>
    <row r="562" spans="1:7">
      <c r="A562" t="s">
        <v>1558</v>
      </c>
      <c r="B562" s="13" t="s">
        <v>150</v>
      </c>
      <c r="C562" s="104">
        <v>28582</v>
      </c>
      <c r="D562" s="96"/>
      <c r="E562" s="99">
        <f t="shared" si="13"/>
        <v>28582</v>
      </c>
      <c r="F562" t="s">
        <v>1559</v>
      </c>
    </row>
    <row r="563" spans="1:7">
      <c r="A563" t="s">
        <v>1558</v>
      </c>
      <c r="B563" s="13" t="s">
        <v>141</v>
      </c>
      <c r="C563" s="104">
        <v>1346644</v>
      </c>
      <c r="D563" s="96"/>
      <c r="E563" s="99">
        <f t="shared" si="13"/>
        <v>1346644</v>
      </c>
      <c r="F563" t="s">
        <v>1559</v>
      </c>
    </row>
    <row r="564" spans="1:7">
      <c r="B564" s="1" t="s">
        <v>151</v>
      </c>
      <c r="C564" s="105">
        <v>92237214</v>
      </c>
      <c r="D564" s="105">
        <v>261806395.06</v>
      </c>
      <c r="E564" s="99"/>
    </row>
    <row r="565" spans="1:7">
      <c r="B565" s="13" t="s">
        <v>152</v>
      </c>
      <c r="C565" s="104">
        <v>78622060</v>
      </c>
      <c r="D565" s="96"/>
      <c r="E565" s="99">
        <f>C565-D565</f>
        <v>78622060</v>
      </c>
    </row>
    <row r="566" spans="1:7">
      <c r="B566" s="13" t="s">
        <v>153</v>
      </c>
      <c r="C566" s="104">
        <v>13615154</v>
      </c>
      <c r="D566" s="96"/>
      <c r="E566" s="99">
        <f>C566-D566</f>
        <v>13615154</v>
      </c>
      <c r="F566">
        <f>1455054/C566*100</f>
        <v>10.68701830328177</v>
      </c>
      <c r="G566" s="100">
        <f>C566+1455054</f>
        <v>15070208</v>
      </c>
    </row>
    <row r="567" spans="1:7">
      <c r="B567" s="13" t="s">
        <v>154</v>
      </c>
      <c r="C567" s="96"/>
      <c r="D567" s="104">
        <v>41572631.420000002</v>
      </c>
      <c r="E567" s="99">
        <f>C567-D567</f>
        <v>-41572631.420000002</v>
      </c>
    </row>
    <row r="568" spans="1:7">
      <c r="B568" s="13" t="s">
        <v>155</v>
      </c>
      <c r="C568" s="96"/>
      <c r="D568" s="104">
        <v>220233763.63999999</v>
      </c>
      <c r="E568" s="99">
        <f>C568-D568</f>
        <v>-220233763.63999999</v>
      </c>
    </row>
    <row r="569" spans="1:7">
      <c r="B569" s="1" t="s">
        <v>156</v>
      </c>
      <c r="C569" s="109"/>
      <c r="D569" s="105">
        <v>150000</v>
      </c>
      <c r="E569" s="99"/>
    </row>
    <row r="570" spans="1:7">
      <c r="B570" s="118" t="s">
        <v>157</v>
      </c>
      <c r="C570" s="102"/>
      <c r="D570" s="103">
        <v>150000</v>
      </c>
      <c r="E570" s="99"/>
    </row>
    <row r="571" spans="1:7">
      <c r="A571" t="s">
        <v>1545</v>
      </c>
      <c r="B571" s="15" t="s">
        <v>1537</v>
      </c>
      <c r="C571" s="95"/>
      <c r="D571" s="112">
        <v>150000</v>
      </c>
      <c r="E571" s="99">
        <f>C571-D571</f>
        <v>-150000</v>
      </c>
    </row>
    <row r="572" spans="1:7">
      <c r="B572" s="1" t="s">
        <v>158</v>
      </c>
      <c r="C572" s="105">
        <v>24621000</v>
      </c>
      <c r="D572" s="109"/>
      <c r="E572" s="99"/>
    </row>
    <row r="573" spans="1:7">
      <c r="B573" s="16" t="s">
        <v>158</v>
      </c>
      <c r="C573" s="104">
        <v>24621000</v>
      </c>
      <c r="D573" s="96"/>
      <c r="E573" s="99">
        <f>C573-D573</f>
        <v>24621000</v>
      </c>
    </row>
    <row r="574" spans="1:7">
      <c r="B574" s="1" t="s">
        <v>159</v>
      </c>
      <c r="C574" s="115"/>
      <c r="D574" s="115"/>
      <c r="E574" s="99"/>
    </row>
    <row r="575" spans="1:7">
      <c r="B575" s="1" t="s">
        <v>160</v>
      </c>
      <c r="C575" s="105">
        <v>120966222</v>
      </c>
      <c r="D575" s="109"/>
      <c r="E575" s="99"/>
    </row>
    <row r="576" spans="1:7">
      <c r="B576" s="118" t="s">
        <v>161</v>
      </c>
      <c r="C576" s="103">
        <v>86367645</v>
      </c>
      <c r="D576" s="111"/>
      <c r="E576" s="99"/>
    </row>
    <row r="577" spans="1:6">
      <c r="A577" t="s">
        <v>161</v>
      </c>
      <c r="B577" s="17" t="s">
        <v>892</v>
      </c>
      <c r="C577" s="112">
        <v>281268</v>
      </c>
      <c r="D577" s="95"/>
      <c r="E577" s="99">
        <f t="shared" ref="E577:E623" si="14">C577-D577</f>
        <v>281268</v>
      </c>
      <c r="F577" t="s">
        <v>1591</v>
      </c>
    </row>
    <row r="578" spans="1:6">
      <c r="A578" t="s">
        <v>161</v>
      </c>
      <c r="B578" s="17" t="s">
        <v>1538</v>
      </c>
      <c r="C578" s="112">
        <v>20495</v>
      </c>
      <c r="D578" s="95"/>
      <c r="E578" s="99">
        <f t="shared" si="14"/>
        <v>20495</v>
      </c>
      <c r="F578" t="s">
        <v>1591</v>
      </c>
    </row>
    <row r="579" spans="1:6">
      <c r="A579" t="s">
        <v>161</v>
      </c>
      <c r="B579" s="17" t="s">
        <v>163</v>
      </c>
      <c r="C579" s="112">
        <v>7500</v>
      </c>
      <c r="D579" s="95"/>
      <c r="E579" s="99">
        <f t="shared" si="14"/>
        <v>7500</v>
      </c>
      <c r="F579" t="s">
        <v>1591</v>
      </c>
    </row>
    <row r="580" spans="1:6">
      <c r="A580" t="s">
        <v>161</v>
      </c>
      <c r="B580" s="17" t="s">
        <v>164</v>
      </c>
      <c r="C580" s="112">
        <v>69800</v>
      </c>
      <c r="D580" s="95"/>
      <c r="E580" s="99">
        <f t="shared" si="14"/>
        <v>69800</v>
      </c>
      <c r="F580" t="s">
        <v>1591</v>
      </c>
    </row>
    <row r="581" spans="1:6">
      <c r="A581" t="s">
        <v>161</v>
      </c>
      <c r="B581" s="17" t="s">
        <v>1098</v>
      </c>
      <c r="C581" s="112">
        <v>455923</v>
      </c>
      <c r="D581" s="95"/>
      <c r="E581" s="99">
        <f t="shared" si="14"/>
        <v>455923</v>
      </c>
      <c r="F581" t="s">
        <v>1591</v>
      </c>
    </row>
    <row r="582" spans="1:6">
      <c r="A582" t="s">
        <v>161</v>
      </c>
      <c r="B582" s="15" t="s">
        <v>167</v>
      </c>
      <c r="C582" s="112">
        <v>543656</v>
      </c>
      <c r="D582" s="95"/>
      <c r="E582" s="99">
        <f t="shared" si="14"/>
        <v>543656</v>
      </c>
      <c r="F582" t="s">
        <v>1591</v>
      </c>
    </row>
    <row r="583" spans="1:6">
      <c r="A583" t="s">
        <v>161</v>
      </c>
      <c r="B583" s="15" t="s">
        <v>168</v>
      </c>
      <c r="C583" s="112">
        <v>800</v>
      </c>
      <c r="D583" s="95"/>
      <c r="E583" s="99">
        <f t="shared" si="14"/>
        <v>800</v>
      </c>
      <c r="F583" t="s">
        <v>1591</v>
      </c>
    </row>
    <row r="584" spans="1:6">
      <c r="A584" t="s">
        <v>161</v>
      </c>
      <c r="B584" s="15" t="s">
        <v>1315</v>
      </c>
      <c r="C584" s="112">
        <v>25900</v>
      </c>
      <c r="D584" s="95"/>
      <c r="E584" s="99">
        <f t="shared" si="14"/>
        <v>25900</v>
      </c>
      <c r="F584" t="s">
        <v>1591</v>
      </c>
    </row>
    <row r="585" spans="1:6">
      <c r="A585" t="s">
        <v>161</v>
      </c>
      <c r="B585" s="15" t="s">
        <v>169</v>
      </c>
      <c r="C585" s="112">
        <v>10604610</v>
      </c>
      <c r="D585" s="95"/>
      <c r="E585" s="99">
        <f t="shared" si="14"/>
        <v>10604610</v>
      </c>
      <c r="F585" t="s">
        <v>1591</v>
      </c>
    </row>
    <row r="586" spans="1:6">
      <c r="A586" t="s">
        <v>161</v>
      </c>
      <c r="B586" s="15" t="s">
        <v>205</v>
      </c>
      <c r="C586" s="112">
        <v>1236626</v>
      </c>
      <c r="D586" s="95"/>
      <c r="E586" s="99">
        <f t="shared" si="14"/>
        <v>1236626</v>
      </c>
      <c r="F586" t="s">
        <v>1591</v>
      </c>
    </row>
    <row r="587" spans="1:6">
      <c r="A587" t="s">
        <v>161</v>
      </c>
      <c r="B587" s="15" t="s">
        <v>170</v>
      </c>
      <c r="C587" s="112">
        <v>9068249</v>
      </c>
      <c r="D587" s="95"/>
      <c r="E587" s="99">
        <f t="shared" si="14"/>
        <v>9068249</v>
      </c>
      <c r="F587" t="s">
        <v>1591</v>
      </c>
    </row>
    <row r="588" spans="1:6">
      <c r="A588" t="s">
        <v>161</v>
      </c>
      <c r="B588" s="15" t="s">
        <v>1316</v>
      </c>
      <c r="C588" s="112">
        <v>22800</v>
      </c>
      <c r="D588" s="95"/>
      <c r="E588" s="99">
        <f t="shared" si="14"/>
        <v>22800</v>
      </c>
      <c r="F588" t="s">
        <v>1591</v>
      </c>
    </row>
    <row r="589" spans="1:6">
      <c r="A589" t="s">
        <v>161</v>
      </c>
      <c r="B589" s="17" t="s">
        <v>1099</v>
      </c>
      <c r="C589" s="112">
        <v>4659099</v>
      </c>
      <c r="D589" s="95"/>
      <c r="E589" s="99">
        <f t="shared" si="14"/>
        <v>4659099</v>
      </c>
      <c r="F589" t="s">
        <v>1591</v>
      </c>
    </row>
    <row r="590" spans="1:6">
      <c r="A590" t="s">
        <v>161</v>
      </c>
      <c r="B590" s="15" t="s">
        <v>173</v>
      </c>
      <c r="C590" s="112">
        <v>2642270</v>
      </c>
      <c r="D590" s="95"/>
      <c r="E590" s="99">
        <f t="shared" si="14"/>
        <v>2642270</v>
      </c>
      <c r="F590" t="s">
        <v>1591</v>
      </c>
    </row>
    <row r="591" spans="1:6">
      <c r="A591" t="s">
        <v>161</v>
      </c>
      <c r="B591" s="15" t="s">
        <v>174</v>
      </c>
      <c r="C591" s="112">
        <v>18107383</v>
      </c>
      <c r="D591" s="95"/>
      <c r="E591" s="99">
        <f t="shared" si="14"/>
        <v>18107383</v>
      </c>
      <c r="F591" t="s">
        <v>1591</v>
      </c>
    </row>
    <row r="592" spans="1:6">
      <c r="A592" t="s">
        <v>161</v>
      </c>
      <c r="B592" s="17" t="s">
        <v>1100</v>
      </c>
      <c r="C592" s="112">
        <v>758450</v>
      </c>
      <c r="D592" s="95"/>
      <c r="E592" s="99">
        <f t="shared" si="14"/>
        <v>758450</v>
      </c>
      <c r="F592" t="s">
        <v>1591</v>
      </c>
    </row>
    <row r="593" spans="1:6">
      <c r="A593" t="s">
        <v>161</v>
      </c>
      <c r="B593" s="17" t="s">
        <v>1101</v>
      </c>
      <c r="C593" s="112">
        <v>783248</v>
      </c>
      <c r="D593" s="95"/>
      <c r="E593" s="99">
        <f t="shared" si="14"/>
        <v>783248</v>
      </c>
      <c r="F593" t="s">
        <v>1591</v>
      </c>
    </row>
    <row r="594" spans="1:6">
      <c r="A594" t="s">
        <v>161</v>
      </c>
      <c r="B594" s="17" t="s">
        <v>1102</v>
      </c>
      <c r="C594" s="112">
        <v>1975254</v>
      </c>
      <c r="D594" s="95"/>
      <c r="E594" s="99">
        <f t="shared" si="14"/>
        <v>1975254</v>
      </c>
      <c r="F594" t="s">
        <v>1591</v>
      </c>
    </row>
    <row r="595" spans="1:6">
      <c r="A595" t="s">
        <v>161</v>
      </c>
      <c r="B595" s="15" t="s">
        <v>175</v>
      </c>
      <c r="C595" s="112">
        <v>6218270</v>
      </c>
      <c r="D595" s="95"/>
      <c r="E595" s="99">
        <f t="shared" si="14"/>
        <v>6218270</v>
      </c>
      <c r="F595" t="s">
        <v>1591</v>
      </c>
    </row>
    <row r="596" spans="1:6">
      <c r="A596" t="s">
        <v>161</v>
      </c>
      <c r="B596" s="17" t="s">
        <v>1103</v>
      </c>
      <c r="C596" s="112">
        <v>20540466</v>
      </c>
      <c r="D596" s="95"/>
      <c r="E596" s="99">
        <f t="shared" si="14"/>
        <v>20540466</v>
      </c>
      <c r="F596" t="s">
        <v>1591</v>
      </c>
    </row>
    <row r="597" spans="1:6">
      <c r="A597" t="s">
        <v>161</v>
      </c>
      <c r="B597" s="17" t="s">
        <v>176</v>
      </c>
      <c r="C597" s="112">
        <v>2596569</v>
      </c>
      <c r="D597" s="95"/>
      <c r="E597" s="99">
        <f t="shared" si="14"/>
        <v>2596569</v>
      </c>
      <c r="F597" t="s">
        <v>1591</v>
      </c>
    </row>
    <row r="598" spans="1:6">
      <c r="A598" t="s">
        <v>161</v>
      </c>
      <c r="B598" s="17" t="s">
        <v>177</v>
      </c>
      <c r="C598" s="112">
        <v>3494459</v>
      </c>
      <c r="D598" s="95"/>
      <c r="E598" s="99">
        <f t="shared" si="14"/>
        <v>3494459</v>
      </c>
      <c r="F598" t="s">
        <v>1591</v>
      </c>
    </row>
    <row r="599" spans="1:6">
      <c r="A599" t="s">
        <v>161</v>
      </c>
      <c r="B599" s="17" t="s">
        <v>1104</v>
      </c>
      <c r="C599" s="112">
        <v>2178195</v>
      </c>
      <c r="D599" s="95"/>
      <c r="E599" s="99">
        <f t="shared" si="14"/>
        <v>2178195</v>
      </c>
      <c r="F599" t="s">
        <v>1591</v>
      </c>
    </row>
    <row r="600" spans="1:6">
      <c r="A600" t="s">
        <v>161</v>
      </c>
      <c r="B600" s="17" t="s">
        <v>165</v>
      </c>
      <c r="C600" s="112">
        <v>76355</v>
      </c>
      <c r="D600" s="95"/>
      <c r="E600" s="99">
        <f t="shared" si="14"/>
        <v>76355</v>
      </c>
      <c r="F600" t="s">
        <v>1591</v>
      </c>
    </row>
    <row r="601" spans="1:6">
      <c r="B601" s="118" t="s">
        <v>178</v>
      </c>
      <c r="C601" s="105">
        <v>34539167</v>
      </c>
      <c r="D601" s="114"/>
      <c r="E601" s="99"/>
    </row>
    <row r="602" spans="1:6">
      <c r="A602" t="s">
        <v>1592</v>
      </c>
      <c r="B602" s="13" t="s">
        <v>179</v>
      </c>
      <c r="C602" s="112">
        <v>166500</v>
      </c>
      <c r="D602" s="95"/>
      <c r="E602" s="99">
        <f t="shared" si="14"/>
        <v>166500</v>
      </c>
      <c r="F602" t="s">
        <v>1593</v>
      </c>
    </row>
    <row r="603" spans="1:6">
      <c r="A603" t="s">
        <v>1592</v>
      </c>
      <c r="B603" s="15" t="s">
        <v>180</v>
      </c>
      <c r="C603" s="112">
        <v>2159810</v>
      </c>
      <c r="D603" s="95"/>
      <c r="E603" s="99">
        <f t="shared" si="14"/>
        <v>2159810</v>
      </c>
      <c r="F603" t="s">
        <v>1593</v>
      </c>
    </row>
    <row r="604" spans="1:6">
      <c r="A604" t="s">
        <v>1592</v>
      </c>
      <c r="B604" s="17" t="s">
        <v>181</v>
      </c>
      <c r="C604" s="112">
        <v>8293695</v>
      </c>
      <c r="D604" s="95"/>
      <c r="E604" s="99">
        <f t="shared" si="14"/>
        <v>8293695</v>
      </c>
      <c r="F604" t="s">
        <v>1593</v>
      </c>
    </row>
    <row r="605" spans="1:6">
      <c r="A605" t="s">
        <v>1592</v>
      </c>
      <c r="B605" s="15" t="s">
        <v>188</v>
      </c>
      <c r="C605" s="112">
        <v>34361</v>
      </c>
      <c r="D605" s="95"/>
      <c r="E605" s="99">
        <f t="shared" si="14"/>
        <v>34361</v>
      </c>
      <c r="F605" t="s">
        <v>1593</v>
      </c>
    </row>
    <row r="606" spans="1:6">
      <c r="A606" t="s">
        <v>1592</v>
      </c>
      <c r="B606" s="15" t="s">
        <v>1306</v>
      </c>
      <c r="C606" s="112">
        <v>2160</v>
      </c>
      <c r="D606" s="95"/>
      <c r="E606" s="99">
        <f t="shared" si="14"/>
        <v>2160</v>
      </c>
      <c r="F606" t="s">
        <v>1593</v>
      </c>
    </row>
    <row r="607" spans="1:6">
      <c r="A607" t="s">
        <v>1592</v>
      </c>
      <c r="B607" s="15" t="s">
        <v>183</v>
      </c>
      <c r="C607" s="112">
        <v>11000</v>
      </c>
      <c r="D607" s="95"/>
      <c r="E607" s="99">
        <f t="shared" si="14"/>
        <v>11000</v>
      </c>
      <c r="F607" t="s">
        <v>1593</v>
      </c>
    </row>
    <row r="608" spans="1:6">
      <c r="A608" t="s">
        <v>1592</v>
      </c>
      <c r="B608" s="17" t="s">
        <v>184</v>
      </c>
      <c r="C608" s="112">
        <v>2154820</v>
      </c>
      <c r="D608" s="95"/>
      <c r="E608" s="99">
        <f t="shared" si="14"/>
        <v>2154820</v>
      </c>
      <c r="F608" t="s">
        <v>1593</v>
      </c>
    </row>
    <row r="609" spans="1:6">
      <c r="A609" t="s">
        <v>1592</v>
      </c>
      <c r="B609" s="15" t="s">
        <v>185</v>
      </c>
      <c r="C609" s="112">
        <v>11440</v>
      </c>
      <c r="D609" s="95"/>
      <c r="E609" s="99">
        <f t="shared" si="14"/>
        <v>11440</v>
      </c>
      <c r="F609" t="s">
        <v>1593</v>
      </c>
    </row>
    <row r="610" spans="1:6">
      <c r="A610" t="s">
        <v>1592</v>
      </c>
      <c r="B610" s="15" t="s">
        <v>186</v>
      </c>
      <c r="C610" s="112">
        <v>3730189</v>
      </c>
      <c r="D610" s="95"/>
      <c r="E610" s="99">
        <f t="shared" si="14"/>
        <v>3730189</v>
      </c>
      <c r="F610" t="s">
        <v>1593</v>
      </c>
    </row>
    <row r="611" spans="1:6">
      <c r="A611" t="s">
        <v>1596</v>
      </c>
      <c r="B611" s="17" t="s">
        <v>187</v>
      </c>
      <c r="C611" s="112">
        <v>1882812</v>
      </c>
      <c r="D611" s="95"/>
      <c r="E611" s="99">
        <f t="shared" si="14"/>
        <v>1882812</v>
      </c>
      <c r="F611" t="s">
        <v>1597</v>
      </c>
    </row>
    <row r="612" spans="1:6">
      <c r="A612" t="s">
        <v>1592</v>
      </c>
      <c r="B612" s="15" t="s">
        <v>1105</v>
      </c>
      <c r="C612" s="112">
        <v>1160737</v>
      </c>
      <c r="D612" s="95"/>
      <c r="E612" s="99">
        <f t="shared" si="14"/>
        <v>1160737</v>
      </c>
      <c r="F612" t="s">
        <v>1593</v>
      </c>
    </row>
    <row r="613" spans="1:6">
      <c r="A613" t="s">
        <v>1592</v>
      </c>
      <c r="B613" s="15" t="s">
        <v>1106</v>
      </c>
      <c r="C613" s="112">
        <v>1662819</v>
      </c>
      <c r="D613" s="95"/>
      <c r="E613" s="99">
        <f t="shared" si="14"/>
        <v>1662819</v>
      </c>
      <c r="F613" t="s">
        <v>1593</v>
      </c>
    </row>
    <row r="614" spans="1:6">
      <c r="A614" t="s">
        <v>1592</v>
      </c>
      <c r="B614" s="17" t="s">
        <v>1107</v>
      </c>
      <c r="C614" s="112">
        <v>652011</v>
      </c>
      <c r="D614" s="95"/>
      <c r="E614" s="99">
        <f t="shared" si="14"/>
        <v>652011</v>
      </c>
      <c r="F614" t="s">
        <v>1593</v>
      </c>
    </row>
    <row r="615" spans="1:6">
      <c r="A615" t="s">
        <v>1592</v>
      </c>
      <c r="B615" s="15" t="s">
        <v>1108</v>
      </c>
      <c r="C615" s="112">
        <v>2670481</v>
      </c>
      <c r="D615" s="95"/>
      <c r="E615" s="99">
        <f t="shared" si="14"/>
        <v>2670481</v>
      </c>
      <c r="F615" t="s">
        <v>1593</v>
      </c>
    </row>
    <row r="616" spans="1:6">
      <c r="A616" t="s">
        <v>1592</v>
      </c>
      <c r="B616" s="17" t="s">
        <v>1109</v>
      </c>
      <c r="C616" s="112">
        <v>1604830</v>
      </c>
      <c r="D616" s="95"/>
      <c r="E616" s="99">
        <f t="shared" si="14"/>
        <v>1604830</v>
      </c>
      <c r="F616" t="s">
        <v>1593</v>
      </c>
    </row>
    <row r="617" spans="1:6">
      <c r="A617" t="s">
        <v>1592</v>
      </c>
      <c r="B617" s="15" t="s">
        <v>1110</v>
      </c>
      <c r="C617" s="112">
        <v>3120481</v>
      </c>
      <c r="D617" s="95"/>
      <c r="E617" s="99">
        <f t="shared" si="14"/>
        <v>3120481</v>
      </c>
      <c r="F617" t="s">
        <v>1593</v>
      </c>
    </row>
    <row r="618" spans="1:6">
      <c r="A618" t="s">
        <v>1592</v>
      </c>
      <c r="B618" s="15" t="s">
        <v>1111</v>
      </c>
      <c r="C618" s="112">
        <v>563452</v>
      </c>
      <c r="D618" s="95"/>
      <c r="E618" s="99">
        <f t="shared" si="14"/>
        <v>563452</v>
      </c>
      <c r="F618" t="s">
        <v>1593</v>
      </c>
    </row>
    <row r="619" spans="1:6">
      <c r="A619" t="s">
        <v>1592</v>
      </c>
      <c r="B619" s="15" t="s">
        <v>1112</v>
      </c>
      <c r="C619" s="112">
        <v>4657569</v>
      </c>
      <c r="D619" s="95"/>
      <c r="E619" s="99">
        <f t="shared" si="14"/>
        <v>4657569</v>
      </c>
      <c r="F619" t="s">
        <v>1593</v>
      </c>
    </row>
    <row r="620" spans="1:6">
      <c r="A620" t="s">
        <v>1592</v>
      </c>
      <c r="B620" s="13" t="s">
        <v>1539</v>
      </c>
      <c r="C620" s="104">
        <v>59410</v>
      </c>
      <c r="D620" s="96"/>
      <c r="E620" s="99">
        <f t="shared" si="14"/>
        <v>59410</v>
      </c>
      <c r="F620" t="s">
        <v>1593</v>
      </c>
    </row>
    <row r="621" spans="1:6">
      <c r="B621" s="1" t="s">
        <v>189</v>
      </c>
      <c r="C621" s="109"/>
      <c r="D621" s="105">
        <v>3838040</v>
      </c>
      <c r="E621" s="99"/>
    </row>
    <row r="622" spans="1:6">
      <c r="A622" t="s">
        <v>1585</v>
      </c>
      <c r="B622" s="13" t="s">
        <v>190</v>
      </c>
      <c r="C622" s="96"/>
      <c r="D622" s="104">
        <v>3508040</v>
      </c>
      <c r="E622" s="99">
        <f t="shared" si="14"/>
        <v>-3508040</v>
      </c>
      <c r="F622" t="s">
        <v>1588</v>
      </c>
    </row>
    <row r="623" spans="1:6">
      <c r="A623" t="s">
        <v>1586</v>
      </c>
      <c r="B623" s="13" t="s">
        <v>191</v>
      </c>
      <c r="C623" s="96"/>
      <c r="D623" s="104">
        <v>330000</v>
      </c>
      <c r="E623" s="99">
        <f t="shared" si="14"/>
        <v>-330000</v>
      </c>
      <c r="F623" t="s">
        <v>1587</v>
      </c>
    </row>
    <row r="624" spans="1:6">
      <c r="B624" s="1" t="s">
        <v>192</v>
      </c>
      <c r="C624" s="105">
        <v>51199649.259999998</v>
      </c>
      <c r="D624" s="109"/>
      <c r="E624" s="99"/>
    </row>
    <row r="625" spans="1:6">
      <c r="B625" s="118" t="s">
        <v>193</v>
      </c>
      <c r="C625" s="103">
        <v>568275</v>
      </c>
      <c r="D625" s="111"/>
      <c r="E625" s="99"/>
    </row>
    <row r="626" spans="1:6">
      <c r="A626" t="s">
        <v>1627</v>
      </c>
      <c r="B626" s="17" t="s">
        <v>193</v>
      </c>
      <c r="C626" s="112">
        <v>568275</v>
      </c>
      <c r="D626" s="95"/>
      <c r="E626" s="99">
        <f>C626-D626</f>
        <v>568275</v>
      </c>
      <c r="F626" t="s">
        <v>1628</v>
      </c>
    </row>
    <row r="627" spans="1:6">
      <c r="B627" s="118" t="s">
        <v>194</v>
      </c>
      <c r="C627" s="105">
        <v>6101</v>
      </c>
      <c r="D627" s="114"/>
      <c r="E627" s="99"/>
    </row>
    <row r="628" spans="1:6">
      <c r="A628" t="s">
        <v>1615</v>
      </c>
      <c r="B628" s="17" t="s">
        <v>194</v>
      </c>
      <c r="C628" s="112">
        <v>6101</v>
      </c>
      <c r="D628" s="95"/>
      <c r="E628" s="99">
        <f t="shared" ref="E628:E662" si="15">C628-D628</f>
        <v>6101</v>
      </c>
      <c r="F628" t="s">
        <v>1616</v>
      </c>
    </row>
    <row r="629" spans="1:6">
      <c r="A629" t="s">
        <v>1602</v>
      </c>
      <c r="B629" s="13" t="s">
        <v>195</v>
      </c>
      <c r="C629" s="104">
        <v>32016</v>
      </c>
      <c r="D629" s="96"/>
      <c r="E629" s="99">
        <f t="shared" si="15"/>
        <v>32016</v>
      </c>
      <c r="F629" t="s">
        <v>1603</v>
      </c>
    </row>
    <row r="630" spans="1:6">
      <c r="A630" t="s">
        <v>1640</v>
      </c>
      <c r="B630" s="13" t="s">
        <v>1540</v>
      </c>
      <c r="C630" s="104">
        <v>4536841.68</v>
      </c>
      <c r="D630" s="96"/>
      <c r="E630" s="99">
        <f t="shared" si="15"/>
        <v>4536841.68</v>
      </c>
      <c r="F630" t="s">
        <v>1641</v>
      </c>
    </row>
    <row r="631" spans="1:6">
      <c r="A631" t="s">
        <v>1600</v>
      </c>
      <c r="B631" s="16" t="s">
        <v>1541</v>
      </c>
      <c r="C631" s="104">
        <v>35850</v>
      </c>
      <c r="D631" s="96"/>
      <c r="E631" s="226">
        <f t="shared" si="15"/>
        <v>35850</v>
      </c>
      <c r="F631" t="s">
        <v>1645</v>
      </c>
    </row>
    <row r="632" spans="1:6">
      <c r="A632" t="s">
        <v>1611</v>
      </c>
      <c r="B632" s="13" t="s">
        <v>196</v>
      </c>
      <c r="C632" s="104">
        <v>4505</v>
      </c>
      <c r="D632" s="96"/>
      <c r="E632" s="99">
        <f t="shared" si="15"/>
        <v>4505</v>
      </c>
      <c r="F632" t="s">
        <v>1609</v>
      </c>
    </row>
    <row r="633" spans="1:6">
      <c r="A633" t="s">
        <v>1631</v>
      </c>
      <c r="B633" s="13" t="s">
        <v>1222</v>
      </c>
      <c r="C633" s="104">
        <v>88634</v>
      </c>
      <c r="D633" s="96"/>
      <c r="E633" s="99">
        <f t="shared" si="15"/>
        <v>88634</v>
      </c>
      <c r="F633" t="s">
        <v>1632</v>
      </c>
    </row>
    <row r="634" spans="1:6">
      <c r="A634" t="s">
        <v>1629</v>
      </c>
      <c r="B634" s="13" t="s">
        <v>893</v>
      </c>
      <c r="C634" s="104">
        <v>3102896</v>
      </c>
      <c r="D634" s="96"/>
      <c r="E634" s="226">
        <f t="shared" si="15"/>
        <v>3102896</v>
      </c>
      <c r="F634" t="s">
        <v>1630</v>
      </c>
    </row>
    <row r="635" spans="1:6">
      <c r="A635" t="s">
        <v>1598</v>
      </c>
      <c r="B635" s="13" t="s">
        <v>197</v>
      </c>
      <c r="C635" s="104">
        <v>1260000</v>
      </c>
      <c r="D635" s="96"/>
      <c r="E635" s="99">
        <f t="shared" si="15"/>
        <v>1260000</v>
      </c>
      <c r="F635" t="s">
        <v>1599</v>
      </c>
    </row>
    <row r="636" spans="1:6">
      <c r="A636" t="s">
        <v>1213</v>
      </c>
      <c r="B636" s="13" t="s">
        <v>199</v>
      </c>
      <c r="C636" s="104">
        <v>150000</v>
      </c>
      <c r="D636" s="96"/>
      <c r="E636" s="99">
        <f t="shared" si="15"/>
        <v>150000</v>
      </c>
      <c r="F636" t="s">
        <v>1608</v>
      </c>
    </row>
    <row r="637" spans="1:6">
      <c r="A637" t="s">
        <v>1592</v>
      </c>
      <c r="B637" s="13" t="s">
        <v>1221</v>
      </c>
      <c r="C637" s="104">
        <v>410150</v>
      </c>
      <c r="D637" s="96"/>
      <c r="E637" s="99">
        <f t="shared" si="15"/>
        <v>410150</v>
      </c>
      <c r="F637" t="s">
        <v>1593</v>
      </c>
    </row>
    <row r="638" spans="1:6">
      <c r="A638" t="s">
        <v>1615</v>
      </c>
      <c r="B638" s="13" t="s">
        <v>200</v>
      </c>
      <c r="C638" s="104">
        <v>35058</v>
      </c>
      <c r="D638" s="96"/>
      <c r="E638" s="99">
        <f t="shared" si="15"/>
        <v>35058</v>
      </c>
      <c r="F638" t="s">
        <v>1616</v>
      </c>
    </row>
    <row r="639" spans="1:6">
      <c r="A639" t="s">
        <v>1615</v>
      </c>
      <c r="B639" s="13" t="s">
        <v>1220</v>
      </c>
      <c r="C639" s="104">
        <v>6203</v>
      </c>
      <c r="D639" s="96"/>
      <c r="E639" s="99">
        <f t="shared" si="15"/>
        <v>6203</v>
      </c>
      <c r="F639" t="s">
        <v>1616</v>
      </c>
    </row>
    <row r="640" spans="1:6">
      <c r="A640" t="s">
        <v>1619</v>
      </c>
      <c r="B640" s="13" t="s">
        <v>1114</v>
      </c>
      <c r="C640" s="104">
        <v>25113</v>
      </c>
      <c r="D640" s="96"/>
      <c r="E640" s="226">
        <f t="shared" si="15"/>
        <v>25113</v>
      </c>
      <c r="F640" t="s">
        <v>1646</v>
      </c>
    </row>
    <row r="641" spans="1:6">
      <c r="A641" t="s">
        <v>1600</v>
      </c>
      <c r="B641" s="13" t="s">
        <v>201</v>
      </c>
      <c r="C641" s="104">
        <v>18982</v>
      </c>
      <c r="D641" s="96"/>
      <c r="E641" s="99">
        <f t="shared" si="15"/>
        <v>18982</v>
      </c>
      <c r="F641" t="s">
        <v>1601</v>
      </c>
    </row>
    <row r="642" spans="1:6">
      <c r="A642" t="s">
        <v>1619</v>
      </c>
      <c r="B642" s="13" t="s">
        <v>202</v>
      </c>
      <c r="C642" s="104">
        <v>555886</v>
      </c>
      <c r="D642" s="96"/>
      <c r="E642" s="99">
        <f t="shared" si="15"/>
        <v>555886</v>
      </c>
      <c r="F642" t="s">
        <v>1610</v>
      </c>
    </row>
    <row r="643" spans="1:6">
      <c r="A643" t="s">
        <v>1620</v>
      </c>
      <c r="B643" s="13" t="s">
        <v>203</v>
      </c>
      <c r="C643" s="104">
        <v>16074</v>
      </c>
      <c r="D643" s="96"/>
      <c r="E643" s="99">
        <f t="shared" si="15"/>
        <v>16074</v>
      </c>
      <c r="F643" t="s">
        <v>1621</v>
      </c>
    </row>
    <row r="644" spans="1:6">
      <c r="A644" t="s">
        <v>1596</v>
      </c>
      <c r="B644" s="13" t="s">
        <v>1542</v>
      </c>
      <c r="C644" s="104">
        <v>10000</v>
      </c>
      <c r="D644" s="96"/>
      <c r="E644" s="226">
        <f t="shared" si="15"/>
        <v>10000</v>
      </c>
      <c r="F644" t="s">
        <v>1597</v>
      </c>
    </row>
    <row r="645" spans="1:6">
      <c r="A645" t="s">
        <v>1594</v>
      </c>
      <c r="B645" s="13" t="s">
        <v>204</v>
      </c>
      <c r="C645" s="104">
        <v>25245877</v>
      </c>
      <c r="D645" s="96"/>
      <c r="E645" s="99">
        <f t="shared" si="15"/>
        <v>25245877</v>
      </c>
      <c r="F645" t="s">
        <v>1595</v>
      </c>
    </row>
    <row r="646" spans="1:6">
      <c r="A646" t="s">
        <v>1600</v>
      </c>
      <c r="B646" s="13" t="s">
        <v>206</v>
      </c>
      <c r="C646" s="104">
        <v>106550</v>
      </c>
      <c r="D646" s="96"/>
      <c r="E646" s="99">
        <f t="shared" si="15"/>
        <v>106550</v>
      </c>
      <c r="F646" t="s">
        <v>1601</v>
      </c>
    </row>
    <row r="647" spans="1:6">
      <c r="A647" t="s">
        <v>1637</v>
      </c>
      <c r="B647" s="13" t="s">
        <v>207</v>
      </c>
      <c r="C647" s="104">
        <v>1072384</v>
      </c>
      <c r="D647" s="96"/>
      <c r="E647" s="99">
        <f t="shared" si="15"/>
        <v>1072384</v>
      </c>
      <c r="F647" t="s">
        <v>1638</v>
      </c>
    </row>
    <row r="648" spans="1:6">
      <c r="A648" t="s">
        <v>1633</v>
      </c>
      <c r="B648" s="13" t="s">
        <v>208</v>
      </c>
      <c r="C648" s="104">
        <v>307462</v>
      </c>
      <c r="D648" s="96"/>
      <c r="E648" s="99">
        <f t="shared" si="15"/>
        <v>307462</v>
      </c>
      <c r="F648" t="s">
        <v>1634</v>
      </c>
    </row>
    <row r="649" spans="1:6">
      <c r="A649" t="s">
        <v>1627</v>
      </c>
      <c r="B649" s="13" t="s">
        <v>209</v>
      </c>
      <c r="C649" s="104">
        <v>1403796</v>
      </c>
      <c r="D649" s="96"/>
      <c r="E649" s="99">
        <f t="shared" si="15"/>
        <v>1403796</v>
      </c>
      <c r="F649" t="s">
        <v>1628</v>
      </c>
    </row>
    <row r="650" spans="1:6">
      <c r="A650" t="s">
        <v>1604</v>
      </c>
      <c r="B650" s="13" t="s">
        <v>210</v>
      </c>
      <c r="C650" s="104">
        <v>68810.58</v>
      </c>
      <c r="D650" s="96"/>
      <c r="E650" s="99">
        <f t="shared" si="15"/>
        <v>68810.58</v>
      </c>
      <c r="F650" t="s">
        <v>1605</v>
      </c>
    </row>
    <row r="651" spans="1:6">
      <c r="A651" t="s">
        <v>1612</v>
      </c>
      <c r="B651" s="13" t="s">
        <v>211</v>
      </c>
      <c r="C651" s="104">
        <v>325921</v>
      </c>
      <c r="D651" s="96"/>
      <c r="E651" s="99">
        <f t="shared" si="15"/>
        <v>325921</v>
      </c>
      <c r="F651" t="s">
        <v>1613</v>
      </c>
    </row>
    <row r="652" spans="1:6">
      <c r="A652" t="s">
        <v>1623</v>
      </c>
      <c r="B652" s="13" t="s">
        <v>212</v>
      </c>
      <c r="C652" s="104">
        <v>323728</v>
      </c>
      <c r="D652" s="96"/>
      <c r="E652" s="99">
        <f t="shared" si="15"/>
        <v>323728</v>
      </c>
      <c r="F652" t="s">
        <v>1624</v>
      </c>
    </row>
    <row r="653" spans="1:6">
      <c r="A653" t="s">
        <v>1614</v>
      </c>
      <c r="B653" s="13" t="s">
        <v>57</v>
      </c>
      <c r="C653" s="104">
        <v>1918179</v>
      </c>
      <c r="D653" s="96"/>
      <c r="E653" s="99">
        <f t="shared" si="15"/>
        <v>1918179</v>
      </c>
      <c r="F653" t="s">
        <v>1606</v>
      </c>
    </row>
    <row r="654" spans="1:6">
      <c r="A654" t="s">
        <v>1637</v>
      </c>
      <c r="B654" s="13" t="s">
        <v>930</v>
      </c>
      <c r="C654" s="104">
        <v>870731</v>
      </c>
      <c r="D654" s="96"/>
      <c r="E654" s="99">
        <f t="shared" si="15"/>
        <v>870731</v>
      </c>
      <c r="F654" t="s">
        <v>1638</v>
      </c>
    </row>
    <row r="655" spans="1:6">
      <c r="A655" t="s">
        <v>1631</v>
      </c>
      <c r="B655" s="13" t="s">
        <v>929</v>
      </c>
      <c r="C655" s="104">
        <v>110650</v>
      </c>
      <c r="D655" s="96"/>
      <c r="E655" s="99">
        <f t="shared" si="15"/>
        <v>110650</v>
      </c>
      <c r="F655" t="s">
        <v>1632</v>
      </c>
    </row>
    <row r="656" spans="1:6">
      <c r="A656" t="s">
        <v>1622</v>
      </c>
      <c r="B656" s="13" t="s">
        <v>213</v>
      </c>
      <c r="C656" s="104">
        <v>375484</v>
      </c>
      <c r="D656" s="96"/>
      <c r="E656" s="99">
        <f t="shared" si="15"/>
        <v>375484</v>
      </c>
      <c r="F656" t="s">
        <v>1607</v>
      </c>
    </row>
    <row r="657" spans="1:7">
      <c r="A657" t="s">
        <v>1635</v>
      </c>
      <c r="B657" s="13" t="s">
        <v>928</v>
      </c>
      <c r="C657" s="104">
        <v>894126</v>
      </c>
      <c r="D657" s="96"/>
      <c r="E657" s="99">
        <f t="shared" si="15"/>
        <v>894126</v>
      </c>
      <c r="F657" t="s">
        <v>1636</v>
      </c>
    </row>
    <row r="658" spans="1:7">
      <c r="A658" t="s">
        <v>1625</v>
      </c>
      <c r="B658" s="13" t="s">
        <v>77</v>
      </c>
      <c r="C658" s="104">
        <v>482483</v>
      </c>
      <c r="D658" s="96"/>
      <c r="E658" s="99">
        <f t="shared" si="15"/>
        <v>482483</v>
      </c>
      <c r="F658" t="s">
        <v>1626</v>
      </c>
    </row>
    <row r="659" spans="1:7">
      <c r="A659" t="s">
        <v>1617</v>
      </c>
      <c r="B659" s="13" t="s">
        <v>71</v>
      </c>
      <c r="C659" s="104">
        <v>1645754</v>
      </c>
      <c r="D659" s="96"/>
      <c r="E659" s="99">
        <f t="shared" si="15"/>
        <v>1645754</v>
      </c>
      <c r="F659" t="s">
        <v>1618</v>
      </c>
    </row>
    <row r="660" spans="1:7">
      <c r="A660" t="s">
        <v>1213</v>
      </c>
      <c r="B660" s="16" t="s">
        <v>927</v>
      </c>
      <c r="C660" s="104">
        <f>1048593-500</f>
        <v>1048093</v>
      </c>
      <c r="D660" s="96"/>
      <c r="E660" s="99">
        <f t="shared" si="15"/>
        <v>1048093</v>
      </c>
      <c r="F660" t="s">
        <v>1608</v>
      </c>
    </row>
    <row r="661" spans="1:7">
      <c r="A661" t="s">
        <v>1629</v>
      </c>
      <c r="B661" s="13" t="s">
        <v>926</v>
      </c>
      <c r="C661" s="104">
        <v>4136536</v>
      </c>
      <c r="D661" s="96"/>
      <c r="E661" s="99">
        <f t="shared" si="15"/>
        <v>4136536</v>
      </c>
      <c r="F661" t="s">
        <v>1630</v>
      </c>
    </row>
    <row r="662" spans="1:7">
      <c r="B662" s="2" t="s">
        <v>74</v>
      </c>
      <c r="C662" s="95"/>
      <c r="D662" s="112">
        <v>5.85</v>
      </c>
      <c r="E662" s="99">
        <f t="shared" si="15"/>
        <v>-5.85</v>
      </c>
    </row>
    <row r="663" spans="1:7">
      <c r="B663" s="19" t="s">
        <v>75</v>
      </c>
      <c r="C663" s="103">
        <v>764008535.63</v>
      </c>
      <c r="D663" s="103">
        <v>764008535.63</v>
      </c>
      <c r="E663" s="100">
        <f>SUM(E9:E662)</f>
        <v>3.3155084011582403E-8</v>
      </c>
    </row>
    <row r="664" spans="1:7">
      <c r="E664" s="100"/>
    </row>
    <row r="665" spans="1:7">
      <c r="G665" s="100">
        <f>5076731+C630</f>
        <v>9613572.6799999997</v>
      </c>
    </row>
    <row r="666" spans="1:7">
      <c r="B666" t="s">
        <v>1647</v>
      </c>
      <c r="C666">
        <v>500</v>
      </c>
    </row>
    <row r="667" spans="1:7">
      <c r="B667" t="s">
        <v>1648</v>
      </c>
      <c r="D667">
        <v>440</v>
      </c>
    </row>
    <row r="668" spans="1:7">
      <c r="B668" t="s">
        <v>1649</v>
      </c>
      <c r="D668">
        <v>60</v>
      </c>
    </row>
  </sheetData>
  <autoFilter ref="A5:H663" xr:uid="{00000000-0009-0000-0000-000024000000}">
    <filterColumn colId="2" showButton="0"/>
  </autoFilter>
  <mergeCells count="7">
    <mergeCell ref="E5:E7"/>
    <mergeCell ref="B1:D1"/>
    <mergeCell ref="B2:D2"/>
    <mergeCell ref="B3:D3"/>
    <mergeCell ref="C4:D4"/>
    <mergeCell ref="C5:D5"/>
    <mergeCell ref="C6:D6"/>
  </mergeCells>
  <pageMargins left="0.7" right="0.7" top="0.75" bottom="0.75" header="0.3" footer="0.3"/>
  <pageSetup scale="94"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Y76"/>
  <sheetViews>
    <sheetView topLeftCell="L1" workbookViewId="0">
      <selection activeCell="Z7" sqref="Z7"/>
    </sheetView>
  </sheetViews>
  <sheetFormatPr defaultColWidth="9.44140625" defaultRowHeight="14.4"/>
  <cols>
    <col min="1" max="1" width="13.5546875" bestFit="1" customWidth="1"/>
    <col min="3" max="3" width="25.5546875" customWidth="1"/>
    <col min="4" max="4" width="14.5546875" customWidth="1"/>
    <col min="5" max="5" width="16" customWidth="1"/>
    <col min="6" max="6" width="19.44140625" customWidth="1"/>
    <col min="7" max="7" width="14.5546875" bestFit="1" customWidth="1"/>
    <col min="8" max="8" width="13.44140625" customWidth="1"/>
    <col min="9" max="9" width="15.5546875" bestFit="1" customWidth="1"/>
    <col min="10" max="10" width="15.44140625" bestFit="1" customWidth="1"/>
    <col min="11" max="11" width="14.5546875" customWidth="1"/>
    <col min="12" max="12" width="15.44140625" bestFit="1" customWidth="1"/>
    <col min="13" max="14" width="14.5546875" customWidth="1"/>
    <col min="15" max="15" width="10.44140625" bestFit="1" customWidth="1"/>
    <col min="16" max="17" width="13" customWidth="1"/>
    <col min="18" max="18" width="12.5546875" customWidth="1"/>
    <col min="19" max="19" width="14.5546875" bestFit="1" customWidth="1"/>
    <col min="20" max="20" width="18.44140625" bestFit="1" customWidth="1"/>
    <col min="21" max="21" width="12.5546875" customWidth="1"/>
    <col min="22" max="22" width="15.44140625" customWidth="1"/>
    <col min="23" max="23" width="15.44140625" style="256" customWidth="1"/>
    <col min="24" max="25" width="12.44140625" bestFit="1" customWidth="1"/>
  </cols>
  <sheetData>
    <row r="1" spans="2:25">
      <c r="P1" s="218">
        <v>43190</v>
      </c>
      <c r="Q1" s="218">
        <v>43555</v>
      </c>
    </row>
    <row r="2" spans="2:25" ht="57.6">
      <c r="B2" s="360" t="s">
        <v>2110</v>
      </c>
      <c r="C2" s="361" t="s">
        <v>1</v>
      </c>
      <c r="D2" s="361" t="s">
        <v>2111</v>
      </c>
      <c r="E2" s="361" t="s">
        <v>2112</v>
      </c>
      <c r="F2" s="361" t="s">
        <v>1136</v>
      </c>
      <c r="G2" s="361" t="s">
        <v>2113</v>
      </c>
      <c r="H2" s="361" t="s">
        <v>1125</v>
      </c>
      <c r="I2" s="361" t="s">
        <v>1123</v>
      </c>
      <c r="J2" s="361" t="s">
        <v>2114</v>
      </c>
      <c r="K2" s="361" t="s">
        <v>2115</v>
      </c>
      <c r="L2" s="361" t="s">
        <v>2116</v>
      </c>
      <c r="M2" s="361" t="s">
        <v>1152</v>
      </c>
      <c r="N2" s="361" t="s">
        <v>2117</v>
      </c>
      <c r="O2" s="361" t="s">
        <v>2118</v>
      </c>
      <c r="P2" s="361" t="s">
        <v>2119</v>
      </c>
      <c r="Q2" s="361" t="s">
        <v>2120</v>
      </c>
      <c r="R2" s="361" t="s">
        <v>2121</v>
      </c>
      <c r="S2" s="362" t="s">
        <v>2122</v>
      </c>
      <c r="T2" s="362" t="s">
        <v>2123</v>
      </c>
      <c r="U2" s="363" t="s">
        <v>2124</v>
      </c>
      <c r="V2" s="363" t="s">
        <v>2125</v>
      </c>
      <c r="W2" s="364"/>
    </row>
    <row r="3" spans="2:25">
      <c r="B3" s="360"/>
      <c r="C3" s="365" t="s">
        <v>1863</v>
      </c>
      <c r="D3" s="361">
        <v>16898737</v>
      </c>
      <c r="E3" s="366">
        <f>30*365</f>
        <v>10950</v>
      </c>
      <c r="F3" s="367"/>
      <c r="G3" s="368">
        <v>15880627</v>
      </c>
      <c r="H3" s="368"/>
      <c r="I3" s="368">
        <f>+D3+H3</f>
        <v>16898737</v>
      </c>
      <c r="J3" s="368">
        <f t="shared" ref="J3:J9" si="0">+D3*95%</f>
        <v>16053800.149999999</v>
      </c>
      <c r="K3" s="369">
        <f t="shared" ref="K3:K9" si="1">+D3-G3</f>
        <v>1018110</v>
      </c>
      <c r="L3" s="369">
        <f>+K3+S3</f>
        <v>1553236.6716666666</v>
      </c>
      <c r="M3" s="369">
        <f>+I3-K3</f>
        <v>15880627</v>
      </c>
      <c r="N3" s="369">
        <f t="shared" ref="N3:N9" si="2">+J3-K3</f>
        <v>15035690.149999999</v>
      </c>
      <c r="O3" s="368">
        <f t="shared" ref="O3:O13" si="3">+J3/E3</f>
        <v>1466.1004703196345</v>
      </c>
      <c r="P3" s="370">
        <f t="shared" ref="P3:P13" si="4">+K3/O3</f>
        <v>694.43399044680405</v>
      </c>
      <c r="Q3" s="370"/>
      <c r="R3" s="370">
        <f t="shared" ref="R3:R9" si="5">+E3-P3</f>
        <v>10255.566009553197</v>
      </c>
      <c r="S3" s="368">
        <f>+IF(R3&gt;364,O3*365,O3*R3)</f>
        <v>535126.67166666663</v>
      </c>
      <c r="T3" s="368">
        <f t="shared" ref="T3:T9" si="6">+G3-S3</f>
        <v>15345500.328333333</v>
      </c>
      <c r="U3" s="368" t="str">
        <f t="shared" ref="U3:U13" si="7">IF((T3-(D3*0.05))&gt;0.1,"No","Yes")</f>
        <v>No</v>
      </c>
      <c r="V3" s="368">
        <f>+IF(U3="No",IF((R3-365)&gt;364,O3*365,O3*(R3-365)),0)</f>
        <v>535126.67166666663</v>
      </c>
      <c r="W3" s="364"/>
      <c r="X3" s="371">
        <f>+D3*3.17%</f>
        <v>535689.96289999993</v>
      </c>
      <c r="Y3" s="371">
        <f>+X3-S3</f>
        <v>563.29123333329335</v>
      </c>
    </row>
    <row r="4" spans="2:25">
      <c r="B4" s="360"/>
      <c r="C4" s="365"/>
      <c r="D4" s="361">
        <v>7998160</v>
      </c>
      <c r="E4" s="366">
        <f>30*365</f>
        <v>10950</v>
      </c>
      <c r="F4" s="372">
        <v>43555</v>
      </c>
      <c r="G4" s="361"/>
      <c r="H4" s="361">
        <v>7998160</v>
      </c>
      <c r="I4" s="368">
        <f>H4</f>
        <v>7998160</v>
      </c>
      <c r="J4" s="361">
        <f>H4*95%</f>
        <v>7598252</v>
      </c>
      <c r="K4" s="361"/>
      <c r="L4" s="361"/>
      <c r="M4" s="361">
        <f>I4</f>
        <v>7998160</v>
      </c>
      <c r="N4" s="361">
        <f>J4</f>
        <v>7598252</v>
      </c>
      <c r="O4" s="368">
        <f t="shared" si="3"/>
        <v>693.90429223744297</v>
      </c>
      <c r="P4" s="370">
        <f t="shared" si="4"/>
        <v>0</v>
      </c>
      <c r="Q4" s="373">
        <f>+Q1-F4+1</f>
        <v>1</v>
      </c>
      <c r="R4" s="370">
        <f>+E4-Q4</f>
        <v>10949</v>
      </c>
      <c r="S4" s="368">
        <f>O4*Q4</f>
        <v>693.90429223744297</v>
      </c>
      <c r="T4" s="368">
        <f>+D4-S4</f>
        <v>7997466.095707763</v>
      </c>
      <c r="U4" s="368" t="str">
        <f t="shared" si="7"/>
        <v>No</v>
      </c>
      <c r="V4" s="363"/>
      <c r="W4" s="364"/>
      <c r="Y4" s="371">
        <f>+X4-S4</f>
        <v>-693.90429223744297</v>
      </c>
    </row>
    <row r="5" spans="2:25">
      <c r="B5" s="360"/>
      <c r="C5" s="365" t="s">
        <v>2126</v>
      </c>
      <c r="D5" s="361">
        <v>714522</v>
      </c>
      <c r="E5" s="366">
        <f>15*365</f>
        <v>5475</v>
      </c>
      <c r="F5" s="372"/>
      <c r="G5" s="361">
        <v>565468</v>
      </c>
      <c r="H5" s="361"/>
      <c r="I5" s="368">
        <f>+D5+H5</f>
        <v>714522</v>
      </c>
      <c r="J5" s="368">
        <f t="shared" si="0"/>
        <v>678795.9</v>
      </c>
      <c r="K5" s="369">
        <f t="shared" si="1"/>
        <v>149054</v>
      </c>
      <c r="L5" s="369">
        <f t="shared" ref="L5:L10" si="8">+K5+S5</f>
        <v>194307.06</v>
      </c>
      <c r="M5" s="369">
        <f>+I5-K5</f>
        <v>565468</v>
      </c>
      <c r="N5" s="369">
        <f t="shared" si="2"/>
        <v>529741.9</v>
      </c>
      <c r="O5" s="368">
        <f t="shared" si="3"/>
        <v>123.98098630136987</v>
      </c>
      <c r="P5" s="370">
        <f t="shared" si="4"/>
        <v>1202.232732990874</v>
      </c>
      <c r="Q5" s="361"/>
      <c r="R5" s="370">
        <f t="shared" si="5"/>
        <v>4272.767267009126</v>
      </c>
      <c r="S5" s="368">
        <f>+IF(R5&gt;364,O5*365,O5*R5)</f>
        <v>45253.060000000005</v>
      </c>
      <c r="T5" s="368">
        <f t="shared" si="6"/>
        <v>520214.94</v>
      </c>
      <c r="U5" s="368" t="str">
        <f t="shared" si="7"/>
        <v>No</v>
      </c>
      <c r="V5" s="363"/>
      <c r="W5" s="364"/>
      <c r="X5" s="371">
        <f>+D5*6.33%</f>
        <v>45229.242599999998</v>
      </c>
      <c r="Y5" s="371">
        <f>+X5-S5</f>
        <v>-23.817400000007183</v>
      </c>
    </row>
    <row r="6" spans="2:25">
      <c r="B6" s="366"/>
      <c r="C6" t="s">
        <v>2127</v>
      </c>
      <c r="D6" s="368">
        <v>96083170</v>
      </c>
      <c r="E6" s="366">
        <f>15*365</f>
        <v>5475</v>
      </c>
      <c r="F6" s="367"/>
      <c r="G6" s="368">
        <v>28483300</v>
      </c>
      <c r="H6" s="368"/>
      <c r="I6" s="368">
        <f>+D6+H6</f>
        <v>96083170</v>
      </c>
      <c r="J6" s="368">
        <f t="shared" si="0"/>
        <v>91279011.5</v>
      </c>
      <c r="K6" s="369">
        <f t="shared" si="1"/>
        <v>67599870</v>
      </c>
      <c r="L6" s="369">
        <f t="shared" si="8"/>
        <v>73685137.433333337</v>
      </c>
      <c r="M6" s="369">
        <f>+I6-K6</f>
        <v>28483300</v>
      </c>
      <c r="N6" s="369">
        <f t="shared" si="2"/>
        <v>23679141.5</v>
      </c>
      <c r="O6" s="368">
        <f t="shared" si="3"/>
        <v>16671.965570776254</v>
      </c>
      <c r="P6" s="370">
        <f t="shared" si="4"/>
        <v>4054.7030710340246</v>
      </c>
      <c r="Q6" s="370"/>
      <c r="R6" s="370">
        <f t="shared" si="5"/>
        <v>1420.2969289659754</v>
      </c>
      <c r="S6" s="368">
        <f>+IF(R6&gt;364,O6*365,O6*R6)</f>
        <v>6085267.4333333327</v>
      </c>
      <c r="T6" s="368">
        <f t="shared" si="6"/>
        <v>22398032.566666666</v>
      </c>
      <c r="U6" s="368" t="str">
        <f t="shared" si="7"/>
        <v>No</v>
      </c>
      <c r="V6" s="368">
        <f>+IF(U6="No",IF((R6-365)&gt;364,O6*365,O6*(R6-365)),0)</f>
        <v>6085267.4333333327</v>
      </c>
      <c r="W6" s="374">
        <v>6.3299999999999995E-2</v>
      </c>
      <c r="X6" s="371">
        <f>+D6*6.33%</f>
        <v>6082064.6609999994</v>
      </c>
      <c r="Y6" s="371">
        <f>+X6-S6</f>
        <v>-3202.7723333332688</v>
      </c>
    </row>
    <row r="7" spans="2:25">
      <c r="B7" s="366"/>
      <c r="C7" s="366" t="s">
        <v>2128</v>
      </c>
      <c r="D7" s="368">
        <v>2761586</v>
      </c>
      <c r="E7" s="366">
        <f>3*365</f>
        <v>1095</v>
      </c>
      <c r="F7" s="367"/>
      <c r="G7" s="368">
        <v>186716</v>
      </c>
      <c r="H7" s="368"/>
      <c r="I7" s="368">
        <f>+D7+H7</f>
        <v>2761586</v>
      </c>
      <c r="J7" s="368">
        <f t="shared" si="0"/>
        <v>2623506.6999999997</v>
      </c>
      <c r="K7" s="369">
        <f t="shared" si="1"/>
        <v>2574870</v>
      </c>
      <c r="L7" s="369">
        <f t="shared" si="8"/>
        <v>2623506.6999999993</v>
      </c>
      <c r="M7" s="369">
        <f>+I7-K7</f>
        <v>186716</v>
      </c>
      <c r="N7" s="369">
        <f t="shared" si="2"/>
        <v>48636.699999999721</v>
      </c>
      <c r="O7" s="368">
        <f t="shared" si="3"/>
        <v>2395.8965296803649</v>
      </c>
      <c r="P7" s="370">
        <f t="shared" si="4"/>
        <v>1074.6999998132274</v>
      </c>
      <c r="Q7" s="370"/>
      <c r="R7" s="370">
        <f t="shared" si="5"/>
        <v>20.30000018677265</v>
      </c>
      <c r="S7" s="368">
        <f>+IF(R7&gt;364,O7*365,O7*R7)</f>
        <v>48636.69999999935</v>
      </c>
      <c r="T7" s="368">
        <f t="shared" si="6"/>
        <v>138079.30000000066</v>
      </c>
      <c r="U7" s="368" t="str">
        <f t="shared" si="7"/>
        <v>Yes</v>
      </c>
      <c r="V7" s="368">
        <f>+IF(U7="No",IF((R7-365)&gt;364,O7*365,O7*(R7-365)),0)</f>
        <v>0</v>
      </c>
      <c r="W7" s="374">
        <v>0.31669999999999998</v>
      </c>
      <c r="X7" s="371">
        <f>+D7*31.67%</f>
        <v>874594.28620000009</v>
      </c>
      <c r="Y7" s="371">
        <f t="shared" ref="Y7:Y13" si="9">+X7-S7</f>
        <v>825957.58620000072</v>
      </c>
    </row>
    <row r="8" spans="2:25">
      <c r="B8" s="366"/>
      <c r="C8" s="366" t="s">
        <v>2129</v>
      </c>
      <c r="D8" s="368">
        <v>681807</v>
      </c>
      <c r="E8" s="366">
        <f>10*365</f>
        <v>3650</v>
      </c>
      <c r="F8" s="367"/>
      <c r="G8" s="368">
        <v>91958</v>
      </c>
      <c r="H8" s="368"/>
      <c r="I8" s="368">
        <f>+D8+H8</f>
        <v>681807</v>
      </c>
      <c r="J8" s="368">
        <f t="shared" si="0"/>
        <v>647716.65</v>
      </c>
      <c r="K8" s="369">
        <f t="shared" si="1"/>
        <v>589849</v>
      </c>
      <c r="L8" s="369">
        <f t="shared" si="8"/>
        <v>647716.65</v>
      </c>
      <c r="M8" s="369">
        <f>+I8-K8</f>
        <v>91958</v>
      </c>
      <c r="N8" s="369">
        <f t="shared" si="2"/>
        <v>57867.650000000023</v>
      </c>
      <c r="O8" s="368">
        <f t="shared" si="3"/>
        <v>177.45661643835618</v>
      </c>
      <c r="P8" s="370">
        <f t="shared" si="4"/>
        <v>3323.9053681883888</v>
      </c>
      <c r="Q8" s="370"/>
      <c r="R8" s="370">
        <f t="shared" si="5"/>
        <v>326.09463181161118</v>
      </c>
      <c r="S8" s="368">
        <f>+IF(R8&gt;364,O8*365,O8*R8)</f>
        <v>57867.650000000067</v>
      </c>
      <c r="T8" s="368">
        <f t="shared" si="6"/>
        <v>34090.349999999933</v>
      </c>
      <c r="U8" s="368" t="str">
        <f t="shared" si="7"/>
        <v>Yes</v>
      </c>
      <c r="V8" s="368">
        <f>+IF(U8="No",IF((R8-365)&gt;364,O8*365,O8*(R8-365)),0)</f>
        <v>0</v>
      </c>
      <c r="W8" s="374">
        <v>9.5000000000000001E-2</v>
      </c>
      <c r="X8" s="371">
        <f>+D8*9.5%</f>
        <v>64771.665000000001</v>
      </c>
      <c r="Y8" s="371">
        <f t="shared" si="9"/>
        <v>6904.0149999999339</v>
      </c>
    </row>
    <row r="9" spans="2:25">
      <c r="B9" s="366"/>
      <c r="C9" s="366" t="s">
        <v>2130</v>
      </c>
      <c r="D9" s="368">
        <f>10018382-2450000</f>
        <v>7568382</v>
      </c>
      <c r="E9" s="366">
        <f>8*365</f>
        <v>2920</v>
      </c>
      <c r="F9" s="367"/>
      <c r="G9" s="368">
        <v>3491424</v>
      </c>
      <c r="H9" s="368"/>
      <c r="I9" s="368">
        <f>+D9+H9</f>
        <v>7568382</v>
      </c>
      <c r="J9" s="368">
        <f t="shared" si="0"/>
        <v>7189962.8999999994</v>
      </c>
      <c r="K9" s="369">
        <f t="shared" si="1"/>
        <v>4076958</v>
      </c>
      <c r="L9" s="369">
        <f t="shared" si="8"/>
        <v>4975703.3624999998</v>
      </c>
      <c r="M9" s="369">
        <f>+I9-K9</f>
        <v>3491424</v>
      </c>
      <c r="N9" s="369">
        <f t="shared" si="2"/>
        <v>3113004.8999999994</v>
      </c>
      <c r="O9" s="368">
        <f t="shared" si="3"/>
        <v>2462.3160616438354</v>
      </c>
      <c r="P9" s="370">
        <f t="shared" si="4"/>
        <v>1655.7411388033729</v>
      </c>
      <c r="Q9" s="370"/>
      <c r="R9" s="370">
        <f t="shared" si="5"/>
        <v>1264.2588611966271</v>
      </c>
      <c r="S9" s="368">
        <f>+IF(R9&gt;364,O9*365,O9*R9)</f>
        <v>898745.36249999993</v>
      </c>
      <c r="T9" s="368">
        <f t="shared" si="6"/>
        <v>2592678.6375000002</v>
      </c>
      <c r="U9" s="368" t="str">
        <f t="shared" si="7"/>
        <v>No</v>
      </c>
      <c r="V9" s="368">
        <f>+IF(U9="No",IF((R9-365)&gt;364,O9*365,O9*(R9-365)),0)</f>
        <v>898745.36249999993</v>
      </c>
      <c r="W9" s="374">
        <v>0.1188</v>
      </c>
      <c r="X9" s="371">
        <f>+D9*W9</f>
        <v>899123.78159999999</v>
      </c>
      <c r="Y9" s="371">
        <f t="shared" si="9"/>
        <v>378.41910000005737</v>
      </c>
    </row>
    <row r="10" spans="2:25">
      <c r="B10" s="366"/>
      <c r="C10" s="366" t="s">
        <v>2130</v>
      </c>
      <c r="D10" s="375">
        <v>906322</v>
      </c>
      <c r="E10" s="366">
        <f>8*365</f>
        <v>2920</v>
      </c>
      <c r="F10" s="376">
        <v>43298</v>
      </c>
      <c r="G10" s="368"/>
      <c r="H10" s="375">
        <v>906322</v>
      </c>
      <c r="I10" s="368">
        <f>H10</f>
        <v>906322</v>
      </c>
      <c r="J10" s="361">
        <f>H10*95%</f>
        <v>861005.89999999991</v>
      </c>
      <c r="K10" s="361"/>
      <c r="L10" s="377">
        <f t="shared" si="8"/>
        <v>76075.178835616432</v>
      </c>
      <c r="M10" s="361">
        <f t="shared" ref="M10:N13" si="10">I10</f>
        <v>906322</v>
      </c>
      <c r="N10" s="361">
        <f t="shared" si="10"/>
        <v>861005.89999999991</v>
      </c>
      <c r="O10" s="368">
        <f t="shared" si="3"/>
        <v>294.86503424657531</v>
      </c>
      <c r="P10" s="370">
        <f t="shared" si="4"/>
        <v>0</v>
      </c>
      <c r="Q10" s="373">
        <f>+$Q$1-F10+1</f>
        <v>258</v>
      </c>
      <c r="R10" s="370">
        <f>+E10-Q10</f>
        <v>2662</v>
      </c>
      <c r="S10" s="368">
        <f>O10*Q10</f>
        <v>76075.178835616432</v>
      </c>
      <c r="T10" s="368">
        <f>+D10-S10</f>
        <v>830246.82116438355</v>
      </c>
      <c r="U10" s="368" t="str">
        <f t="shared" si="7"/>
        <v>No</v>
      </c>
      <c r="V10" s="363"/>
      <c r="W10" s="374">
        <v>0.1188</v>
      </c>
      <c r="X10" s="371">
        <f>+D10*W10</f>
        <v>107671.0536</v>
      </c>
      <c r="Y10" s="371">
        <f t="shared" si="9"/>
        <v>31595.874764383567</v>
      </c>
    </row>
    <row r="11" spans="2:25">
      <c r="B11" s="366"/>
      <c r="C11" s="366" t="s">
        <v>2130</v>
      </c>
      <c r="D11" s="375">
        <v>16000</v>
      </c>
      <c r="E11" s="366">
        <f>8*365</f>
        <v>2920</v>
      </c>
      <c r="F11" s="376">
        <v>43300</v>
      </c>
      <c r="G11" s="368"/>
      <c r="H11" s="375">
        <v>16000</v>
      </c>
      <c r="I11" s="368">
        <f>H11</f>
        <v>16000</v>
      </c>
      <c r="J11" s="361">
        <f>H11*95%</f>
        <v>15200</v>
      </c>
      <c r="K11" s="361"/>
      <c r="L11" s="361"/>
      <c r="M11" s="361">
        <f t="shared" si="10"/>
        <v>16000</v>
      </c>
      <c r="N11" s="361">
        <f t="shared" si="10"/>
        <v>15200</v>
      </c>
      <c r="O11" s="368">
        <f t="shared" si="3"/>
        <v>5.2054794520547949</v>
      </c>
      <c r="P11" s="370">
        <f t="shared" si="4"/>
        <v>0</v>
      </c>
      <c r="Q11" s="373">
        <f>+$Q$1-F11+1</f>
        <v>256</v>
      </c>
      <c r="R11" s="370">
        <f>+E11-Q11</f>
        <v>2664</v>
      </c>
      <c r="S11" s="368">
        <f>O11*Q11</f>
        <v>1332.6027397260275</v>
      </c>
      <c r="T11" s="368">
        <f>+D11-S11</f>
        <v>14667.397260273972</v>
      </c>
      <c r="U11" s="368" t="str">
        <f t="shared" si="7"/>
        <v>No</v>
      </c>
      <c r="V11" s="363"/>
      <c r="W11" s="374">
        <v>0.1188</v>
      </c>
      <c r="X11" s="371">
        <f>+D11*W11</f>
        <v>1900.8</v>
      </c>
      <c r="Y11" s="371">
        <f t="shared" si="9"/>
        <v>568.19726027397246</v>
      </c>
    </row>
    <row r="12" spans="2:25">
      <c r="B12" s="366"/>
      <c r="C12" s="366" t="s">
        <v>2130</v>
      </c>
      <c r="D12" s="375">
        <v>844044</v>
      </c>
      <c r="E12" s="366">
        <f>8*365</f>
        <v>2920</v>
      </c>
      <c r="F12" s="376">
        <v>43308</v>
      </c>
      <c r="G12" s="368"/>
      <c r="H12" s="375">
        <v>844044</v>
      </c>
      <c r="I12" s="368">
        <f>H12</f>
        <v>844044</v>
      </c>
      <c r="J12" s="361">
        <f>H12*95%</f>
        <v>801841.79999999993</v>
      </c>
      <c r="K12" s="361"/>
      <c r="L12" s="361"/>
      <c r="M12" s="361">
        <f t="shared" si="10"/>
        <v>844044</v>
      </c>
      <c r="N12" s="361">
        <f t="shared" si="10"/>
        <v>801841.79999999993</v>
      </c>
      <c r="O12" s="368">
        <f t="shared" si="3"/>
        <v>274.60335616438351</v>
      </c>
      <c r="P12" s="370">
        <f t="shared" si="4"/>
        <v>0</v>
      </c>
      <c r="Q12" s="373">
        <f>+$Q$1-F12+1</f>
        <v>248</v>
      </c>
      <c r="R12" s="370">
        <f>+E12-Q12</f>
        <v>2672</v>
      </c>
      <c r="S12" s="368">
        <f>O12*Q12</f>
        <v>68101.632328767111</v>
      </c>
      <c r="T12" s="368">
        <f>+D12-S12</f>
        <v>775942.3676712329</v>
      </c>
      <c r="U12" s="368" t="str">
        <f t="shared" si="7"/>
        <v>No</v>
      </c>
      <c r="V12" s="363"/>
      <c r="W12" s="374">
        <v>0.1188</v>
      </c>
      <c r="X12" s="371">
        <f>+D12*W12</f>
        <v>100272.42720000001</v>
      </c>
      <c r="Y12" s="371">
        <f t="shared" si="9"/>
        <v>32170.794871232894</v>
      </c>
    </row>
    <row r="13" spans="2:25">
      <c r="B13" s="366"/>
      <c r="C13" s="366" t="s">
        <v>2130</v>
      </c>
      <c r="D13" s="375">
        <v>928000</v>
      </c>
      <c r="E13" s="366">
        <f>8*365</f>
        <v>2920</v>
      </c>
      <c r="F13" s="376">
        <v>43368</v>
      </c>
      <c r="G13" s="368"/>
      <c r="H13" s="375">
        <v>928000</v>
      </c>
      <c r="I13" s="368">
        <f>H13</f>
        <v>928000</v>
      </c>
      <c r="J13" s="361">
        <f>H13*95%</f>
        <v>881600</v>
      </c>
      <c r="K13" s="361"/>
      <c r="L13" s="361"/>
      <c r="M13" s="361">
        <f t="shared" si="10"/>
        <v>928000</v>
      </c>
      <c r="N13" s="361">
        <f t="shared" si="10"/>
        <v>881600</v>
      </c>
      <c r="O13" s="368">
        <f t="shared" si="3"/>
        <v>301.91780821917808</v>
      </c>
      <c r="P13" s="370">
        <f t="shared" si="4"/>
        <v>0</v>
      </c>
      <c r="Q13" s="373">
        <f>+$Q$1-F13+1</f>
        <v>188</v>
      </c>
      <c r="R13" s="370">
        <f>+E13-Q13</f>
        <v>2732</v>
      </c>
      <c r="S13" s="368">
        <f>O13*Q13</f>
        <v>56760.547945205479</v>
      </c>
      <c r="T13" s="368">
        <f>+D13-S13</f>
        <v>871239.45205479453</v>
      </c>
      <c r="U13" s="368" t="str">
        <f t="shared" si="7"/>
        <v>No</v>
      </c>
      <c r="V13" s="363"/>
      <c r="W13" s="374">
        <v>0.1188</v>
      </c>
      <c r="X13" s="371">
        <f>+D13*W13</f>
        <v>110246.40000000001</v>
      </c>
      <c r="Y13" s="371">
        <f t="shared" si="9"/>
        <v>53485.85205479453</v>
      </c>
    </row>
    <row r="14" spans="2:25">
      <c r="B14" s="366"/>
      <c r="C14" s="366"/>
      <c r="D14" s="368"/>
      <c r="E14" s="366"/>
      <c r="F14" s="376"/>
      <c r="G14" s="368"/>
      <c r="H14" s="375"/>
      <c r="I14" s="368"/>
      <c r="J14" s="368"/>
      <c r="K14" s="369"/>
      <c r="L14" s="369"/>
      <c r="M14" s="369"/>
      <c r="N14" s="369"/>
      <c r="O14" s="368"/>
      <c r="P14" s="370"/>
      <c r="Q14" s="370"/>
      <c r="R14" s="370"/>
      <c r="S14" s="368"/>
      <c r="T14" s="368"/>
      <c r="U14" s="368"/>
      <c r="V14" s="368"/>
      <c r="W14" s="374"/>
      <c r="X14" s="371"/>
      <c r="Y14" s="371"/>
    </row>
    <row r="15" spans="2:25">
      <c r="B15" s="366"/>
      <c r="C15" s="366"/>
      <c r="D15" s="368"/>
      <c r="E15" s="366"/>
      <c r="F15" s="367"/>
      <c r="G15" s="368"/>
      <c r="H15" s="368"/>
      <c r="I15" s="368"/>
      <c r="J15" s="368"/>
      <c r="K15" s="369"/>
      <c r="L15" s="369"/>
      <c r="M15" s="369"/>
      <c r="N15" s="369"/>
      <c r="O15" s="368"/>
      <c r="P15" s="370"/>
      <c r="Q15" s="370"/>
      <c r="R15" s="370"/>
      <c r="S15" s="368"/>
      <c r="T15" s="368"/>
      <c r="U15" s="368"/>
      <c r="V15" s="368"/>
      <c r="W15" s="374"/>
      <c r="X15" s="371"/>
      <c r="Y15" s="371"/>
    </row>
    <row r="16" spans="2:25">
      <c r="B16" s="366"/>
      <c r="C16" s="366"/>
      <c r="D16" s="368"/>
      <c r="E16" s="366"/>
      <c r="F16" s="367"/>
      <c r="G16" s="368"/>
      <c r="H16" s="368"/>
      <c r="I16" s="368"/>
      <c r="J16" s="368"/>
      <c r="K16" s="369"/>
      <c r="L16" s="369"/>
      <c r="M16" s="369"/>
      <c r="N16" s="369"/>
      <c r="O16" s="368"/>
      <c r="P16" s="370"/>
      <c r="Q16" s="370"/>
      <c r="R16" s="370"/>
      <c r="S16" s="368"/>
      <c r="T16" s="368"/>
      <c r="U16" s="368"/>
      <c r="V16" s="368"/>
      <c r="W16" s="374"/>
      <c r="X16" s="371"/>
      <c r="Y16" s="371"/>
    </row>
    <row r="17" spans="2:25">
      <c r="B17" s="366"/>
      <c r="C17" s="366"/>
      <c r="D17" s="368"/>
      <c r="E17" s="366"/>
      <c r="F17" s="367"/>
      <c r="G17" s="368"/>
      <c r="H17" s="368"/>
      <c r="I17" s="368"/>
      <c r="J17" s="368"/>
      <c r="K17" s="369"/>
      <c r="L17" s="369"/>
      <c r="M17" s="369"/>
      <c r="N17" s="369"/>
      <c r="O17" s="368"/>
      <c r="P17" s="370"/>
      <c r="Q17" s="370"/>
      <c r="R17" s="370"/>
      <c r="S17" s="368"/>
      <c r="T17" s="368"/>
      <c r="U17" s="368"/>
      <c r="V17" s="368"/>
      <c r="W17" s="374"/>
      <c r="X17" s="371"/>
      <c r="Y17" s="371"/>
    </row>
    <row r="18" spans="2:25">
      <c r="B18" s="366"/>
      <c r="C18" s="366"/>
      <c r="D18" s="368"/>
      <c r="E18" s="366"/>
      <c r="F18" s="367"/>
      <c r="G18" s="368"/>
      <c r="H18" s="368"/>
      <c r="I18" s="368"/>
      <c r="J18" s="368"/>
      <c r="K18" s="369"/>
      <c r="L18" s="369"/>
      <c r="M18" s="369"/>
      <c r="N18" s="369"/>
      <c r="O18" s="368"/>
      <c r="P18" s="370"/>
      <c r="Q18" s="370"/>
      <c r="R18" s="370"/>
      <c r="S18" s="368"/>
      <c r="T18" s="368"/>
      <c r="U18" s="368"/>
      <c r="V18" s="368"/>
      <c r="W18" s="374"/>
      <c r="X18" s="371"/>
      <c r="Y18" s="371"/>
    </row>
    <row r="19" spans="2:25">
      <c r="B19" s="366"/>
      <c r="C19" s="366"/>
      <c r="D19" s="368"/>
      <c r="E19" s="366"/>
      <c r="F19" s="367"/>
      <c r="G19" s="368"/>
      <c r="H19" s="368"/>
      <c r="I19" s="368"/>
      <c r="J19" s="368"/>
      <c r="K19" s="369"/>
      <c r="L19" s="369"/>
      <c r="M19" s="369"/>
      <c r="N19" s="369"/>
      <c r="O19" s="368"/>
      <c r="P19" s="370"/>
      <c r="Q19" s="370"/>
      <c r="R19" s="370"/>
      <c r="S19" s="368"/>
      <c r="T19" s="368"/>
      <c r="U19" s="368"/>
      <c r="V19" s="368"/>
      <c r="W19" s="374"/>
      <c r="X19" s="371"/>
      <c r="Y19" s="371"/>
    </row>
    <row r="20" spans="2:25">
      <c r="B20" s="366"/>
      <c r="C20" s="366"/>
      <c r="D20" s="368"/>
      <c r="E20" s="366"/>
      <c r="F20" s="367"/>
      <c r="G20" s="368"/>
      <c r="H20" s="368"/>
      <c r="I20" s="368"/>
      <c r="J20" s="368"/>
      <c r="K20" s="369"/>
      <c r="L20" s="369"/>
      <c r="M20" s="369"/>
      <c r="N20" s="369"/>
      <c r="O20" s="368"/>
      <c r="P20" s="370"/>
      <c r="Q20" s="370"/>
      <c r="R20" s="370"/>
      <c r="S20" s="368"/>
      <c r="T20" s="368"/>
      <c r="U20" s="368"/>
      <c r="V20" s="368"/>
      <c r="W20" s="374"/>
      <c r="X20" s="371"/>
      <c r="Y20" s="371"/>
    </row>
    <row r="21" spans="2:25">
      <c r="B21" s="366"/>
      <c r="C21" s="366"/>
      <c r="D21" s="368"/>
      <c r="E21" s="366"/>
      <c r="F21" s="367"/>
      <c r="G21" s="368"/>
      <c r="H21" s="368"/>
      <c r="I21" s="368"/>
      <c r="J21" s="368"/>
      <c r="K21" s="369"/>
      <c r="L21" s="369"/>
      <c r="M21" s="369"/>
      <c r="N21" s="369"/>
      <c r="O21" s="368"/>
      <c r="P21" s="370"/>
      <c r="Q21" s="370"/>
      <c r="R21" s="370"/>
      <c r="S21" s="368"/>
      <c r="T21" s="368"/>
      <c r="U21" s="368"/>
      <c r="V21" s="368"/>
      <c r="W21" s="374"/>
      <c r="X21" s="371"/>
      <c r="Y21" s="371"/>
    </row>
    <row r="22" spans="2:25">
      <c r="B22" s="366"/>
      <c r="C22" s="366"/>
      <c r="D22" s="368"/>
      <c r="E22" s="366"/>
      <c r="F22" s="367"/>
      <c r="G22" s="368"/>
      <c r="H22" s="368"/>
      <c r="I22" s="368"/>
      <c r="J22" s="368"/>
      <c r="K22" s="369"/>
      <c r="L22" s="369"/>
      <c r="M22" s="369"/>
      <c r="N22" s="369"/>
      <c r="O22" s="368"/>
      <c r="P22" s="370"/>
      <c r="Q22" s="370"/>
      <c r="R22" s="370"/>
      <c r="S22" s="368"/>
      <c r="T22" s="368"/>
      <c r="U22" s="368"/>
      <c r="V22" s="368"/>
      <c r="W22" s="374"/>
      <c r="X22" s="371"/>
      <c r="Y22" s="371"/>
    </row>
    <row r="23" spans="2:25">
      <c r="B23" s="366"/>
      <c r="C23" s="366"/>
      <c r="D23" s="368"/>
      <c r="E23" s="366"/>
      <c r="F23" s="367"/>
      <c r="G23" s="368"/>
      <c r="H23" s="368"/>
      <c r="I23" s="368"/>
      <c r="J23" s="368"/>
      <c r="K23" s="369"/>
      <c r="L23" s="369"/>
      <c r="M23" s="369"/>
      <c r="N23" s="369"/>
      <c r="O23" s="368"/>
      <c r="P23" s="370"/>
      <c r="Q23" s="370"/>
      <c r="R23" s="370"/>
      <c r="S23" s="368"/>
      <c r="T23" s="368"/>
      <c r="U23" s="368"/>
      <c r="V23" s="368"/>
      <c r="W23" s="374"/>
      <c r="X23" s="371"/>
      <c r="Y23" s="371"/>
    </row>
    <row r="24" spans="2:25">
      <c r="B24" s="366"/>
      <c r="C24" s="366"/>
      <c r="D24" s="368"/>
      <c r="E24" s="366"/>
      <c r="F24" s="367"/>
      <c r="G24" s="368"/>
      <c r="H24" s="368"/>
      <c r="I24" s="368"/>
      <c r="J24" s="368"/>
      <c r="K24" s="369"/>
      <c r="L24" s="369"/>
      <c r="M24" s="369"/>
      <c r="N24" s="369"/>
      <c r="O24" s="368"/>
      <c r="P24" s="370"/>
      <c r="Q24" s="370"/>
      <c r="R24" s="370"/>
      <c r="S24" s="368"/>
      <c r="T24" s="368"/>
      <c r="U24" s="368"/>
      <c r="V24" s="368"/>
      <c r="W24" s="374"/>
      <c r="X24" s="371"/>
      <c r="Y24" s="371"/>
    </row>
    <row r="25" spans="2:25">
      <c r="B25" s="366"/>
      <c r="C25" s="366"/>
      <c r="D25" s="368"/>
      <c r="E25" s="366"/>
      <c r="F25" s="367"/>
      <c r="G25" s="368"/>
      <c r="H25" s="368"/>
      <c r="I25" s="368"/>
      <c r="J25" s="368"/>
      <c r="K25" s="369"/>
      <c r="L25" s="369"/>
      <c r="M25" s="369"/>
      <c r="N25" s="378"/>
      <c r="O25" s="379"/>
      <c r="P25" s="380"/>
      <c r="Q25" s="380"/>
      <c r="R25" s="380"/>
      <c r="S25" s="379"/>
      <c r="T25" s="379"/>
      <c r="U25" s="368"/>
      <c r="V25" s="368"/>
      <c r="W25" s="374"/>
      <c r="X25" s="371"/>
      <c r="Y25" s="371"/>
    </row>
    <row r="26" spans="2:25">
      <c r="B26" s="366"/>
      <c r="C26" s="366"/>
      <c r="D26" s="368"/>
      <c r="E26" s="366"/>
      <c r="F26" s="367"/>
      <c r="G26" s="368"/>
      <c r="H26" s="368"/>
      <c r="I26" s="368"/>
      <c r="J26" s="368"/>
      <c r="K26" s="369"/>
      <c r="L26" s="369"/>
      <c r="M26" s="369"/>
      <c r="N26" s="369"/>
      <c r="O26" s="368"/>
      <c r="P26" s="370"/>
      <c r="Q26" s="370"/>
      <c r="R26" s="370"/>
      <c r="S26" s="368"/>
      <c r="T26" s="368"/>
      <c r="U26" s="368"/>
      <c r="V26" s="368"/>
      <c r="W26" s="374"/>
      <c r="X26" s="371"/>
      <c r="Y26" s="371"/>
    </row>
    <row r="27" spans="2:25">
      <c r="B27" s="366"/>
      <c r="C27" s="366"/>
      <c r="D27" s="368"/>
      <c r="E27" s="366"/>
      <c r="F27" s="367"/>
      <c r="G27" s="368"/>
      <c r="H27" s="368"/>
      <c r="I27" s="368"/>
      <c r="J27" s="368"/>
      <c r="K27" s="369"/>
      <c r="L27" s="369"/>
      <c r="M27" s="369"/>
      <c r="N27" s="369"/>
      <c r="O27" s="368"/>
      <c r="P27" s="370"/>
      <c r="Q27" s="370"/>
      <c r="R27" s="370"/>
      <c r="S27" s="368"/>
      <c r="T27" s="368"/>
      <c r="U27" s="368"/>
      <c r="V27" s="368"/>
      <c r="W27" s="374"/>
      <c r="X27" s="371"/>
      <c r="Y27" s="371"/>
    </row>
    <row r="28" spans="2:25">
      <c r="B28" s="366"/>
      <c r="C28" s="366"/>
      <c r="D28" s="368"/>
      <c r="E28" s="366"/>
      <c r="F28" s="367"/>
      <c r="G28" s="368"/>
      <c r="H28" s="368"/>
      <c r="I28" s="368"/>
      <c r="J28" s="368"/>
      <c r="K28" s="369"/>
      <c r="L28" s="369"/>
      <c r="M28" s="369"/>
      <c r="N28" s="378"/>
      <c r="O28" s="379"/>
      <c r="P28" s="380"/>
      <c r="Q28" s="380"/>
      <c r="R28" s="380"/>
      <c r="S28" s="379"/>
      <c r="T28" s="379"/>
      <c r="U28" s="368"/>
      <c r="V28" s="368"/>
      <c r="W28" s="374"/>
      <c r="X28" s="371"/>
      <c r="Y28" s="371"/>
    </row>
    <row r="29" spans="2:25">
      <c r="B29" s="366"/>
      <c r="C29" s="366"/>
      <c r="D29" s="368"/>
      <c r="E29" s="366"/>
      <c r="F29" s="367"/>
      <c r="G29" s="368"/>
      <c r="H29" s="368"/>
      <c r="I29" s="368"/>
      <c r="J29" s="368"/>
      <c r="K29" s="369"/>
      <c r="L29" s="369"/>
      <c r="M29" s="369"/>
      <c r="N29" s="369"/>
      <c r="O29" s="368"/>
      <c r="P29" s="370"/>
      <c r="Q29" s="370"/>
      <c r="R29" s="370"/>
      <c r="S29" s="368"/>
      <c r="T29" s="368"/>
      <c r="U29" s="368"/>
      <c r="V29" s="368"/>
      <c r="W29" s="374"/>
      <c r="X29" s="371"/>
      <c r="Y29" s="371"/>
    </row>
    <row r="30" spans="2:25">
      <c r="B30" s="366"/>
      <c r="C30" s="366"/>
      <c r="D30" s="368"/>
      <c r="E30" s="366"/>
      <c r="F30" s="367"/>
      <c r="G30" s="368"/>
      <c r="H30" s="368"/>
      <c r="I30" s="368"/>
      <c r="J30" s="368"/>
      <c r="K30" s="369"/>
      <c r="L30" s="369"/>
      <c r="M30" s="369"/>
      <c r="N30" s="369"/>
      <c r="O30" s="368"/>
      <c r="P30" s="370"/>
      <c r="Q30" s="370"/>
      <c r="R30" s="370"/>
      <c r="S30" s="368"/>
      <c r="T30" s="368"/>
      <c r="U30" s="368"/>
      <c r="V30" s="368"/>
      <c r="W30" s="374"/>
      <c r="X30" s="371"/>
      <c r="Y30" s="371"/>
    </row>
    <row r="31" spans="2:25">
      <c r="B31" s="366"/>
      <c r="C31" s="366"/>
      <c r="D31" s="368"/>
      <c r="E31" s="366"/>
      <c r="F31" s="367"/>
      <c r="G31" s="368"/>
      <c r="H31" s="368"/>
      <c r="I31" s="368"/>
      <c r="J31" s="368"/>
      <c r="K31" s="369"/>
      <c r="L31" s="369"/>
      <c r="M31" s="369"/>
      <c r="N31" s="369"/>
      <c r="O31" s="368"/>
      <c r="P31" s="370"/>
      <c r="Q31" s="370"/>
      <c r="R31" s="370"/>
      <c r="S31" s="368"/>
      <c r="T31" s="368"/>
      <c r="U31" s="368"/>
      <c r="V31" s="368"/>
      <c r="W31" s="374"/>
      <c r="X31" s="371"/>
      <c r="Y31" s="371"/>
    </row>
    <row r="32" spans="2:25">
      <c r="B32" s="366"/>
      <c r="C32" s="366"/>
      <c r="D32" s="368"/>
      <c r="E32" s="366"/>
      <c r="F32" s="367"/>
      <c r="G32" s="368"/>
      <c r="H32" s="368"/>
      <c r="I32" s="368"/>
      <c r="J32" s="368"/>
      <c r="K32" s="369"/>
      <c r="L32" s="369"/>
      <c r="M32" s="369"/>
      <c r="N32" s="369"/>
      <c r="O32" s="368"/>
      <c r="P32" s="370"/>
      <c r="Q32" s="370"/>
      <c r="R32" s="370"/>
      <c r="S32" s="368"/>
      <c r="T32" s="368"/>
      <c r="U32" s="368"/>
      <c r="V32" s="368"/>
      <c r="W32" s="374"/>
      <c r="X32" s="371"/>
      <c r="Y32" s="371"/>
    </row>
    <row r="33" spans="2:25">
      <c r="B33" s="366"/>
      <c r="C33" s="366"/>
      <c r="D33" s="368"/>
      <c r="E33" s="366"/>
      <c r="F33" s="367"/>
      <c r="G33" s="368"/>
      <c r="H33" s="368"/>
      <c r="I33" s="368"/>
      <c r="J33" s="368"/>
      <c r="K33" s="369"/>
      <c r="L33" s="369"/>
      <c r="M33" s="369"/>
      <c r="N33" s="369"/>
      <c r="O33" s="368"/>
      <c r="P33" s="370"/>
      <c r="Q33" s="370"/>
      <c r="R33" s="370"/>
      <c r="S33" s="368"/>
      <c r="T33" s="368"/>
      <c r="U33" s="368"/>
      <c r="V33" s="368"/>
      <c r="W33" s="374"/>
      <c r="X33" s="371"/>
      <c r="Y33" s="371"/>
    </row>
    <row r="34" spans="2:25">
      <c r="B34" s="366"/>
      <c r="C34" s="366"/>
      <c r="D34" s="368"/>
      <c r="E34" s="366"/>
      <c r="F34" s="367"/>
      <c r="G34" s="368"/>
      <c r="H34" s="368"/>
      <c r="I34" s="368"/>
      <c r="J34" s="368"/>
      <c r="K34" s="369"/>
      <c r="L34" s="369"/>
      <c r="M34" s="369"/>
      <c r="N34" s="369"/>
      <c r="O34" s="368"/>
      <c r="P34" s="370"/>
      <c r="Q34" s="370"/>
      <c r="R34" s="370"/>
      <c r="S34" s="368"/>
      <c r="T34" s="368"/>
      <c r="U34" s="368"/>
      <c r="V34" s="368"/>
      <c r="W34" s="374"/>
      <c r="X34" s="371"/>
      <c r="Y34" s="371"/>
    </row>
    <row r="35" spans="2:25">
      <c r="B35" s="366"/>
      <c r="C35" s="366"/>
      <c r="D35" s="368"/>
      <c r="E35" s="366"/>
      <c r="F35" s="367"/>
      <c r="G35" s="368"/>
      <c r="H35" s="368"/>
      <c r="I35" s="368"/>
      <c r="J35" s="368"/>
      <c r="K35" s="369"/>
      <c r="L35" s="369"/>
      <c r="M35" s="369"/>
      <c r="N35" s="369"/>
      <c r="O35" s="368"/>
      <c r="P35" s="370"/>
      <c r="Q35" s="370"/>
      <c r="R35" s="370"/>
      <c r="S35" s="368"/>
      <c r="T35" s="368"/>
      <c r="U35" s="368"/>
      <c r="V35" s="368"/>
      <c r="W35" s="374"/>
      <c r="X35" s="371"/>
      <c r="Y35" s="371"/>
    </row>
    <row r="36" spans="2:25">
      <c r="B36" s="366"/>
      <c r="C36" s="366"/>
      <c r="D36" s="368"/>
      <c r="E36" s="366"/>
      <c r="F36" s="367"/>
      <c r="G36" s="368"/>
      <c r="H36" s="368"/>
      <c r="I36" s="368"/>
      <c r="J36" s="368"/>
      <c r="K36" s="369"/>
      <c r="L36" s="369"/>
      <c r="M36" s="369"/>
      <c r="N36" s="369"/>
      <c r="O36" s="368"/>
      <c r="P36" s="370"/>
      <c r="Q36" s="370"/>
      <c r="R36" s="370"/>
      <c r="S36" s="368"/>
      <c r="T36" s="368"/>
      <c r="U36" s="368"/>
      <c r="V36" s="368"/>
      <c r="W36" s="374"/>
      <c r="X36" s="371"/>
      <c r="Y36" s="371"/>
    </row>
    <row r="37" spans="2:25">
      <c r="B37" s="366"/>
      <c r="C37" s="366"/>
      <c r="D37" s="368"/>
      <c r="E37" s="366"/>
      <c r="F37" s="367"/>
      <c r="G37" s="368"/>
      <c r="H37" s="368"/>
      <c r="I37" s="368"/>
      <c r="J37" s="368"/>
      <c r="K37" s="369"/>
      <c r="L37" s="369"/>
      <c r="M37" s="369"/>
      <c r="N37" s="369"/>
      <c r="O37" s="368"/>
      <c r="P37" s="370"/>
      <c r="Q37" s="370"/>
      <c r="R37" s="370"/>
      <c r="S37" s="368"/>
      <c r="T37" s="368"/>
      <c r="U37" s="368"/>
      <c r="V37" s="368"/>
      <c r="W37" s="374"/>
      <c r="X37" s="371"/>
      <c r="Y37" s="371"/>
    </row>
    <row r="38" spans="2:25">
      <c r="B38" s="366"/>
      <c r="C38" s="366"/>
      <c r="D38" s="368"/>
      <c r="E38" s="366"/>
      <c r="F38" s="367"/>
      <c r="G38" s="368"/>
      <c r="H38" s="368"/>
      <c r="I38" s="368"/>
      <c r="J38" s="368"/>
      <c r="K38" s="369"/>
      <c r="L38" s="369"/>
      <c r="M38" s="369"/>
      <c r="N38" s="369"/>
      <c r="O38" s="368"/>
      <c r="P38" s="370"/>
      <c r="Q38" s="370"/>
      <c r="R38" s="370"/>
      <c r="S38" s="368"/>
      <c r="T38" s="368"/>
      <c r="U38" s="368"/>
      <c r="V38" s="368"/>
      <c r="W38" s="374"/>
      <c r="X38" s="371"/>
      <c r="Y38" s="371"/>
    </row>
    <row r="39" spans="2:25">
      <c r="B39" s="366"/>
      <c r="C39" s="366"/>
      <c r="D39" s="368"/>
      <c r="E39" s="366"/>
      <c r="F39" s="367"/>
      <c r="G39" s="368"/>
      <c r="H39" s="368"/>
      <c r="I39" s="368"/>
      <c r="J39" s="368"/>
      <c r="K39" s="369"/>
      <c r="L39" s="369"/>
      <c r="M39" s="369"/>
      <c r="N39" s="369"/>
      <c r="O39" s="368"/>
      <c r="P39" s="370"/>
      <c r="Q39" s="370"/>
      <c r="R39" s="370"/>
      <c r="S39" s="368"/>
      <c r="T39" s="368"/>
      <c r="U39" s="368"/>
      <c r="V39" s="368"/>
      <c r="W39" s="374"/>
      <c r="X39" s="371"/>
      <c r="Y39" s="371"/>
    </row>
    <row r="40" spans="2:25">
      <c r="B40" s="366"/>
      <c r="C40" s="366"/>
      <c r="D40" s="368"/>
      <c r="E40" s="366"/>
      <c r="F40" s="367"/>
      <c r="G40" s="368"/>
      <c r="H40" s="368"/>
      <c r="I40" s="368"/>
      <c r="J40" s="368"/>
      <c r="K40" s="369"/>
      <c r="L40" s="369"/>
      <c r="M40" s="369"/>
      <c r="N40" s="369"/>
      <c r="O40" s="368"/>
      <c r="P40" s="370"/>
      <c r="Q40" s="370"/>
      <c r="R40" s="370"/>
      <c r="S40" s="368"/>
      <c r="T40" s="368"/>
      <c r="U40" s="368"/>
      <c r="V40" s="368"/>
      <c r="W40" s="374"/>
      <c r="X40" s="371"/>
      <c r="Y40" s="371"/>
    </row>
    <row r="41" spans="2:25">
      <c r="B41" s="366"/>
      <c r="C41" s="366"/>
      <c r="D41" s="368"/>
      <c r="E41" s="366"/>
      <c r="F41" s="367"/>
      <c r="G41" s="368"/>
      <c r="H41" s="368"/>
      <c r="I41" s="368"/>
      <c r="J41" s="368"/>
      <c r="K41" s="369"/>
      <c r="L41" s="369"/>
      <c r="M41" s="369"/>
      <c r="N41" s="369"/>
      <c r="O41" s="368"/>
      <c r="P41" s="370"/>
      <c r="Q41" s="370"/>
      <c r="R41" s="370"/>
      <c r="S41" s="368"/>
      <c r="T41" s="368"/>
      <c r="U41" s="368"/>
      <c r="V41" s="368"/>
      <c r="W41" s="374"/>
      <c r="X41" s="371"/>
      <c r="Y41" s="371"/>
    </row>
    <row r="42" spans="2:25">
      <c r="B42" s="366"/>
      <c r="C42" s="366"/>
      <c r="D42" s="368"/>
      <c r="E42" s="366"/>
      <c r="F42" s="367"/>
      <c r="G42" s="368"/>
      <c r="H42" s="368"/>
      <c r="I42" s="368"/>
      <c r="J42" s="368"/>
      <c r="K42" s="369"/>
      <c r="L42" s="369"/>
      <c r="M42" s="369"/>
      <c r="N42" s="378"/>
      <c r="O42" s="379"/>
      <c r="P42" s="380"/>
      <c r="Q42" s="380"/>
      <c r="R42" s="380"/>
      <c r="S42" s="379"/>
      <c r="T42" s="379"/>
      <c r="U42" s="368"/>
      <c r="V42" s="368"/>
      <c r="W42" s="374"/>
      <c r="X42" s="371"/>
      <c r="Y42" s="371"/>
    </row>
    <row r="43" spans="2:25">
      <c r="B43" s="366"/>
      <c r="C43" s="366"/>
      <c r="D43" s="368"/>
      <c r="E43" s="366"/>
      <c r="F43" s="367"/>
      <c r="G43" s="368"/>
      <c r="H43" s="368"/>
      <c r="I43" s="368"/>
      <c r="J43" s="368"/>
      <c r="K43" s="369"/>
      <c r="L43" s="369"/>
      <c r="M43" s="369"/>
      <c r="N43" s="369"/>
      <c r="O43" s="368"/>
      <c r="P43" s="370"/>
      <c r="Q43" s="370"/>
      <c r="R43" s="370"/>
      <c r="S43" s="368"/>
      <c r="T43" s="368"/>
      <c r="U43" s="368"/>
      <c r="V43" s="368"/>
      <c r="W43" s="374"/>
      <c r="X43" s="371"/>
      <c r="Y43" s="371"/>
    </row>
    <row r="44" spans="2:25">
      <c r="B44" s="366"/>
      <c r="C44" s="366"/>
      <c r="D44" s="368"/>
      <c r="E44" s="366"/>
      <c r="F44" s="367"/>
      <c r="G44" s="368"/>
      <c r="H44" s="368"/>
      <c r="I44" s="368"/>
      <c r="J44" s="368"/>
      <c r="K44" s="369"/>
      <c r="L44" s="369"/>
      <c r="M44" s="369"/>
      <c r="N44" s="369"/>
      <c r="O44" s="368"/>
      <c r="P44" s="370"/>
      <c r="Q44" s="370"/>
      <c r="R44" s="370"/>
      <c r="S44" s="368"/>
      <c r="T44" s="368"/>
      <c r="U44" s="368"/>
      <c r="V44" s="368"/>
      <c r="W44" s="374"/>
      <c r="X44" s="371"/>
      <c r="Y44" s="371"/>
    </row>
    <row r="45" spans="2:25">
      <c r="B45" s="366"/>
      <c r="C45" s="366"/>
      <c r="D45" s="368"/>
      <c r="E45" s="366"/>
      <c r="F45" s="367"/>
      <c r="G45" s="368"/>
      <c r="H45" s="368"/>
      <c r="I45" s="368"/>
      <c r="J45" s="368"/>
      <c r="K45" s="369"/>
      <c r="L45" s="369"/>
      <c r="M45" s="369"/>
      <c r="N45" s="378"/>
      <c r="O45" s="379"/>
      <c r="P45" s="380"/>
      <c r="Q45" s="380"/>
      <c r="R45" s="380"/>
      <c r="S45" s="379"/>
      <c r="T45" s="379"/>
      <c r="U45" s="368"/>
      <c r="V45" s="368"/>
      <c r="W45" s="374"/>
      <c r="X45" s="371"/>
      <c r="Y45" s="371"/>
    </row>
    <row r="46" spans="2:25">
      <c r="B46" s="366"/>
      <c r="C46" s="366"/>
      <c r="D46" s="368"/>
      <c r="E46" s="366"/>
      <c r="F46" s="367"/>
      <c r="G46" s="368"/>
      <c r="H46" s="368"/>
      <c r="I46" s="368"/>
      <c r="J46" s="368"/>
      <c r="K46" s="369"/>
      <c r="L46" s="369"/>
      <c r="M46" s="369"/>
      <c r="N46" s="378"/>
      <c r="O46" s="379"/>
      <c r="P46" s="380"/>
      <c r="Q46" s="380"/>
      <c r="R46" s="380"/>
      <c r="S46" s="379"/>
      <c r="T46" s="379"/>
      <c r="U46" s="368"/>
      <c r="V46" s="368"/>
      <c r="W46" s="374"/>
      <c r="X46" s="371"/>
      <c r="Y46" s="371"/>
    </row>
    <row r="47" spans="2:25">
      <c r="B47" s="366"/>
      <c r="C47" s="366"/>
      <c r="D47" s="368"/>
      <c r="E47" s="366"/>
      <c r="F47" s="367"/>
      <c r="G47" s="368"/>
      <c r="H47" s="368"/>
      <c r="I47" s="368"/>
      <c r="J47" s="368"/>
      <c r="K47" s="369"/>
      <c r="L47" s="369"/>
      <c r="M47" s="369"/>
      <c r="N47" s="378"/>
      <c r="O47" s="379"/>
      <c r="P47" s="380"/>
      <c r="Q47" s="380"/>
      <c r="R47" s="380"/>
      <c r="S47" s="379"/>
      <c r="T47" s="379"/>
      <c r="U47" s="368"/>
      <c r="V47" s="368"/>
      <c r="W47" s="374"/>
      <c r="X47" s="371"/>
      <c r="Y47" s="371"/>
    </row>
    <row r="48" spans="2:25">
      <c r="B48" s="366"/>
      <c r="C48" s="366"/>
      <c r="D48" s="368"/>
      <c r="E48" s="366"/>
      <c r="F48" s="367"/>
      <c r="G48" s="368"/>
      <c r="H48" s="368"/>
      <c r="I48" s="368"/>
      <c r="J48" s="368"/>
      <c r="K48" s="369"/>
      <c r="L48" s="369"/>
      <c r="M48" s="369"/>
      <c r="N48" s="369"/>
      <c r="O48" s="368"/>
      <c r="P48" s="370"/>
      <c r="Q48" s="370"/>
      <c r="R48" s="370"/>
      <c r="S48" s="368"/>
      <c r="T48" s="368"/>
      <c r="U48" s="368"/>
      <c r="V48" s="368"/>
      <c r="W48" s="374"/>
      <c r="X48" s="371"/>
      <c r="Y48" s="371"/>
    </row>
    <row r="49" spans="2:25">
      <c r="B49" s="366"/>
      <c r="C49" s="366"/>
      <c r="D49" s="368"/>
      <c r="E49" s="366"/>
      <c r="F49" s="367"/>
      <c r="G49" s="368"/>
      <c r="H49" s="368"/>
      <c r="I49" s="368"/>
      <c r="J49" s="368"/>
      <c r="K49" s="369"/>
      <c r="L49" s="369"/>
      <c r="M49" s="369"/>
      <c r="N49" s="369"/>
      <c r="O49" s="368"/>
      <c r="P49" s="370"/>
      <c r="Q49" s="370"/>
      <c r="R49" s="370"/>
      <c r="S49" s="368"/>
      <c r="T49" s="368"/>
      <c r="U49" s="368"/>
      <c r="V49" s="368"/>
      <c r="W49" s="374"/>
      <c r="X49" s="371"/>
      <c r="Y49" s="371"/>
    </row>
    <row r="50" spans="2:25">
      <c r="B50" s="366"/>
      <c r="C50" s="366"/>
      <c r="D50" s="368"/>
      <c r="E50" s="366"/>
      <c r="F50" s="367"/>
      <c r="G50" s="368"/>
      <c r="H50" s="368"/>
      <c r="I50" s="368"/>
      <c r="J50" s="368"/>
      <c r="K50" s="369"/>
      <c r="L50" s="369"/>
      <c r="M50" s="369"/>
      <c r="N50" s="369"/>
      <c r="O50" s="368"/>
      <c r="P50" s="370"/>
      <c r="Q50" s="370"/>
      <c r="R50" s="370"/>
      <c r="S50" s="368"/>
      <c r="T50" s="368"/>
      <c r="U50" s="368"/>
      <c r="V50" s="368"/>
      <c r="W50" s="374"/>
      <c r="X50" s="371"/>
      <c r="Y50" s="371"/>
    </row>
    <row r="51" spans="2:25">
      <c r="B51" s="366"/>
      <c r="C51" s="366"/>
      <c r="D51" s="368"/>
      <c r="E51" s="366"/>
      <c r="F51" s="367"/>
      <c r="G51" s="368"/>
      <c r="H51" s="368"/>
      <c r="I51" s="368"/>
      <c r="J51" s="368"/>
      <c r="K51" s="369"/>
      <c r="L51" s="369"/>
      <c r="M51" s="369"/>
      <c r="N51" s="369"/>
      <c r="O51" s="368"/>
      <c r="P51" s="370"/>
      <c r="Q51" s="370"/>
      <c r="R51" s="370"/>
      <c r="S51" s="368"/>
      <c r="T51" s="368"/>
      <c r="U51" s="368"/>
      <c r="V51" s="368"/>
      <c r="W51" s="374"/>
      <c r="X51" s="371"/>
      <c r="Y51" s="371"/>
    </row>
    <row r="52" spans="2:25">
      <c r="B52" s="366"/>
      <c r="C52" s="366"/>
      <c r="D52" s="368"/>
      <c r="E52" s="366"/>
      <c r="F52" s="367"/>
      <c r="G52" s="368"/>
      <c r="H52" s="368"/>
      <c r="I52" s="368"/>
      <c r="J52" s="368"/>
      <c r="K52" s="369"/>
      <c r="L52" s="369"/>
      <c r="M52" s="369"/>
      <c r="N52" s="378"/>
      <c r="O52" s="379"/>
      <c r="P52" s="380"/>
      <c r="Q52" s="380"/>
      <c r="R52" s="380"/>
      <c r="S52" s="379"/>
      <c r="T52" s="379"/>
      <c r="U52" s="368"/>
      <c r="V52" s="368"/>
      <c r="W52" s="374"/>
      <c r="X52" s="371"/>
      <c r="Y52" s="371"/>
    </row>
    <row r="53" spans="2:25">
      <c r="B53" s="366"/>
      <c r="C53" s="366"/>
      <c r="D53" s="368"/>
      <c r="E53" s="366"/>
      <c r="F53" s="367"/>
      <c r="G53" s="368"/>
      <c r="H53" s="368"/>
      <c r="I53" s="368"/>
      <c r="J53" s="368"/>
      <c r="K53" s="369"/>
      <c r="L53" s="369"/>
      <c r="M53" s="369"/>
      <c r="N53" s="369"/>
      <c r="O53" s="368"/>
      <c r="P53" s="366"/>
      <c r="Q53" s="366"/>
      <c r="R53" s="366"/>
      <c r="S53" s="366"/>
      <c r="T53" s="369"/>
      <c r="U53" s="368"/>
      <c r="V53" s="368"/>
      <c r="W53" s="374"/>
      <c r="X53" s="371"/>
      <c r="Y53" s="371"/>
    </row>
    <row r="54" spans="2:25">
      <c r="B54" s="366"/>
      <c r="C54" s="366"/>
      <c r="D54" s="368"/>
      <c r="E54" s="366"/>
      <c r="F54" s="367"/>
      <c r="G54" s="366"/>
      <c r="H54" s="369"/>
      <c r="I54" s="368"/>
      <c r="J54" s="368"/>
      <c r="K54" s="366"/>
      <c r="L54" s="369"/>
      <c r="M54" s="369"/>
      <c r="N54" s="369"/>
      <c r="O54" s="368"/>
      <c r="P54" s="366"/>
      <c r="Q54" s="366"/>
      <c r="R54" s="366"/>
      <c r="S54" s="369"/>
      <c r="T54" s="369"/>
      <c r="U54" s="381"/>
      <c r="W54" s="374"/>
      <c r="X54" s="371"/>
      <c r="Y54" s="371"/>
    </row>
    <row r="55" spans="2:25">
      <c r="B55" s="366"/>
      <c r="C55" s="366"/>
      <c r="D55" s="368"/>
      <c r="E55" s="366"/>
      <c r="F55" s="367"/>
      <c r="G55" s="366"/>
      <c r="H55" s="369"/>
      <c r="I55" s="368"/>
      <c r="J55" s="368"/>
      <c r="K55" s="366"/>
      <c r="L55" s="369"/>
      <c r="M55" s="369"/>
      <c r="N55" s="369"/>
      <c r="O55" s="368"/>
      <c r="P55" s="366"/>
      <c r="Q55" s="366"/>
      <c r="R55" s="366"/>
      <c r="S55" s="369"/>
      <c r="T55" s="369"/>
      <c r="U55" s="381"/>
      <c r="W55" s="374"/>
      <c r="X55" s="371"/>
      <c r="Y55" s="371"/>
    </row>
    <row r="56" spans="2:25">
      <c r="B56" s="366"/>
      <c r="C56" s="366"/>
      <c r="D56" s="368"/>
      <c r="E56" s="366"/>
      <c r="F56" s="367"/>
      <c r="G56" s="366"/>
      <c r="H56" s="369"/>
      <c r="I56" s="368"/>
      <c r="J56" s="368"/>
      <c r="K56" s="366"/>
      <c r="L56" s="369"/>
      <c r="M56" s="369"/>
      <c r="N56" s="369"/>
      <c r="O56" s="368"/>
      <c r="P56" s="366"/>
      <c r="Q56" s="366"/>
      <c r="R56" s="366"/>
      <c r="S56" s="369"/>
      <c r="T56" s="369"/>
      <c r="U56" s="381"/>
      <c r="W56" s="374"/>
      <c r="X56" s="371"/>
      <c r="Y56" s="371"/>
    </row>
    <row r="57" spans="2:25">
      <c r="B57" s="366"/>
      <c r="C57" s="366"/>
      <c r="D57" s="368"/>
      <c r="E57" s="366"/>
      <c r="F57" s="367"/>
      <c r="G57" s="366"/>
      <c r="H57" s="369"/>
      <c r="I57" s="368"/>
      <c r="J57" s="368"/>
      <c r="K57" s="366"/>
      <c r="L57" s="369"/>
      <c r="M57" s="369"/>
      <c r="N57" s="369"/>
      <c r="O57" s="368"/>
      <c r="P57" s="366"/>
      <c r="Q57" s="366"/>
      <c r="R57" s="366"/>
      <c r="S57" s="369"/>
      <c r="T57" s="369"/>
      <c r="U57" s="381"/>
      <c r="X57" s="371"/>
      <c r="Y57" s="371"/>
    </row>
    <row r="58" spans="2:25">
      <c r="B58" s="366"/>
      <c r="C58" s="366"/>
      <c r="D58" s="368"/>
      <c r="E58" s="366"/>
      <c r="F58" s="367"/>
      <c r="G58" s="366"/>
      <c r="H58" s="369"/>
      <c r="I58" s="368"/>
      <c r="J58" s="368"/>
      <c r="K58" s="366"/>
      <c r="L58" s="369"/>
      <c r="M58" s="369"/>
      <c r="N58" s="369"/>
      <c r="O58" s="368"/>
      <c r="P58" s="366"/>
      <c r="Q58" s="366"/>
      <c r="R58" s="366"/>
      <c r="S58" s="369"/>
      <c r="T58" s="369"/>
      <c r="U58" s="381"/>
      <c r="W58" s="374"/>
      <c r="X58" s="371"/>
      <c r="Y58" s="371"/>
    </row>
    <row r="59" spans="2:25">
      <c r="B59" s="366"/>
      <c r="C59" s="366"/>
      <c r="D59" s="368"/>
      <c r="E59" s="366"/>
      <c r="F59" s="367"/>
      <c r="G59" s="366"/>
      <c r="H59" s="369"/>
      <c r="I59" s="368"/>
      <c r="J59" s="368"/>
      <c r="K59" s="366"/>
      <c r="L59" s="369"/>
      <c r="M59" s="369"/>
      <c r="N59" s="369"/>
      <c r="O59" s="368"/>
      <c r="P59" s="366"/>
      <c r="Q59" s="366"/>
      <c r="R59" s="366"/>
      <c r="S59" s="369"/>
      <c r="T59" s="369"/>
      <c r="U59" s="381"/>
      <c r="W59" s="374"/>
      <c r="X59" s="371"/>
      <c r="Y59" s="371"/>
    </row>
    <row r="60" spans="2:25">
      <c r="B60" s="366"/>
      <c r="C60" s="366"/>
      <c r="D60" s="368"/>
      <c r="E60" s="366"/>
      <c r="F60" s="367"/>
      <c r="G60" s="366"/>
      <c r="H60" s="369"/>
      <c r="I60" s="368"/>
      <c r="J60" s="368"/>
      <c r="K60" s="366"/>
      <c r="L60" s="369"/>
      <c r="M60" s="369"/>
      <c r="N60" s="369"/>
      <c r="O60" s="368"/>
      <c r="P60" s="366"/>
      <c r="Q60" s="366"/>
      <c r="R60" s="366"/>
      <c r="S60" s="369"/>
      <c r="T60" s="369"/>
      <c r="U60" s="381"/>
      <c r="W60" s="374"/>
      <c r="X60" s="371"/>
      <c r="Y60" s="371"/>
    </row>
    <row r="61" spans="2:25">
      <c r="H61" s="371"/>
      <c r="I61" s="382"/>
      <c r="K61" s="382"/>
      <c r="L61" s="382"/>
      <c r="M61" s="382"/>
      <c r="S61" s="371"/>
      <c r="U61" s="381"/>
    </row>
    <row r="62" spans="2:25">
      <c r="G62" s="382"/>
      <c r="U62" s="381"/>
    </row>
    <row r="63" spans="2:25">
      <c r="J63" s="371"/>
      <c r="U63" s="381"/>
    </row>
    <row r="64" spans="2:25">
      <c r="J64" s="20"/>
      <c r="K64" s="371"/>
      <c r="L64" s="371"/>
      <c r="M64" s="371"/>
      <c r="P64" s="20"/>
      <c r="U64" s="381"/>
    </row>
    <row r="65" spans="3:24">
      <c r="U65" s="381"/>
    </row>
    <row r="67" spans="3:24">
      <c r="D67" s="382">
        <f>+SUM(D6:D60)</f>
        <v>109789311</v>
      </c>
      <c r="G67" s="383"/>
      <c r="H67" s="383"/>
      <c r="I67" s="383"/>
      <c r="J67" s="383"/>
      <c r="K67" s="371"/>
      <c r="L67" s="371"/>
      <c r="M67" s="371"/>
      <c r="N67" s="371"/>
      <c r="S67" s="384"/>
      <c r="T67" s="384"/>
      <c r="U67" s="383"/>
      <c r="X67" s="371"/>
    </row>
    <row r="68" spans="3:24">
      <c r="C68" t="s">
        <v>2131</v>
      </c>
      <c r="D68" s="381">
        <v>6484305</v>
      </c>
      <c r="G68" s="381"/>
      <c r="H68" s="381"/>
      <c r="I68" s="381"/>
      <c r="K68" s="371"/>
      <c r="L68" s="371"/>
      <c r="M68" s="371"/>
      <c r="N68" s="371"/>
      <c r="S68" s="371"/>
    </row>
    <row r="69" spans="3:24" hidden="1">
      <c r="D69" s="371">
        <f>+D68-D67</f>
        <v>-103305006</v>
      </c>
      <c r="G69" s="371"/>
      <c r="H69" s="371"/>
      <c r="I69" s="371"/>
      <c r="K69" s="371"/>
      <c r="L69" s="371"/>
      <c r="M69" s="371"/>
      <c r="N69" s="371"/>
    </row>
    <row r="70" spans="3:24">
      <c r="D70" s="371">
        <f>+D67-D68</f>
        <v>103305006</v>
      </c>
      <c r="G70" s="371"/>
      <c r="H70" s="371"/>
      <c r="I70" s="371"/>
      <c r="K70" s="371"/>
      <c r="L70" s="371"/>
      <c r="M70" s="371"/>
      <c r="N70" s="371"/>
    </row>
    <row r="71" spans="3:24">
      <c r="D71" s="371"/>
      <c r="G71" s="371"/>
      <c r="H71" s="371"/>
      <c r="I71" s="371"/>
      <c r="K71" s="371"/>
      <c r="L71" s="371"/>
      <c r="M71" s="371"/>
      <c r="N71" s="371"/>
    </row>
    <row r="72" spans="3:24">
      <c r="D72" s="371"/>
      <c r="G72" s="371"/>
      <c r="H72" s="371"/>
      <c r="I72" s="371"/>
      <c r="K72" s="371"/>
      <c r="L72" s="371"/>
      <c r="M72" s="371"/>
      <c r="N72" s="371"/>
    </row>
    <row r="73" spans="3:24">
      <c r="E73" s="371"/>
    </row>
    <row r="74" spans="3:24">
      <c r="D74" s="100"/>
    </row>
    <row r="75" spans="3:24">
      <c r="E75" s="100"/>
    </row>
    <row r="76" spans="3:24">
      <c r="E76" s="100"/>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741"/>
  <sheetViews>
    <sheetView topLeftCell="A717" workbookViewId="0">
      <selection activeCell="F741" sqref="F741"/>
    </sheetView>
  </sheetViews>
  <sheetFormatPr defaultRowHeight="14.4"/>
  <cols>
    <col min="1" max="1" width="54.44140625" bestFit="1" customWidth="1"/>
    <col min="2" max="2" width="15.44140625" bestFit="1" customWidth="1"/>
    <col min="3" max="4" width="14.44140625" bestFit="1" customWidth="1"/>
    <col min="5" max="5" width="15.44140625" bestFit="1" customWidth="1"/>
  </cols>
  <sheetData>
    <row r="1" spans="1:6" ht="15.6">
      <c r="A1" s="3243" t="s">
        <v>2364</v>
      </c>
      <c r="B1" s="3243"/>
      <c r="C1" s="3243"/>
      <c r="D1" s="467"/>
      <c r="E1" s="467"/>
    </row>
    <row r="2" spans="1:6" ht="15.6">
      <c r="A2" s="3243" t="s">
        <v>81</v>
      </c>
      <c r="B2" s="3243"/>
      <c r="C2" s="3243"/>
      <c r="D2" s="467"/>
      <c r="E2" s="467"/>
    </row>
    <row r="3" spans="1:6">
      <c r="A3" s="3244" t="s">
        <v>2177</v>
      </c>
      <c r="B3" s="3244"/>
      <c r="C3" s="3244"/>
      <c r="D3" s="467"/>
      <c r="E3" s="467"/>
    </row>
    <row r="4" spans="1:6">
      <c r="A4" s="3245" t="s">
        <v>82</v>
      </c>
      <c r="B4" s="3245"/>
      <c r="C4" s="3245"/>
      <c r="D4" s="3245"/>
      <c r="E4" s="3245"/>
    </row>
    <row r="5" spans="1:6">
      <c r="A5" s="3246" t="s">
        <v>1</v>
      </c>
      <c r="B5" s="3247"/>
      <c r="C5" s="3247"/>
      <c r="D5" s="3247"/>
      <c r="E5" s="3247"/>
    </row>
    <row r="6" spans="1:6">
      <c r="A6" s="3248" t="s">
        <v>82</v>
      </c>
      <c r="B6" s="3249"/>
      <c r="C6" s="3249"/>
      <c r="D6" s="3250"/>
      <c r="E6" s="500" t="s">
        <v>1333</v>
      </c>
    </row>
    <row r="7" spans="1:6">
      <c r="A7" s="3232" t="s">
        <v>82</v>
      </c>
      <c r="B7" s="3233"/>
      <c r="C7" s="3234"/>
      <c r="D7" s="468" t="s">
        <v>67</v>
      </c>
      <c r="E7" s="496" t="s">
        <v>1196</v>
      </c>
    </row>
    <row r="8" spans="1:6">
      <c r="A8" s="489" t="s">
        <v>84</v>
      </c>
      <c r="B8" s="3235">
        <v>7147460</v>
      </c>
      <c r="C8" s="3236"/>
      <c r="D8" s="3236"/>
      <c r="E8" s="3237"/>
    </row>
    <row r="9" spans="1:6">
      <c r="A9" s="497" t="s">
        <v>85</v>
      </c>
      <c r="B9" s="3238">
        <v>7147460</v>
      </c>
      <c r="C9" s="3239"/>
      <c r="D9" s="3239"/>
      <c r="E9" s="3240"/>
    </row>
    <row r="10" spans="1:6">
      <c r="A10" s="490" t="s">
        <v>86</v>
      </c>
      <c r="B10" s="501">
        <v>15937156.25</v>
      </c>
      <c r="C10" s="3241">
        <v>208056154.09999999</v>
      </c>
      <c r="D10" s="3242"/>
      <c r="E10" s="491">
        <v>816738.1</v>
      </c>
    </row>
    <row r="11" spans="1:6">
      <c r="A11" s="529" t="s">
        <v>87</v>
      </c>
      <c r="B11" s="532"/>
      <c r="C11" s="531">
        <v>30000</v>
      </c>
      <c r="D11" s="530"/>
      <c r="E11" s="533">
        <v>30000</v>
      </c>
    </row>
    <row r="12" spans="1:6">
      <c r="A12" s="534" t="s">
        <v>2365</v>
      </c>
      <c r="B12" s="480"/>
      <c r="C12" s="499">
        <v>30000</v>
      </c>
      <c r="D12" s="502"/>
      <c r="E12" s="492">
        <v>30000</v>
      </c>
    </row>
    <row r="13" spans="1:6">
      <c r="A13" s="469" t="s">
        <v>89</v>
      </c>
      <c r="B13" s="535">
        <v>7151174.1100000003</v>
      </c>
      <c r="C13" s="536">
        <v>178119328.09999999</v>
      </c>
      <c r="D13" s="536">
        <v>172104736.75</v>
      </c>
      <c r="E13" s="535">
        <v>1136582.76</v>
      </c>
    </row>
    <row r="14" spans="1:6">
      <c r="A14" s="537" t="s">
        <v>946</v>
      </c>
      <c r="B14" s="535">
        <v>3593445.93</v>
      </c>
      <c r="C14" s="499">
        <v>44365684</v>
      </c>
      <c r="D14" s="499">
        <v>47283340</v>
      </c>
      <c r="E14" s="535">
        <v>6511101.9299999997</v>
      </c>
    </row>
    <row r="15" spans="1:6">
      <c r="A15" s="538" t="s">
        <v>557</v>
      </c>
      <c r="B15" s="473">
        <v>938288.93</v>
      </c>
      <c r="C15" s="472">
        <v>525000</v>
      </c>
      <c r="D15" s="472">
        <v>562000</v>
      </c>
      <c r="E15" s="473">
        <v>975288.93</v>
      </c>
      <c r="F15" s="515" t="s">
        <v>1643</v>
      </c>
    </row>
    <row r="16" spans="1:6">
      <c r="A16" s="548" t="s">
        <v>2210</v>
      </c>
      <c r="B16" s="545"/>
      <c r="C16" s="544">
        <v>83200</v>
      </c>
      <c r="D16" s="544">
        <v>83200</v>
      </c>
      <c r="E16" s="545"/>
    </row>
    <row r="17" spans="1:6">
      <c r="A17" s="539" t="s">
        <v>2211</v>
      </c>
      <c r="B17" s="477"/>
      <c r="C17" s="475">
        <v>297450</v>
      </c>
      <c r="D17" s="475">
        <v>295175</v>
      </c>
      <c r="E17" s="484">
        <v>2275</v>
      </c>
    </row>
    <row r="18" spans="1:6">
      <c r="A18" s="542" t="s">
        <v>1889</v>
      </c>
      <c r="B18" s="543">
        <v>12154</v>
      </c>
      <c r="C18" s="544">
        <v>215141</v>
      </c>
      <c r="D18" s="544">
        <v>202987</v>
      </c>
      <c r="E18" s="545"/>
    </row>
    <row r="19" spans="1:6">
      <c r="A19" s="546" t="s">
        <v>1294</v>
      </c>
      <c r="B19" s="543">
        <v>8000</v>
      </c>
      <c r="C19" s="544">
        <v>8000</v>
      </c>
      <c r="D19" s="547"/>
      <c r="E19" s="545"/>
    </row>
    <row r="20" spans="1:6">
      <c r="A20" s="538" t="s">
        <v>1890</v>
      </c>
      <c r="B20" s="477"/>
      <c r="C20" s="475">
        <v>663248</v>
      </c>
      <c r="D20" s="475">
        <v>488248</v>
      </c>
      <c r="E20" s="484">
        <v>175000</v>
      </c>
    </row>
    <row r="21" spans="1:6">
      <c r="A21" s="542" t="s">
        <v>1891</v>
      </c>
      <c r="B21" s="545"/>
      <c r="C21" s="544">
        <v>28945</v>
      </c>
      <c r="D21" s="544">
        <v>28945</v>
      </c>
      <c r="E21" s="545"/>
    </row>
    <row r="22" spans="1:6">
      <c r="A22" s="538" t="s">
        <v>1892</v>
      </c>
      <c r="B22" s="474">
        <v>500045</v>
      </c>
      <c r="C22" s="472">
        <v>737726</v>
      </c>
      <c r="D22" s="472">
        <v>1230705</v>
      </c>
      <c r="E22" s="474">
        <v>7066</v>
      </c>
    </row>
    <row r="23" spans="1:6">
      <c r="A23" s="542" t="s">
        <v>1670</v>
      </c>
      <c r="B23" s="549"/>
      <c r="C23" s="550">
        <v>37800</v>
      </c>
      <c r="D23" s="550">
        <v>37800</v>
      </c>
      <c r="E23" s="549"/>
    </row>
    <row r="24" spans="1:6">
      <c r="A24" s="538" t="s">
        <v>969</v>
      </c>
      <c r="B24" s="485">
        <v>144197</v>
      </c>
      <c r="C24" s="475">
        <v>234633</v>
      </c>
      <c r="D24" s="475">
        <v>319468</v>
      </c>
      <c r="E24" s="485">
        <v>229032</v>
      </c>
      <c r="F24" s="515" t="s">
        <v>1552</v>
      </c>
    </row>
    <row r="25" spans="1:6">
      <c r="A25" s="538" t="s">
        <v>1381</v>
      </c>
      <c r="B25" s="485">
        <v>3845</v>
      </c>
      <c r="C25" s="475">
        <v>28650</v>
      </c>
      <c r="D25" s="475">
        <v>28650</v>
      </c>
      <c r="E25" s="485">
        <v>3845</v>
      </c>
      <c r="F25" s="515" t="s">
        <v>1552</v>
      </c>
    </row>
    <row r="26" spans="1:6">
      <c r="A26" s="538" t="s">
        <v>1893</v>
      </c>
      <c r="B26" s="483">
        <v>100000</v>
      </c>
      <c r="C26" s="499">
        <v>770920</v>
      </c>
      <c r="D26" s="499">
        <v>1149320</v>
      </c>
      <c r="E26" s="535">
        <v>278400</v>
      </c>
      <c r="F26" s="515"/>
    </row>
    <row r="27" spans="1:6">
      <c r="A27" s="537" t="s">
        <v>563</v>
      </c>
      <c r="B27" s="485">
        <v>21700</v>
      </c>
      <c r="C27" s="475">
        <v>158200</v>
      </c>
      <c r="D27" s="475">
        <v>60000</v>
      </c>
      <c r="E27" s="484">
        <v>76500</v>
      </c>
    </row>
    <row r="28" spans="1:6">
      <c r="A28" s="542" t="s">
        <v>1894</v>
      </c>
      <c r="B28" s="545"/>
      <c r="C28" s="544">
        <v>6000</v>
      </c>
      <c r="D28" s="544">
        <v>6000</v>
      </c>
      <c r="E28" s="545"/>
    </row>
    <row r="29" spans="1:6">
      <c r="A29" s="538" t="s">
        <v>1292</v>
      </c>
      <c r="B29" s="484">
        <v>525000</v>
      </c>
      <c r="C29" s="477"/>
      <c r="D29" s="477"/>
      <c r="E29" s="484">
        <v>525000</v>
      </c>
      <c r="F29" s="515" t="s">
        <v>1575</v>
      </c>
    </row>
    <row r="30" spans="1:6">
      <c r="A30" s="539" t="s">
        <v>564</v>
      </c>
      <c r="B30" s="485">
        <v>300647</v>
      </c>
      <c r="C30" s="475">
        <v>3560790</v>
      </c>
      <c r="D30" s="475">
        <v>3780000</v>
      </c>
      <c r="E30" s="485">
        <v>519857</v>
      </c>
      <c r="F30" s="515" t="s">
        <v>1552</v>
      </c>
    </row>
    <row r="31" spans="1:6">
      <c r="A31" s="542" t="s">
        <v>1896</v>
      </c>
      <c r="B31" s="545"/>
      <c r="C31" s="544">
        <v>21503</v>
      </c>
      <c r="D31" s="544">
        <v>21503</v>
      </c>
      <c r="E31" s="545"/>
    </row>
    <row r="32" spans="1:6">
      <c r="A32" s="534" t="s">
        <v>565</v>
      </c>
      <c r="B32" s="485">
        <v>393093</v>
      </c>
      <c r="C32" s="475">
        <v>4572483</v>
      </c>
      <c r="D32" s="475">
        <v>4558076</v>
      </c>
      <c r="E32" s="485">
        <v>378686</v>
      </c>
      <c r="F32" s="515" t="s">
        <v>1550</v>
      </c>
    </row>
    <row r="33" spans="1:6">
      <c r="A33" s="542" t="s">
        <v>2213</v>
      </c>
      <c r="B33" s="545"/>
      <c r="C33" s="544">
        <v>664627</v>
      </c>
      <c r="D33" s="544">
        <v>664627</v>
      </c>
      <c r="E33" s="545"/>
    </row>
    <row r="34" spans="1:6">
      <c r="A34" s="534" t="s">
        <v>566</v>
      </c>
      <c r="B34" s="485">
        <v>9924</v>
      </c>
      <c r="C34" s="475">
        <v>59153</v>
      </c>
      <c r="D34" s="475">
        <v>62043</v>
      </c>
      <c r="E34" s="485">
        <v>12814</v>
      </c>
      <c r="F34" s="515" t="s">
        <v>1552</v>
      </c>
    </row>
    <row r="35" spans="1:6">
      <c r="A35" s="534" t="s">
        <v>567</v>
      </c>
      <c r="B35" s="473">
        <v>107343</v>
      </c>
      <c r="C35" s="472">
        <v>627815</v>
      </c>
      <c r="D35" s="472">
        <v>628164</v>
      </c>
      <c r="E35" s="473">
        <v>107692</v>
      </c>
      <c r="F35" s="515" t="s">
        <v>1552</v>
      </c>
    </row>
    <row r="36" spans="1:6">
      <c r="A36" s="542" t="s">
        <v>1897</v>
      </c>
      <c r="B36" s="545"/>
      <c r="C36" s="544">
        <v>24802</v>
      </c>
      <c r="D36" s="544">
        <v>24802</v>
      </c>
      <c r="E36" s="545"/>
    </row>
    <row r="37" spans="1:6">
      <c r="A37" s="538" t="s">
        <v>569</v>
      </c>
      <c r="B37" s="485">
        <v>2196990</v>
      </c>
      <c r="C37" s="475">
        <v>29182871</v>
      </c>
      <c r="D37" s="475">
        <v>31443369</v>
      </c>
      <c r="E37" s="485">
        <v>4457488</v>
      </c>
      <c r="F37" s="515" t="s">
        <v>1552</v>
      </c>
    </row>
    <row r="38" spans="1:6">
      <c r="A38" s="542" t="s">
        <v>2214</v>
      </c>
      <c r="B38" s="545"/>
      <c r="C38" s="544">
        <v>12000</v>
      </c>
      <c r="D38" s="544">
        <v>12000</v>
      </c>
      <c r="E38" s="545"/>
    </row>
    <row r="39" spans="1:6">
      <c r="A39" s="538" t="s">
        <v>1383</v>
      </c>
      <c r="B39" s="485">
        <v>40260</v>
      </c>
      <c r="C39" s="475">
        <v>82760</v>
      </c>
      <c r="D39" s="475">
        <v>55905</v>
      </c>
      <c r="E39" s="485">
        <v>13405</v>
      </c>
      <c r="F39" s="515" t="s">
        <v>1552</v>
      </c>
    </row>
    <row r="40" spans="1:6">
      <c r="A40" s="548" t="s">
        <v>1901</v>
      </c>
      <c r="B40" s="549"/>
      <c r="C40" s="550">
        <v>109500</v>
      </c>
      <c r="D40" s="550">
        <v>109500</v>
      </c>
      <c r="E40" s="549"/>
    </row>
    <row r="41" spans="1:6">
      <c r="A41" s="538" t="s">
        <v>2215</v>
      </c>
      <c r="B41" s="470"/>
      <c r="C41" s="472">
        <v>10000</v>
      </c>
      <c r="D41" s="471"/>
      <c r="E41" s="474">
        <v>10000</v>
      </c>
    </row>
    <row r="42" spans="1:6">
      <c r="A42" s="548" t="s">
        <v>573</v>
      </c>
      <c r="B42" s="545"/>
      <c r="C42" s="544">
        <v>21476</v>
      </c>
      <c r="D42" s="544">
        <v>21476</v>
      </c>
      <c r="E42" s="545"/>
    </row>
    <row r="43" spans="1:6">
      <c r="A43" s="534" t="s">
        <v>68</v>
      </c>
      <c r="B43" s="473">
        <v>542049</v>
      </c>
      <c r="C43" s="472">
        <v>1620991</v>
      </c>
      <c r="D43" s="472">
        <v>1409377</v>
      </c>
      <c r="E43" s="473">
        <v>330435</v>
      </c>
      <c r="F43" s="515" t="s">
        <v>1551</v>
      </c>
    </row>
    <row r="44" spans="1:6">
      <c r="A44" s="551" t="s">
        <v>90</v>
      </c>
      <c r="B44" s="552">
        <v>2922093.65</v>
      </c>
      <c r="C44" s="553">
        <v>50962737.399999999</v>
      </c>
      <c r="D44" s="553">
        <v>49837032.75</v>
      </c>
      <c r="E44" s="552">
        <v>1796389</v>
      </c>
    </row>
    <row r="45" spans="1:6">
      <c r="A45" s="538" t="s">
        <v>2224</v>
      </c>
      <c r="B45" s="470"/>
      <c r="C45" s="472">
        <v>86140</v>
      </c>
      <c r="D45" s="471"/>
      <c r="E45" s="474">
        <v>86140</v>
      </c>
    </row>
    <row r="46" spans="1:6">
      <c r="A46" s="546" t="s">
        <v>2225</v>
      </c>
      <c r="B46" s="545"/>
      <c r="C46" s="544">
        <v>96900</v>
      </c>
      <c r="D46" s="544">
        <v>96900</v>
      </c>
      <c r="E46" s="545"/>
    </row>
    <row r="47" spans="1:6">
      <c r="A47" s="538" t="s">
        <v>1289</v>
      </c>
      <c r="B47" s="473">
        <v>79379</v>
      </c>
      <c r="C47" s="472">
        <v>249823</v>
      </c>
      <c r="D47" s="472">
        <v>206134.75</v>
      </c>
      <c r="E47" s="473">
        <v>35690.75</v>
      </c>
      <c r="F47" t="s">
        <v>1548</v>
      </c>
    </row>
    <row r="48" spans="1:6">
      <c r="A48" s="546" t="s">
        <v>2226</v>
      </c>
      <c r="B48" s="545"/>
      <c r="C48" s="544">
        <v>274350</v>
      </c>
      <c r="D48" s="544">
        <v>274350</v>
      </c>
      <c r="E48" s="545"/>
    </row>
    <row r="49" spans="1:6">
      <c r="A49" s="542" t="s">
        <v>1385</v>
      </c>
      <c r="B49" s="543">
        <v>74222</v>
      </c>
      <c r="C49" s="544">
        <v>135287</v>
      </c>
      <c r="D49" s="544">
        <v>61065</v>
      </c>
      <c r="E49" s="545"/>
    </row>
    <row r="50" spans="1:6">
      <c r="A50" s="542" t="s">
        <v>2227</v>
      </c>
      <c r="B50" s="545"/>
      <c r="C50" s="544">
        <v>3800</v>
      </c>
      <c r="D50" s="544">
        <v>3800</v>
      </c>
      <c r="E50" s="545"/>
    </row>
    <row r="51" spans="1:6">
      <c r="A51" s="548" t="s">
        <v>2228</v>
      </c>
      <c r="B51" s="549"/>
      <c r="C51" s="550">
        <v>123310</v>
      </c>
      <c r="D51" s="550">
        <v>123310</v>
      </c>
      <c r="E51" s="549"/>
    </row>
    <row r="52" spans="1:6">
      <c r="A52" s="542" t="s">
        <v>2229</v>
      </c>
      <c r="B52" s="545"/>
      <c r="C52" s="544">
        <v>63060</v>
      </c>
      <c r="D52" s="544">
        <v>63060</v>
      </c>
      <c r="E52" s="545"/>
    </row>
    <row r="53" spans="1:6">
      <c r="A53" s="534" t="s">
        <v>1906</v>
      </c>
      <c r="B53" s="470"/>
      <c r="C53" s="472">
        <v>2246530</v>
      </c>
      <c r="D53" s="472">
        <v>2251657</v>
      </c>
      <c r="E53" s="473">
        <v>5127</v>
      </c>
    </row>
    <row r="54" spans="1:6">
      <c r="A54" s="542" t="s">
        <v>1907</v>
      </c>
      <c r="B54" s="556">
        <v>240000</v>
      </c>
      <c r="C54" s="550">
        <v>242903</v>
      </c>
      <c r="D54" s="550">
        <v>482903</v>
      </c>
      <c r="E54" s="549"/>
    </row>
    <row r="55" spans="1:6">
      <c r="A55" s="542" t="s">
        <v>1909</v>
      </c>
      <c r="B55" s="545"/>
      <c r="C55" s="544">
        <v>80073</v>
      </c>
      <c r="D55" s="544">
        <v>80073</v>
      </c>
      <c r="E55" s="545"/>
    </row>
    <row r="56" spans="1:6">
      <c r="A56" s="534" t="s">
        <v>2230</v>
      </c>
      <c r="B56" s="470"/>
      <c r="C56" s="472">
        <v>738759.8</v>
      </c>
      <c r="D56" s="472">
        <v>769405.8</v>
      </c>
      <c r="E56" s="473">
        <v>30646</v>
      </c>
      <c r="F56" s="515"/>
    </row>
    <row r="57" spans="1:6">
      <c r="A57" s="548" t="s">
        <v>1910</v>
      </c>
      <c r="B57" s="556">
        <v>9399</v>
      </c>
      <c r="C57" s="549"/>
      <c r="D57" s="550">
        <v>9399</v>
      </c>
      <c r="E57" s="549"/>
    </row>
    <row r="58" spans="1:6">
      <c r="A58" s="538" t="s">
        <v>2231</v>
      </c>
      <c r="B58" s="470"/>
      <c r="C58" s="472">
        <v>6233137</v>
      </c>
      <c r="D58" s="472">
        <v>6295114</v>
      </c>
      <c r="E58" s="473">
        <v>61977</v>
      </c>
    </row>
    <row r="59" spans="1:6">
      <c r="A59" s="538" t="s">
        <v>1911</v>
      </c>
      <c r="B59" s="474">
        <v>7727</v>
      </c>
      <c r="C59" s="471"/>
      <c r="D59" s="471"/>
      <c r="E59" s="474">
        <v>7727</v>
      </c>
      <c r="F59" s="515" t="s">
        <v>1573</v>
      </c>
    </row>
    <row r="60" spans="1:6">
      <c r="A60" s="548" t="s">
        <v>2232</v>
      </c>
      <c r="B60" s="549"/>
      <c r="C60" s="550">
        <v>36000</v>
      </c>
      <c r="D60" s="550">
        <v>36000</v>
      </c>
      <c r="E60" s="549"/>
    </row>
    <row r="61" spans="1:6">
      <c r="A61" s="538" t="s">
        <v>2233</v>
      </c>
      <c r="B61" s="470"/>
      <c r="C61" s="472">
        <v>2970</v>
      </c>
      <c r="D61" s="471"/>
      <c r="E61" s="474">
        <v>2970</v>
      </c>
    </row>
    <row r="62" spans="1:6">
      <c r="A62" s="538" t="s">
        <v>2234</v>
      </c>
      <c r="B62" s="470"/>
      <c r="C62" s="471"/>
      <c r="D62" s="472">
        <v>10030</v>
      </c>
      <c r="E62" s="473">
        <v>10030</v>
      </c>
    </row>
    <row r="63" spans="1:6">
      <c r="A63" s="538" t="s">
        <v>1390</v>
      </c>
      <c r="B63" s="473">
        <v>386073</v>
      </c>
      <c r="C63" s="472">
        <v>2927483</v>
      </c>
      <c r="D63" s="472">
        <v>2731160</v>
      </c>
      <c r="E63" s="473">
        <v>189750</v>
      </c>
      <c r="F63" t="s">
        <v>1548</v>
      </c>
    </row>
    <row r="64" spans="1:6">
      <c r="A64" s="538" t="s">
        <v>1391</v>
      </c>
      <c r="B64" s="473">
        <v>7610</v>
      </c>
      <c r="C64" s="472">
        <v>1756923</v>
      </c>
      <c r="D64" s="472">
        <v>2009932</v>
      </c>
      <c r="E64" s="473">
        <v>260619</v>
      </c>
      <c r="F64" t="s">
        <v>1548</v>
      </c>
    </row>
    <row r="65" spans="1:6">
      <c r="A65" s="542" t="s">
        <v>2235</v>
      </c>
      <c r="B65" s="545"/>
      <c r="C65" s="544">
        <v>110690</v>
      </c>
      <c r="D65" s="544">
        <v>110690</v>
      </c>
      <c r="E65" s="545"/>
    </row>
    <row r="66" spans="1:6">
      <c r="A66" s="538" t="s">
        <v>1788</v>
      </c>
      <c r="B66" s="474">
        <v>37250</v>
      </c>
      <c r="C66" s="471"/>
      <c r="D66" s="471"/>
      <c r="E66" s="474">
        <v>37250</v>
      </c>
      <c r="F66" s="515" t="s">
        <v>1573</v>
      </c>
    </row>
    <row r="67" spans="1:6">
      <c r="A67" s="542" t="s">
        <v>1912</v>
      </c>
      <c r="B67" s="543">
        <v>23128</v>
      </c>
      <c r="C67" s="544">
        <v>50386</v>
      </c>
      <c r="D67" s="544">
        <v>27258</v>
      </c>
      <c r="E67" s="545"/>
    </row>
    <row r="68" spans="1:6">
      <c r="A68" s="534" t="s">
        <v>1678</v>
      </c>
      <c r="B68" s="470"/>
      <c r="C68" s="472">
        <v>112164</v>
      </c>
      <c r="D68" s="472">
        <v>139895</v>
      </c>
      <c r="E68" s="473">
        <v>27731</v>
      </c>
    </row>
    <row r="69" spans="1:6">
      <c r="A69" s="542" t="s">
        <v>1913</v>
      </c>
      <c r="B69" s="545"/>
      <c r="C69" s="544">
        <v>67200</v>
      </c>
      <c r="D69" s="544">
        <v>67200</v>
      </c>
      <c r="E69" s="545"/>
    </row>
    <row r="70" spans="1:6">
      <c r="A70" s="538" t="s">
        <v>578</v>
      </c>
      <c r="B70" s="473">
        <v>107676</v>
      </c>
      <c r="C70" s="470"/>
      <c r="D70" s="470"/>
      <c r="E70" s="473">
        <v>107676</v>
      </c>
      <c r="F70" t="s">
        <v>1548</v>
      </c>
    </row>
    <row r="71" spans="1:6">
      <c r="A71" s="540" t="s">
        <v>1789</v>
      </c>
      <c r="B71" s="502"/>
      <c r="C71" s="481">
        <v>46039</v>
      </c>
      <c r="D71" s="481">
        <v>46039</v>
      </c>
      <c r="E71" s="502"/>
    </row>
    <row r="72" spans="1:6">
      <c r="A72" s="538" t="s">
        <v>1790</v>
      </c>
      <c r="B72" s="484">
        <v>31100</v>
      </c>
      <c r="C72" s="475">
        <v>1187700</v>
      </c>
      <c r="D72" s="475">
        <v>1524650</v>
      </c>
      <c r="E72" s="485">
        <v>305850</v>
      </c>
    </row>
    <row r="73" spans="1:6">
      <c r="A73" s="542" t="s">
        <v>1791</v>
      </c>
      <c r="B73" s="545"/>
      <c r="C73" s="544">
        <v>75000</v>
      </c>
      <c r="D73" s="544">
        <v>75000</v>
      </c>
      <c r="E73" s="545"/>
    </row>
    <row r="74" spans="1:6">
      <c r="A74" s="542" t="s">
        <v>2236</v>
      </c>
      <c r="B74" s="545"/>
      <c r="C74" s="544">
        <v>51920</v>
      </c>
      <c r="D74" s="544">
        <v>51920</v>
      </c>
      <c r="E74" s="545"/>
    </row>
    <row r="75" spans="1:6">
      <c r="A75" s="542" t="s">
        <v>1915</v>
      </c>
      <c r="B75" s="545"/>
      <c r="C75" s="544">
        <v>327295</v>
      </c>
      <c r="D75" s="544">
        <v>327295</v>
      </c>
      <c r="E75" s="545"/>
    </row>
    <row r="76" spans="1:6">
      <c r="A76" s="542" t="s">
        <v>1679</v>
      </c>
      <c r="B76" s="557">
        <v>28642</v>
      </c>
      <c r="C76" s="544">
        <v>29202.6</v>
      </c>
      <c r="D76" s="544">
        <v>57844.6</v>
      </c>
      <c r="E76" s="545"/>
    </row>
    <row r="77" spans="1:6">
      <c r="A77" s="548" t="s">
        <v>1916</v>
      </c>
      <c r="B77" s="545"/>
      <c r="C77" s="544">
        <v>72240</v>
      </c>
      <c r="D77" s="544">
        <v>72240</v>
      </c>
      <c r="E77" s="545"/>
    </row>
    <row r="78" spans="1:6">
      <c r="A78" s="534" t="s">
        <v>579</v>
      </c>
      <c r="B78" s="473">
        <v>46263</v>
      </c>
      <c r="C78" s="472">
        <v>245379</v>
      </c>
      <c r="D78" s="472">
        <v>233235</v>
      </c>
      <c r="E78" s="473">
        <v>34119</v>
      </c>
      <c r="F78" t="s">
        <v>1548</v>
      </c>
    </row>
    <row r="79" spans="1:6">
      <c r="A79" s="542" t="s">
        <v>580</v>
      </c>
      <c r="B79" s="545"/>
      <c r="C79" s="544">
        <v>20768</v>
      </c>
      <c r="D79" s="544">
        <v>20768</v>
      </c>
      <c r="E79" s="545"/>
    </row>
    <row r="80" spans="1:6">
      <c r="A80" s="540" t="s">
        <v>1917</v>
      </c>
      <c r="B80" s="535">
        <v>187186</v>
      </c>
      <c r="C80" s="481">
        <v>1954931</v>
      </c>
      <c r="D80" s="481">
        <v>1767745</v>
      </c>
      <c r="E80" s="502"/>
    </row>
    <row r="81" spans="1:6">
      <c r="A81" s="538" t="s">
        <v>1793</v>
      </c>
      <c r="B81" s="473">
        <v>81788</v>
      </c>
      <c r="C81" s="472">
        <v>25000</v>
      </c>
      <c r="D81" s="471"/>
      <c r="E81" s="473">
        <v>56788</v>
      </c>
      <c r="F81" t="s">
        <v>1548</v>
      </c>
    </row>
    <row r="82" spans="1:6">
      <c r="A82" s="542" t="s">
        <v>581</v>
      </c>
      <c r="B82" s="545"/>
      <c r="C82" s="544">
        <v>31612</v>
      </c>
      <c r="D82" s="544">
        <v>31612</v>
      </c>
      <c r="E82" s="545"/>
    </row>
    <row r="83" spans="1:6">
      <c r="A83" s="542" t="s">
        <v>1395</v>
      </c>
      <c r="B83" s="545"/>
      <c r="C83" s="544">
        <v>50268</v>
      </c>
      <c r="D83" s="544">
        <v>50268</v>
      </c>
      <c r="E83" s="545"/>
    </row>
    <row r="84" spans="1:6">
      <c r="A84" s="534" t="s">
        <v>2237</v>
      </c>
      <c r="B84" s="470"/>
      <c r="C84" s="472">
        <v>147720</v>
      </c>
      <c r="D84" s="472">
        <v>132720</v>
      </c>
      <c r="E84" s="474">
        <v>15000</v>
      </c>
    </row>
    <row r="85" spans="1:6">
      <c r="A85" s="542" t="s">
        <v>2238</v>
      </c>
      <c r="B85" s="545"/>
      <c r="C85" s="544">
        <v>27225</v>
      </c>
      <c r="D85" s="544">
        <v>27225</v>
      </c>
      <c r="E85" s="545"/>
    </row>
    <row r="86" spans="1:6">
      <c r="A86" s="534" t="s">
        <v>2239</v>
      </c>
      <c r="B86" s="470"/>
      <c r="C86" s="472">
        <v>2245429</v>
      </c>
      <c r="D86" s="472">
        <v>2230055</v>
      </c>
      <c r="E86" s="474">
        <v>15374</v>
      </c>
    </row>
    <row r="87" spans="1:6">
      <c r="A87" s="534" t="s">
        <v>259</v>
      </c>
      <c r="B87" s="473">
        <v>754278.5</v>
      </c>
      <c r="C87" s="472">
        <v>1226877</v>
      </c>
      <c r="D87" s="472">
        <v>986049</v>
      </c>
      <c r="E87" s="473">
        <v>513450.5</v>
      </c>
      <c r="F87" t="s">
        <v>1548</v>
      </c>
    </row>
    <row r="88" spans="1:6">
      <c r="A88" s="538" t="s">
        <v>1920</v>
      </c>
      <c r="B88" s="473">
        <v>300</v>
      </c>
      <c r="C88" s="471"/>
      <c r="D88" s="471"/>
      <c r="E88" s="473">
        <v>300</v>
      </c>
      <c r="F88" t="s">
        <v>1548</v>
      </c>
    </row>
    <row r="89" spans="1:6">
      <c r="A89" s="548" t="s">
        <v>582</v>
      </c>
      <c r="B89" s="545"/>
      <c r="C89" s="544">
        <v>35400</v>
      </c>
      <c r="D89" s="544">
        <v>35400</v>
      </c>
      <c r="E89" s="545"/>
    </row>
    <row r="90" spans="1:6">
      <c r="A90" s="542" t="s">
        <v>2240</v>
      </c>
      <c r="B90" s="545"/>
      <c r="C90" s="544">
        <v>96996</v>
      </c>
      <c r="D90" s="544">
        <v>96996</v>
      </c>
      <c r="E90" s="545"/>
    </row>
    <row r="91" spans="1:6">
      <c r="A91" s="538" t="s">
        <v>2241</v>
      </c>
      <c r="B91" s="470"/>
      <c r="C91" s="472">
        <v>162250</v>
      </c>
      <c r="D91" s="472">
        <v>160303</v>
      </c>
      <c r="E91" s="474">
        <v>1947</v>
      </c>
    </row>
    <row r="92" spans="1:6">
      <c r="A92" s="548" t="s">
        <v>1923</v>
      </c>
      <c r="B92" s="545"/>
      <c r="C92" s="544">
        <v>13200</v>
      </c>
      <c r="D92" s="544">
        <v>13200</v>
      </c>
      <c r="E92" s="545"/>
    </row>
    <row r="93" spans="1:6">
      <c r="A93" s="548" t="s">
        <v>2242</v>
      </c>
      <c r="B93" s="545"/>
      <c r="C93" s="544">
        <v>78192</v>
      </c>
      <c r="D93" s="544">
        <v>78192</v>
      </c>
      <c r="E93" s="545"/>
    </row>
    <row r="94" spans="1:6">
      <c r="A94" s="542" t="s">
        <v>1925</v>
      </c>
      <c r="B94" s="545"/>
      <c r="C94" s="544">
        <v>9440</v>
      </c>
      <c r="D94" s="544">
        <v>9440</v>
      </c>
      <c r="E94" s="545"/>
    </row>
    <row r="95" spans="1:6">
      <c r="A95" s="542" t="s">
        <v>2243</v>
      </c>
      <c r="B95" s="545"/>
      <c r="C95" s="544">
        <v>311762</v>
      </c>
      <c r="D95" s="544">
        <v>311762</v>
      </c>
      <c r="E95" s="545"/>
    </row>
    <row r="96" spans="1:6">
      <c r="A96" s="538" t="s">
        <v>2244</v>
      </c>
      <c r="B96" s="470"/>
      <c r="C96" s="472">
        <v>234800</v>
      </c>
      <c r="D96" s="471"/>
      <c r="E96" s="474">
        <v>234800</v>
      </c>
    </row>
    <row r="97" spans="1:6">
      <c r="A97" s="538" t="s">
        <v>1927</v>
      </c>
      <c r="B97" s="470"/>
      <c r="C97" s="472">
        <v>85704</v>
      </c>
      <c r="D97" s="472">
        <v>162604</v>
      </c>
      <c r="E97" s="473">
        <v>76900</v>
      </c>
    </row>
    <row r="98" spans="1:6">
      <c r="A98" s="538" t="s">
        <v>1928</v>
      </c>
      <c r="B98" s="473">
        <v>79364</v>
      </c>
      <c r="C98" s="472">
        <v>604998</v>
      </c>
      <c r="D98" s="472">
        <v>526554</v>
      </c>
      <c r="E98" s="473">
        <v>920</v>
      </c>
    </row>
    <row r="99" spans="1:6">
      <c r="A99" s="542" t="s">
        <v>2245</v>
      </c>
      <c r="B99" s="545"/>
      <c r="C99" s="544">
        <v>320500</v>
      </c>
      <c r="D99" s="544">
        <v>320500</v>
      </c>
      <c r="E99" s="545"/>
    </row>
    <row r="100" spans="1:6">
      <c r="A100" s="538" t="s">
        <v>2106</v>
      </c>
      <c r="B100" s="473">
        <v>3245</v>
      </c>
      <c r="C100" s="472">
        <v>23010</v>
      </c>
      <c r="D100" s="471"/>
      <c r="E100" s="474">
        <v>19765</v>
      </c>
    </row>
    <row r="101" spans="1:6">
      <c r="A101" s="542" t="s">
        <v>2246</v>
      </c>
      <c r="B101" s="545"/>
      <c r="C101" s="544">
        <v>9027</v>
      </c>
      <c r="D101" s="544">
        <v>9027</v>
      </c>
      <c r="E101" s="545"/>
    </row>
    <row r="102" spans="1:6">
      <c r="A102" s="542" t="s">
        <v>2247</v>
      </c>
      <c r="B102" s="545"/>
      <c r="C102" s="544">
        <v>32568</v>
      </c>
      <c r="D102" s="544">
        <v>32568</v>
      </c>
      <c r="E102" s="545"/>
    </row>
    <row r="103" spans="1:6">
      <c r="A103" s="548" t="s">
        <v>1686</v>
      </c>
      <c r="B103" s="545"/>
      <c r="C103" s="544">
        <v>1480274</v>
      </c>
      <c r="D103" s="544">
        <v>1480274</v>
      </c>
      <c r="E103" s="545"/>
    </row>
    <row r="104" spans="1:6">
      <c r="A104" s="548" t="s">
        <v>2248</v>
      </c>
      <c r="B104" s="545"/>
      <c r="C104" s="544">
        <v>136998</v>
      </c>
      <c r="D104" s="544">
        <v>136998</v>
      </c>
      <c r="E104" s="545"/>
    </row>
    <row r="105" spans="1:6">
      <c r="A105" s="546" t="s">
        <v>2249</v>
      </c>
      <c r="B105" s="545"/>
      <c r="C105" s="544">
        <v>40250</v>
      </c>
      <c r="D105" s="544">
        <v>40250</v>
      </c>
      <c r="E105" s="545"/>
    </row>
    <row r="106" spans="1:6">
      <c r="A106" s="539" t="s">
        <v>1402</v>
      </c>
      <c r="B106" s="470"/>
      <c r="C106" s="472">
        <v>262358</v>
      </c>
      <c r="D106" s="471"/>
      <c r="E106" s="474">
        <v>262358</v>
      </c>
    </row>
    <row r="107" spans="1:6">
      <c r="A107" s="538" t="s">
        <v>2250</v>
      </c>
      <c r="B107" s="470"/>
      <c r="C107" s="472">
        <v>75000</v>
      </c>
      <c r="D107" s="472">
        <v>74480</v>
      </c>
      <c r="E107" s="474">
        <v>520</v>
      </c>
    </row>
    <row r="108" spans="1:6">
      <c r="A108" s="542" t="s">
        <v>2251</v>
      </c>
      <c r="B108" s="545"/>
      <c r="C108" s="544">
        <v>1306</v>
      </c>
      <c r="D108" s="544">
        <v>1306</v>
      </c>
      <c r="E108" s="545"/>
    </row>
    <row r="109" spans="1:6">
      <c r="A109" s="538" t="s">
        <v>2252</v>
      </c>
      <c r="B109" s="470"/>
      <c r="C109" s="472">
        <v>10000</v>
      </c>
      <c r="D109" s="471"/>
      <c r="E109" s="474">
        <v>10000</v>
      </c>
    </row>
    <row r="110" spans="1:6">
      <c r="A110" s="548" t="s">
        <v>2253</v>
      </c>
      <c r="B110" s="545"/>
      <c r="C110" s="544">
        <v>137175</v>
      </c>
      <c r="D110" s="544">
        <v>137175</v>
      </c>
      <c r="E110" s="545"/>
    </row>
    <row r="111" spans="1:6">
      <c r="A111" s="534" t="s">
        <v>1933</v>
      </c>
      <c r="B111" s="474">
        <v>2200</v>
      </c>
      <c r="C111" s="472">
        <v>130000</v>
      </c>
      <c r="D111" s="472">
        <v>120840</v>
      </c>
      <c r="E111" s="474">
        <v>11360</v>
      </c>
      <c r="F111" s="515" t="s">
        <v>1573</v>
      </c>
    </row>
    <row r="112" spans="1:6">
      <c r="A112" s="534" t="s">
        <v>1934</v>
      </c>
      <c r="B112" s="470"/>
      <c r="C112" s="472">
        <v>547579</v>
      </c>
      <c r="D112" s="472">
        <v>420080</v>
      </c>
      <c r="E112" s="474">
        <v>127499</v>
      </c>
    </row>
    <row r="113" spans="1:6">
      <c r="A113" s="538" t="s">
        <v>258</v>
      </c>
      <c r="B113" s="485">
        <v>196558</v>
      </c>
      <c r="C113" s="475">
        <v>253800</v>
      </c>
      <c r="D113" s="475">
        <v>253800</v>
      </c>
      <c r="E113" s="485">
        <v>196558</v>
      </c>
      <c r="F113" t="s">
        <v>1548</v>
      </c>
    </row>
    <row r="114" spans="1:6">
      <c r="A114" s="534" t="s">
        <v>1936</v>
      </c>
      <c r="B114" s="473">
        <v>3200</v>
      </c>
      <c r="C114" s="471"/>
      <c r="D114" s="471"/>
      <c r="E114" s="473">
        <v>3200</v>
      </c>
      <c r="F114" t="s">
        <v>1548</v>
      </c>
    </row>
    <row r="115" spans="1:6">
      <c r="A115" s="542" t="s">
        <v>592</v>
      </c>
      <c r="B115" s="545"/>
      <c r="C115" s="544">
        <v>7450</v>
      </c>
      <c r="D115" s="544">
        <v>7450</v>
      </c>
      <c r="E115" s="545"/>
    </row>
    <row r="116" spans="1:6">
      <c r="A116" s="542" t="s">
        <v>1796</v>
      </c>
      <c r="B116" s="545"/>
      <c r="C116" s="544">
        <v>8534</v>
      </c>
      <c r="D116" s="544">
        <v>8534</v>
      </c>
      <c r="E116" s="545"/>
    </row>
    <row r="117" spans="1:6">
      <c r="A117" s="534" t="s">
        <v>2254</v>
      </c>
      <c r="B117" s="470"/>
      <c r="C117" s="472">
        <v>313644</v>
      </c>
      <c r="D117" s="472">
        <v>627288</v>
      </c>
      <c r="E117" s="473">
        <v>313644</v>
      </c>
    </row>
    <row r="118" spans="1:6">
      <c r="A118" s="538" t="s">
        <v>1691</v>
      </c>
      <c r="B118" s="473">
        <v>58399</v>
      </c>
      <c r="C118" s="471"/>
      <c r="D118" s="471"/>
      <c r="E118" s="473">
        <v>58399</v>
      </c>
    </row>
    <row r="119" spans="1:6">
      <c r="A119" s="542" t="s">
        <v>2255</v>
      </c>
      <c r="B119" s="545"/>
      <c r="C119" s="544">
        <v>113516</v>
      </c>
      <c r="D119" s="544">
        <v>113516</v>
      </c>
      <c r="E119" s="545"/>
    </row>
    <row r="120" spans="1:6">
      <c r="A120" s="542" t="s">
        <v>2256</v>
      </c>
      <c r="B120" s="545"/>
      <c r="C120" s="544">
        <v>123900</v>
      </c>
      <c r="D120" s="544">
        <v>123900</v>
      </c>
      <c r="E120" s="545"/>
    </row>
    <row r="121" spans="1:6">
      <c r="A121" s="534" t="s">
        <v>1940</v>
      </c>
      <c r="B121" s="485">
        <v>15495</v>
      </c>
      <c r="C121" s="475">
        <v>10145</v>
      </c>
      <c r="D121" s="477"/>
      <c r="E121" s="485">
        <v>5350</v>
      </c>
    </row>
    <row r="122" spans="1:6">
      <c r="A122" s="538" t="s">
        <v>1941</v>
      </c>
      <c r="B122" s="470"/>
      <c r="C122" s="472">
        <v>53319</v>
      </c>
      <c r="D122" s="472">
        <v>107386.7</v>
      </c>
      <c r="E122" s="473">
        <v>54067.7</v>
      </c>
    </row>
    <row r="123" spans="1:6">
      <c r="A123" s="538" t="s">
        <v>1407</v>
      </c>
      <c r="B123" s="470"/>
      <c r="C123" s="472">
        <v>20341</v>
      </c>
      <c r="D123" s="472">
        <v>11759.4</v>
      </c>
      <c r="E123" s="474">
        <v>8581.6</v>
      </c>
    </row>
    <row r="124" spans="1:6">
      <c r="A124" s="534" t="s">
        <v>1942</v>
      </c>
      <c r="B124" s="470"/>
      <c r="C124" s="472">
        <v>3142954</v>
      </c>
      <c r="D124" s="472">
        <v>3138306</v>
      </c>
      <c r="E124" s="474">
        <v>4648</v>
      </c>
    </row>
    <row r="125" spans="1:6">
      <c r="A125" s="538" t="s">
        <v>1943</v>
      </c>
      <c r="B125" s="470"/>
      <c r="C125" s="472">
        <v>186335</v>
      </c>
      <c r="D125" s="472">
        <v>178039</v>
      </c>
      <c r="E125" s="474">
        <v>8296</v>
      </c>
    </row>
    <row r="126" spans="1:6">
      <c r="A126" s="538" t="s">
        <v>989</v>
      </c>
      <c r="B126" s="470"/>
      <c r="C126" s="472">
        <v>307224</v>
      </c>
      <c r="D126" s="472">
        <v>76800</v>
      </c>
      <c r="E126" s="474">
        <v>230424</v>
      </c>
    </row>
    <row r="127" spans="1:6">
      <c r="A127" s="538" t="s">
        <v>1944</v>
      </c>
      <c r="B127" s="473">
        <v>30444</v>
      </c>
      <c r="C127" s="472">
        <v>49118</v>
      </c>
      <c r="D127" s="472">
        <v>20798</v>
      </c>
      <c r="E127" s="473">
        <v>2124</v>
      </c>
      <c r="F127" t="s">
        <v>1548</v>
      </c>
    </row>
    <row r="128" spans="1:6">
      <c r="A128" s="534" t="s">
        <v>2257</v>
      </c>
      <c r="B128" s="470"/>
      <c r="C128" s="471"/>
      <c r="D128" s="472">
        <v>31122</v>
      </c>
      <c r="E128" s="473">
        <v>31122</v>
      </c>
    </row>
    <row r="129" spans="1:6">
      <c r="A129" s="539" t="s">
        <v>2258</v>
      </c>
      <c r="B129" s="470"/>
      <c r="C129" s="472">
        <v>33597</v>
      </c>
      <c r="D129" s="472">
        <v>33597</v>
      </c>
      <c r="E129" s="470"/>
    </row>
    <row r="130" spans="1:6">
      <c r="A130" s="534" t="s">
        <v>1945</v>
      </c>
      <c r="B130" s="473">
        <v>57328</v>
      </c>
      <c r="C130" s="471"/>
      <c r="D130" s="471"/>
      <c r="E130" s="473">
        <v>57328</v>
      </c>
    </row>
    <row r="131" spans="1:6">
      <c r="A131" s="534" t="s">
        <v>2259</v>
      </c>
      <c r="B131" s="470"/>
      <c r="C131" s="472">
        <v>59596</v>
      </c>
      <c r="D131" s="472">
        <v>59596</v>
      </c>
      <c r="E131" s="470"/>
    </row>
    <row r="132" spans="1:6">
      <c r="A132" s="538" t="s">
        <v>1693</v>
      </c>
      <c r="B132" s="484">
        <v>6867.18</v>
      </c>
      <c r="C132" s="475">
        <v>1095567</v>
      </c>
      <c r="D132" s="475">
        <v>1279073</v>
      </c>
      <c r="E132" s="485">
        <v>176638.82</v>
      </c>
      <c r="F132" s="515" t="s">
        <v>1573</v>
      </c>
    </row>
    <row r="133" spans="1:6">
      <c r="A133" s="542" t="s">
        <v>2260</v>
      </c>
      <c r="B133" s="545"/>
      <c r="C133" s="544">
        <v>63602</v>
      </c>
      <c r="D133" s="544">
        <v>63602</v>
      </c>
      <c r="E133" s="545"/>
    </row>
    <row r="134" spans="1:6">
      <c r="A134" s="538" t="s">
        <v>1946</v>
      </c>
      <c r="B134" s="474">
        <v>7000</v>
      </c>
      <c r="C134" s="471"/>
      <c r="D134" s="471"/>
      <c r="E134" s="474">
        <v>7000</v>
      </c>
      <c r="F134" s="515" t="s">
        <v>1573</v>
      </c>
    </row>
    <row r="135" spans="1:6">
      <c r="A135" s="538" t="s">
        <v>596</v>
      </c>
      <c r="B135" s="473">
        <v>11875</v>
      </c>
      <c r="C135" s="472">
        <v>89686</v>
      </c>
      <c r="D135" s="472">
        <v>151185</v>
      </c>
      <c r="E135" s="473">
        <v>73374</v>
      </c>
      <c r="F135" t="s">
        <v>1548</v>
      </c>
    </row>
    <row r="136" spans="1:6">
      <c r="A136" s="542" t="s">
        <v>1947</v>
      </c>
      <c r="B136" s="543">
        <v>293</v>
      </c>
      <c r="C136" s="544">
        <v>98226</v>
      </c>
      <c r="D136" s="544">
        <v>97933</v>
      </c>
      <c r="E136" s="545"/>
    </row>
    <row r="137" spans="1:6">
      <c r="A137" s="542" t="s">
        <v>2261</v>
      </c>
      <c r="B137" s="545"/>
      <c r="C137" s="544">
        <v>54000</v>
      </c>
      <c r="D137" s="544">
        <v>54000</v>
      </c>
      <c r="E137" s="545"/>
    </row>
    <row r="138" spans="1:6">
      <c r="A138" s="542" t="s">
        <v>1950</v>
      </c>
      <c r="B138" s="545"/>
      <c r="C138" s="544">
        <v>11800</v>
      </c>
      <c r="D138" s="544">
        <v>11800</v>
      </c>
      <c r="E138" s="545"/>
    </row>
    <row r="139" spans="1:6">
      <c r="A139" s="538" t="s">
        <v>600</v>
      </c>
      <c r="B139" s="474">
        <v>105236</v>
      </c>
      <c r="C139" s="471"/>
      <c r="D139" s="471"/>
      <c r="E139" s="474">
        <v>105236</v>
      </c>
    </row>
    <row r="140" spans="1:6">
      <c r="A140" s="548" t="s">
        <v>2262</v>
      </c>
      <c r="B140" s="545"/>
      <c r="C140" s="544">
        <v>99710</v>
      </c>
      <c r="D140" s="544">
        <v>99710</v>
      </c>
      <c r="E140" s="545"/>
    </row>
    <row r="141" spans="1:6">
      <c r="A141" s="542" t="s">
        <v>992</v>
      </c>
      <c r="B141" s="545"/>
      <c r="C141" s="544">
        <v>69000</v>
      </c>
      <c r="D141" s="544">
        <v>69000</v>
      </c>
      <c r="E141" s="545"/>
    </row>
    <row r="142" spans="1:6">
      <c r="A142" s="542" t="s">
        <v>2263</v>
      </c>
      <c r="B142" s="545"/>
      <c r="C142" s="544">
        <v>111537</v>
      </c>
      <c r="D142" s="544">
        <v>111537</v>
      </c>
      <c r="E142" s="545"/>
    </row>
    <row r="143" spans="1:6">
      <c r="A143" s="538" t="s">
        <v>2264</v>
      </c>
      <c r="B143" s="470"/>
      <c r="C143" s="472">
        <v>243670</v>
      </c>
      <c r="D143" s="472">
        <v>171100</v>
      </c>
      <c r="E143" s="474">
        <v>72570</v>
      </c>
    </row>
    <row r="144" spans="1:6">
      <c r="A144" s="534" t="s">
        <v>1953</v>
      </c>
      <c r="B144" s="470"/>
      <c r="C144" s="472">
        <v>647850</v>
      </c>
      <c r="D144" s="472">
        <v>548160</v>
      </c>
      <c r="E144" s="474">
        <v>99690</v>
      </c>
    </row>
    <row r="145" spans="1:6">
      <c r="A145" s="538" t="s">
        <v>1954</v>
      </c>
      <c r="B145" s="473">
        <v>8860</v>
      </c>
      <c r="C145" s="472">
        <v>142720</v>
      </c>
      <c r="D145" s="472">
        <v>125150</v>
      </c>
      <c r="E145" s="474">
        <v>8710</v>
      </c>
    </row>
    <row r="146" spans="1:6">
      <c r="A146" s="538" t="s">
        <v>2265</v>
      </c>
      <c r="B146" s="470"/>
      <c r="C146" s="472">
        <v>344400</v>
      </c>
      <c r="D146" s="472">
        <v>382200</v>
      </c>
      <c r="E146" s="473">
        <v>37800</v>
      </c>
    </row>
    <row r="147" spans="1:6">
      <c r="A147" s="538" t="s">
        <v>603</v>
      </c>
      <c r="B147" s="473">
        <v>1959</v>
      </c>
      <c r="C147" s="472">
        <v>252906</v>
      </c>
      <c r="D147" s="472">
        <v>10151</v>
      </c>
      <c r="E147" s="474">
        <v>240796</v>
      </c>
    </row>
    <row r="148" spans="1:6">
      <c r="A148" s="538" t="s">
        <v>1412</v>
      </c>
      <c r="B148" s="470"/>
      <c r="C148" s="472">
        <v>303653</v>
      </c>
      <c r="D148" s="472">
        <v>303653</v>
      </c>
      <c r="E148" s="470"/>
    </row>
    <row r="149" spans="1:6">
      <c r="A149" s="538" t="s">
        <v>2266</v>
      </c>
      <c r="B149" s="470"/>
      <c r="C149" s="472">
        <v>97500</v>
      </c>
      <c r="D149" s="472">
        <v>97500</v>
      </c>
      <c r="E149" s="470"/>
    </row>
    <row r="150" spans="1:6">
      <c r="A150" s="538" t="s">
        <v>604</v>
      </c>
      <c r="B150" s="473">
        <v>5030</v>
      </c>
      <c r="C150" s="472">
        <v>226720</v>
      </c>
      <c r="D150" s="472">
        <v>227210</v>
      </c>
      <c r="E150" s="473">
        <v>5520</v>
      </c>
      <c r="F150" t="s">
        <v>1548</v>
      </c>
    </row>
    <row r="151" spans="1:6">
      <c r="A151" s="538" t="s">
        <v>1955</v>
      </c>
      <c r="B151" s="470"/>
      <c r="C151" s="472">
        <v>497392</v>
      </c>
      <c r="D151" s="472">
        <v>496650</v>
      </c>
      <c r="E151" s="474">
        <v>742</v>
      </c>
    </row>
    <row r="152" spans="1:6">
      <c r="A152" s="538" t="s">
        <v>1413</v>
      </c>
      <c r="B152" s="473">
        <v>11211</v>
      </c>
      <c r="C152" s="472">
        <v>601210</v>
      </c>
      <c r="D152" s="472">
        <v>590000</v>
      </c>
      <c r="E152" s="473">
        <v>1</v>
      </c>
    </row>
    <row r="153" spans="1:6">
      <c r="A153" s="538" t="s">
        <v>1959</v>
      </c>
      <c r="B153" s="474">
        <v>84550</v>
      </c>
      <c r="C153" s="472">
        <v>190133</v>
      </c>
      <c r="D153" s="472">
        <v>274684</v>
      </c>
      <c r="E153" s="473">
        <v>1</v>
      </c>
    </row>
    <row r="154" spans="1:6">
      <c r="A154" s="538" t="s">
        <v>2267</v>
      </c>
      <c r="B154" s="477"/>
      <c r="C154" s="475">
        <v>310639</v>
      </c>
      <c r="D154" s="477"/>
      <c r="E154" s="484">
        <v>310639</v>
      </c>
    </row>
    <row r="155" spans="1:6">
      <c r="A155" s="542" t="s">
        <v>2268</v>
      </c>
      <c r="B155" s="545"/>
      <c r="C155" s="544">
        <v>1374600</v>
      </c>
      <c r="D155" s="544">
        <v>1374600</v>
      </c>
      <c r="E155" s="545"/>
    </row>
    <row r="156" spans="1:6">
      <c r="A156" s="538" t="s">
        <v>1961</v>
      </c>
      <c r="B156" s="485">
        <v>861.15</v>
      </c>
      <c r="C156" s="477"/>
      <c r="D156" s="477"/>
      <c r="E156" s="485">
        <v>861.15</v>
      </c>
      <c r="F156" t="s">
        <v>1548</v>
      </c>
    </row>
    <row r="157" spans="1:6">
      <c r="A157" s="539" t="s">
        <v>606</v>
      </c>
      <c r="B157" s="485">
        <v>151411</v>
      </c>
      <c r="C157" s="475">
        <v>760049</v>
      </c>
      <c r="D157" s="475">
        <v>924039</v>
      </c>
      <c r="E157" s="485">
        <v>315401</v>
      </c>
      <c r="F157" t="s">
        <v>1548</v>
      </c>
    </row>
    <row r="158" spans="1:6">
      <c r="A158" s="534" t="s">
        <v>1962</v>
      </c>
      <c r="B158" s="470"/>
      <c r="C158" s="472">
        <v>498764</v>
      </c>
      <c r="D158" s="472">
        <v>498762</v>
      </c>
      <c r="E158" s="474">
        <v>2</v>
      </c>
    </row>
    <row r="159" spans="1:6">
      <c r="A159" s="534" t="s">
        <v>2269</v>
      </c>
      <c r="B159" s="470"/>
      <c r="C159" s="472">
        <v>291165</v>
      </c>
      <c r="D159" s="472">
        <v>302493</v>
      </c>
      <c r="E159" s="473">
        <v>11328</v>
      </c>
    </row>
    <row r="160" spans="1:6">
      <c r="A160" s="538" t="s">
        <v>1414</v>
      </c>
      <c r="B160" s="470"/>
      <c r="C160" s="472">
        <v>747500</v>
      </c>
      <c r="D160" s="472">
        <v>595000</v>
      </c>
      <c r="E160" s="474">
        <v>152500</v>
      </c>
    </row>
    <row r="161" spans="1:6">
      <c r="A161" s="538" t="s">
        <v>1964</v>
      </c>
      <c r="B161" s="473">
        <v>12390</v>
      </c>
      <c r="C161" s="472">
        <v>165300</v>
      </c>
      <c r="D161" s="472">
        <v>169312.3</v>
      </c>
      <c r="E161" s="473">
        <v>16402.3</v>
      </c>
    </row>
    <row r="162" spans="1:6">
      <c r="A162" s="538" t="s">
        <v>2270</v>
      </c>
      <c r="B162" s="470"/>
      <c r="C162" s="472">
        <v>929840</v>
      </c>
      <c r="D162" s="472">
        <v>508698</v>
      </c>
      <c r="E162" s="474">
        <v>421142</v>
      </c>
    </row>
    <row r="163" spans="1:6">
      <c r="A163" s="534" t="s">
        <v>1804</v>
      </c>
      <c r="B163" s="473">
        <v>45363</v>
      </c>
      <c r="C163" s="472">
        <v>82438</v>
      </c>
      <c r="D163" s="472">
        <v>81898</v>
      </c>
      <c r="E163" s="473">
        <v>44823</v>
      </c>
    </row>
    <row r="164" spans="1:6">
      <c r="A164" s="542" t="s">
        <v>1965</v>
      </c>
      <c r="B164" s="545"/>
      <c r="C164" s="544">
        <v>83554</v>
      </c>
      <c r="D164" s="544">
        <v>83554</v>
      </c>
      <c r="E164" s="545"/>
    </row>
    <row r="165" spans="1:6">
      <c r="A165" s="548" t="s">
        <v>1966</v>
      </c>
      <c r="B165" s="543">
        <v>15486</v>
      </c>
      <c r="C165" s="544">
        <v>749536</v>
      </c>
      <c r="D165" s="544">
        <v>734050</v>
      </c>
      <c r="E165" s="545"/>
    </row>
    <row r="166" spans="1:6">
      <c r="A166" s="548" t="s">
        <v>1968</v>
      </c>
      <c r="B166" s="543">
        <v>89369.8</v>
      </c>
      <c r="C166" s="544">
        <v>135213</v>
      </c>
      <c r="D166" s="544">
        <v>45843.199999999997</v>
      </c>
      <c r="E166" s="545"/>
    </row>
    <row r="167" spans="1:6">
      <c r="A167" s="548" t="s">
        <v>2271</v>
      </c>
      <c r="B167" s="545"/>
      <c r="C167" s="544">
        <v>168000</v>
      </c>
      <c r="D167" s="544">
        <v>168000</v>
      </c>
      <c r="E167" s="545"/>
    </row>
    <row r="168" spans="1:6">
      <c r="A168" s="542" t="s">
        <v>2272</v>
      </c>
      <c r="B168" s="545"/>
      <c r="C168" s="544">
        <v>53400</v>
      </c>
      <c r="D168" s="544">
        <v>53400</v>
      </c>
      <c r="E168" s="545"/>
    </row>
    <row r="169" spans="1:6">
      <c r="A169" s="542" t="s">
        <v>2273</v>
      </c>
      <c r="B169" s="545"/>
      <c r="C169" s="544">
        <v>43005</v>
      </c>
      <c r="D169" s="544">
        <v>43005</v>
      </c>
      <c r="E169" s="545"/>
    </row>
    <row r="170" spans="1:6">
      <c r="A170" s="538" t="s">
        <v>1290</v>
      </c>
      <c r="B170" s="473">
        <v>197988</v>
      </c>
      <c r="C170" s="472">
        <v>1543238</v>
      </c>
      <c r="D170" s="472">
        <v>1562396</v>
      </c>
      <c r="E170" s="473">
        <v>217146</v>
      </c>
      <c r="F170" t="s">
        <v>1548</v>
      </c>
    </row>
    <row r="171" spans="1:6">
      <c r="A171" s="538" t="s">
        <v>1969</v>
      </c>
      <c r="B171" s="473">
        <v>174004</v>
      </c>
      <c r="C171" s="472">
        <v>512971</v>
      </c>
      <c r="D171" s="472">
        <v>335327</v>
      </c>
      <c r="E171" s="474">
        <v>3640</v>
      </c>
    </row>
    <row r="172" spans="1:6">
      <c r="A172" s="538" t="s">
        <v>1792</v>
      </c>
      <c r="B172" s="470"/>
      <c r="C172" s="472">
        <v>180121</v>
      </c>
      <c r="D172" s="472">
        <v>180119</v>
      </c>
      <c r="E172" s="474">
        <v>2</v>
      </c>
    </row>
    <row r="173" spans="1:6">
      <c r="A173" s="538" t="s">
        <v>257</v>
      </c>
      <c r="B173" s="485">
        <v>468104.5</v>
      </c>
      <c r="C173" s="475">
        <v>2520376</v>
      </c>
      <c r="D173" s="475">
        <v>2808453</v>
      </c>
      <c r="E173" s="485">
        <v>756181.5</v>
      </c>
      <c r="F173" t="s">
        <v>1548</v>
      </c>
    </row>
    <row r="174" spans="1:6">
      <c r="A174" s="534" t="s">
        <v>586</v>
      </c>
      <c r="B174" s="474">
        <v>1175</v>
      </c>
      <c r="C174" s="472">
        <v>53267</v>
      </c>
      <c r="D174" s="472">
        <v>24074</v>
      </c>
      <c r="E174" s="474">
        <v>30368</v>
      </c>
      <c r="F174" s="515" t="s">
        <v>1573</v>
      </c>
    </row>
    <row r="175" spans="1:6">
      <c r="A175" s="542" t="s">
        <v>2274</v>
      </c>
      <c r="B175" s="545"/>
      <c r="C175" s="544">
        <v>49980</v>
      </c>
      <c r="D175" s="544">
        <v>49980</v>
      </c>
      <c r="E175" s="545"/>
    </row>
    <row r="176" spans="1:6">
      <c r="A176" s="469" t="s">
        <v>587</v>
      </c>
      <c r="B176" s="485">
        <v>58898.879999999997</v>
      </c>
      <c r="C176" s="477"/>
      <c r="D176" s="477"/>
      <c r="E176" s="485">
        <v>58898.879999999997</v>
      </c>
      <c r="F176" t="s">
        <v>1548</v>
      </c>
    </row>
    <row r="177" spans="1:6">
      <c r="A177" s="534" t="s">
        <v>1795</v>
      </c>
      <c r="B177" s="473">
        <v>20810</v>
      </c>
      <c r="C177" s="472">
        <v>953950</v>
      </c>
      <c r="D177" s="472">
        <v>1121456</v>
      </c>
      <c r="E177" s="473">
        <v>188316</v>
      </c>
      <c r="F177" t="s">
        <v>1548</v>
      </c>
    </row>
    <row r="178" spans="1:6">
      <c r="A178" s="538" t="s">
        <v>2275</v>
      </c>
      <c r="B178" s="473">
        <v>57356</v>
      </c>
      <c r="C178" s="472">
        <v>378574</v>
      </c>
      <c r="D178" s="472">
        <v>342469</v>
      </c>
      <c r="E178" s="473">
        <v>21251</v>
      </c>
    </row>
    <row r="179" spans="1:6">
      <c r="A179" s="548" t="s">
        <v>2276</v>
      </c>
      <c r="B179" s="545"/>
      <c r="C179" s="544">
        <v>108000</v>
      </c>
      <c r="D179" s="544">
        <v>108000</v>
      </c>
      <c r="E179" s="545"/>
    </row>
    <row r="180" spans="1:6">
      <c r="A180" s="548" t="s">
        <v>599</v>
      </c>
      <c r="B180" s="543">
        <v>5700</v>
      </c>
      <c r="C180" s="544">
        <v>5700</v>
      </c>
      <c r="D180" s="547"/>
      <c r="E180" s="545"/>
    </row>
    <row r="181" spans="1:6">
      <c r="A181" s="534" t="s">
        <v>1801</v>
      </c>
      <c r="B181" s="470"/>
      <c r="C181" s="472">
        <v>163046</v>
      </c>
      <c r="D181" s="472">
        <v>185038</v>
      </c>
      <c r="E181" s="473">
        <v>21992</v>
      </c>
    </row>
    <row r="182" spans="1:6">
      <c r="A182" s="542" t="s">
        <v>2277</v>
      </c>
      <c r="B182" s="545"/>
      <c r="C182" s="544">
        <v>33338</v>
      </c>
      <c r="D182" s="544">
        <v>33338</v>
      </c>
      <c r="E182" s="545"/>
    </row>
    <row r="183" spans="1:6">
      <c r="A183" s="538" t="s">
        <v>1418</v>
      </c>
      <c r="B183" s="474">
        <v>45667</v>
      </c>
      <c r="C183" s="471"/>
      <c r="D183" s="471"/>
      <c r="E183" s="474">
        <v>45667</v>
      </c>
      <c r="F183" s="515" t="s">
        <v>1573</v>
      </c>
    </row>
    <row r="184" spans="1:6">
      <c r="A184" s="538" t="s">
        <v>609</v>
      </c>
      <c r="B184" s="470"/>
      <c r="C184" s="472">
        <v>9137</v>
      </c>
      <c r="D184" s="472">
        <v>3587</v>
      </c>
      <c r="E184" s="474">
        <v>5550</v>
      </c>
    </row>
    <row r="185" spans="1:6" s="254" customFormat="1">
      <c r="A185" s="558" t="s">
        <v>945</v>
      </c>
      <c r="B185" s="559">
        <v>1700986.87</v>
      </c>
      <c r="C185" s="553">
        <v>52567669.700000003</v>
      </c>
      <c r="D185" s="553">
        <v>48161046</v>
      </c>
      <c r="E185" s="559">
        <v>6107610.5700000003</v>
      </c>
    </row>
    <row r="186" spans="1:6">
      <c r="A186" s="538" t="s">
        <v>2278</v>
      </c>
      <c r="B186" s="477"/>
      <c r="C186" s="475">
        <v>833792</v>
      </c>
      <c r="D186" s="475">
        <v>858993</v>
      </c>
      <c r="E186" s="485">
        <v>25201</v>
      </c>
    </row>
    <row r="187" spans="1:6">
      <c r="A187" s="534" t="s">
        <v>1420</v>
      </c>
      <c r="B187" s="470"/>
      <c r="C187" s="472">
        <v>22000</v>
      </c>
      <c r="D187" s="471"/>
      <c r="E187" s="474">
        <v>22000</v>
      </c>
    </row>
    <row r="188" spans="1:6">
      <c r="A188" s="534" t="s">
        <v>1421</v>
      </c>
      <c r="B188" s="474">
        <v>80376</v>
      </c>
      <c r="C188" s="472">
        <v>481440</v>
      </c>
      <c r="D188" s="472">
        <v>557534</v>
      </c>
      <c r="E188" s="474">
        <v>4282</v>
      </c>
      <c r="F188" s="515" t="s">
        <v>1573</v>
      </c>
    </row>
    <row r="189" spans="1:6">
      <c r="A189" s="538" t="s">
        <v>1805</v>
      </c>
      <c r="B189" s="485">
        <v>26927</v>
      </c>
      <c r="C189" s="477"/>
      <c r="D189" s="477"/>
      <c r="E189" s="485">
        <v>26927</v>
      </c>
      <c r="F189" t="s">
        <v>1548</v>
      </c>
    </row>
    <row r="190" spans="1:6">
      <c r="A190" s="538" t="s">
        <v>1700</v>
      </c>
      <c r="B190" s="474">
        <v>115613</v>
      </c>
      <c r="C190" s="472">
        <v>1922385</v>
      </c>
      <c r="D190" s="472">
        <v>1986508</v>
      </c>
      <c r="E190" s="474">
        <v>51490</v>
      </c>
      <c r="F190" s="515" t="s">
        <v>1573</v>
      </c>
    </row>
    <row r="191" spans="1:6">
      <c r="A191" s="538" t="s">
        <v>2279</v>
      </c>
      <c r="B191" s="477"/>
      <c r="C191" s="475">
        <v>128200</v>
      </c>
      <c r="D191" s="475">
        <v>128150</v>
      </c>
      <c r="E191" s="484">
        <v>50</v>
      </c>
    </row>
    <row r="192" spans="1:6">
      <c r="A192" s="538" t="s">
        <v>2280</v>
      </c>
      <c r="B192" s="470"/>
      <c r="C192" s="471"/>
      <c r="D192" s="472">
        <v>3500</v>
      </c>
      <c r="E192" s="473">
        <v>3500</v>
      </c>
    </row>
    <row r="193" spans="1:6">
      <c r="A193" s="538" t="s">
        <v>2281</v>
      </c>
      <c r="B193" s="477"/>
      <c r="C193" s="475">
        <v>95000</v>
      </c>
      <c r="D193" s="475">
        <v>98700</v>
      </c>
      <c r="E193" s="485">
        <v>3700</v>
      </c>
    </row>
    <row r="194" spans="1:6">
      <c r="A194" s="538" t="s">
        <v>617</v>
      </c>
      <c r="B194" s="474">
        <v>252828</v>
      </c>
      <c r="C194" s="471"/>
      <c r="D194" s="471"/>
      <c r="E194" s="474">
        <v>252828</v>
      </c>
      <c r="F194" s="515" t="s">
        <v>1573</v>
      </c>
    </row>
    <row r="195" spans="1:6">
      <c r="A195" s="538" t="s">
        <v>1423</v>
      </c>
      <c r="B195" s="473">
        <v>28377</v>
      </c>
      <c r="C195" s="471"/>
      <c r="D195" s="471"/>
      <c r="E195" s="473">
        <v>28377</v>
      </c>
      <c r="F195" t="s">
        <v>1548</v>
      </c>
    </row>
    <row r="196" spans="1:6">
      <c r="A196" s="534" t="s">
        <v>2282</v>
      </c>
      <c r="B196" s="470"/>
      <c r="C196" s="472">
        <v>3600</v>
      </c>
      <c r="D196" s="472">
        <v>5546</v>
      </c>
      <c r="E196" s="473">
        <v>1946</v>
      </c>
    </row>
    <row r="197" spans="1:6">
      <c r="A197" s="534" t="s">
        <v>618</v>
      </c>
      <c r="B197" s="485">
        <v>12448</v>
      </c>
      <c r="C197" s="475">
        <v>54495</v>
      </c>
      <c r="D197" s="475">
        <v>14900</v>
      </c>
      <c r="E197" s="484">
        <v>27147</v>
      </c>
    </row>
    <row r="198" spans="1:6">
      <c r="A198" s="561" t="s">
        <v>1428</v>
      </c>
      <c r="B198" s="562"/>
      <c r="C198" s="563">
        <v>98734</v>
      </c>
      <c r="D198" s="563">
        <v>98734</v>
      </c>
      <c r="E198" s="562"/>
    </row>
    <row r="199" spans="1:6">
      <c r="A199" s="534" t="s">
        <v>621</v>
      </c>
      <c r="B199" s="485">
        <v>65063</v>
      </c>
      <c r="C199" s="477"/>
      <c r="D199" s="477"/>
      <c r="E199" s="485">
        <v>65063</v>
      </c>
      <c r="F199" t="s">
        <v>1548</v>
      </c>
    </row>
    <row r="200" spans="1:6">
      <c r="A200" s="534" t="s">
        <v>623</v>
      </c>
      <c r="B200" s="470"/>
      <c r="C200" s="472">
        <v>2500</v>
      </c>
      <c r="D200" s="471"/>
      <c r="E200" s="474">
        <v>2500</v>
      </c>
    </row>
    <row r="201" spans="1:6">
      <c r="A201" s="538" t="s">
        <v>2283</v>
      </c>
      <c r="B201" s="470"/>
      <c r="C201" s="471"/>
      <c r="D201" s="472">
        <v>11500</v>
      </c>
      <c r="E201" s="473">
        <v>11500</v>
      </c>
    </row>
    <row r="202" spans="1:6">
      <c r="A202" s="538" t="s">
        <v>2284</v>
      </c>
      <c r="B202" s="470"/>
      <c r="C202" s="472">
        <v>8184</v>
      </c>
      <c r="D202" s="471"/>
      <c r="E202" s="474">
        <v>8184</v>
      </c>
    </row>
    <row r="203" spans="1:6">
      <c r="A203" s="538" t="s">
        <v>2285</v>
      </c>
      <c r="B203" s="470"/>
      <c r="C203" s="472">
        <v>1850</v>
      </c>
      <c r="D203" s="471"/>
      <c r="E203" s="474">
        <v>1850</v>
      </c>
    </row>
    <row r="204" spans="1:6">
      <c r="A204" s="538" t="s">
        <v>1972</v>
      </c>
      <c r="B204" s="474">
        <v>6260</v>
      </c>
      <c r="C204" s="472">
        <v>1027350</v>
      </c>
      <c r="D204" s="472">
        <v>1099750</v>
      </c>
      <c r="E204" s="473">
        <v>66140</v>
      </c>
      <c r="F204" s="515"/>
    </row>
    <row r="205" spans="1:6">
      <c r="A205" s="538" t="s">
        <v>627</v>
      </c>
      <c r="B205" s="474">
        <v>4760</v>
      </c>
      <c r="C205" s="472">
        <v>317036</v>
      </c>
      <c r="D205" s="472">
        <v>312550</v>
      </c>
      <c r="E205" s="474">
        <v>9246</v>
      </c>
      <c r="F205" s="515" t="s">
        <v>1573</v>
      </c>
    </row>
    <row r="206" spans="1:6">
      <c r="A206" s="564" t="s">
        <v>2286</v>
      </c>
      <c r="B206" s="562"/>
      <c r="C206" s="563">
        <v>119000</v>
      </c>
      <c r="D206" s="563">
        <v>119000</v>
      </c>
      <c r="E206" s="562"/>
    </row>
    <row r="207" spans="1:6">
      <c r="A207" s="539" t="s">
        <v>1701</v>
      </c>
      <c r="B207" s="474">
        <v>405106.3</v>
      </c>
      <c r="C207" s="472">
        <v>1118228.7</v>
      </c>
      <c r="D207" s="472">
        <v>1509335</v>
      </c>
      <c r="E207" s="474">
        <v>14000</v>
      </c>
      <c r="F207" s="515" t="s">
        <v>1573</v>
      </c>
    </row>
    <row r="208" spans="1:6">
      <c r="A208" s="534" t="s">
        <v>1281</v>
      </c>
      <c r="B208" s="485">
        <v>5785</v>
      </c>
      <c r="C208" s="475">
        <v>7500</v>
      </c>
      <c r="D208" s="475">
        <v>7500</v>
      </c>
      <c r="E208" s="485">
        <v>5785</v>
      </c>
      <c r="F208" t="s">
        <v>1548</v>
      </c>
    </row>
    <row r="209" spans="1:6">
      <c r="A209" s="538" t="s">
        <v>1973</v>
      </c>
      <c r="B209" s="535">
        <v>3114</v>
      </c>
      <c r="C209" s="499">
        <v>199555</v>
      </c>
      <c r="D209" s="499">
        <v>195453</v>
      </c>
      <c r="E209" s="483">
        <v>988</v>
      </c>
    </row>
    <row r="210" spans="1:6">
      <c r="A210" s="538" t="s">
        <v>2287</v>
      </c>
      <c r="B210" s="470"/>
      <c r="C210" s="472">
        <v>163786</v>
      </c>
      <c r="D210" s="471"/>
      <c r="E210" s="474">
        <v>163786</v>
      </c>
    </row>
    <row r="211" spans="1:6">
      <c r="A211" s="539" t="s">
        <v>2288</v>
      </c>
      <c r="B211" s="470"/>
      <c r="C211" s="472">
        <v>2650000</v>
      </c>
      <c r="D211" s="471"/>
      <c r="E211" s="474">
        <v>2650000</v>
      </c>
    </row>
    <row r="212" spans="1:6">
      <c r="A212" s="538" t="s">
        <v>632</v>
      </c>
      <c r="B212" s="474">
        <v>5480</v>
      </c>
      <c r="C212" s="472">
        <v>805151</v>
      </c>
      <c r="D212" s="472">
        <v>767225</v>
      </c>
      <c r="E212" s="474">
        <v>43406</v>
      </c>
    </row>
    <row r="213" spans="1:6">
      <c r="A213" s="538" t="s">
        <v>1702</v>
      </c>
      <c r="B213" s="484">
        <v>191700</v>
      </c>
      <c r="C213" s="475">
        <v>5500</v>
      </c>
      <c r="D213" s="475">
        <v>190000</v>
      </c>
      <c r="E213" s="484">
        <v>7200</v>
      </c>
    </row>
    <row r="214" spans="1:6">
      <c r="A214" s="567" t="s">
        <v>2289</v>
      </c>
      <c r="B214" s="565"/>
      <c r="C214" s="566">
        <v>649000</v>
      </c>
      <c r="D214" s="566">
        <v>649000</v>
      </c>
      <c r="E214" s="565"/>
    </row>
    <row r="215" spans="1:6">
      <c r="A215" s="538" t="s">
        <v>2290</v>
      </c>
      <c r="B215" s="477"/>
      <c r="C215" s="475">
        <v>60260</v>
      </c>
      <c r="D215" s="475">
        <v>60450</v>
      </c>
      <c r="E215" s="485">
        <v>190</v>
      </c>
    </row>
    <row r="216" spans="1:6">
      <c r="A216" s="538" t="s">
        <v>1280</v>
      </c>
      <c r="B216" s="502"/>
      <c r="C216" s="499">
        <v>27341</v>
      </c>
      <c r="D216" s="499">
        <v>28716</v>
      </c>
      <c r="E216" s="535">
        <v>1375</v>
      </c>
    </row>
    <row r="217" spans="1:6">
      <c r="A217" s="534" t="s">
        <v>1011</v>
      </c>
      <c r="B217" s="473">
        <v>28778</v>
      </c>
      <c r="C217" s="472">
        <v>249200</v>
      </c>
      <c r="D217" s="472">
        <v>275800</v>
      </c>
      <c r="E217" s="473">
        <v>55378</v>
      </c>
      <c r="F217" t="s">
        <v>1548</v>
      </c>
    </row>
    <row r="218" spans="1:6">
      <c r="A218" s="534" t="s">
        <v>2291</v>
      </c>
      <c r="B218" s="470"/>
      <c r="C218" s="472">
        <v>3500</v>
      </c>
      <c r="D218" s="471"/>
      <c r="E218" s="474">
        <v>3500</v>
      </c>
    </row>
    <row r="219" spans="1:6">
      <c r="A219" s="538" t="s">
        <v>2292</v>
      </c>
      <c r="B219" s="477"/>
      <c r="C219" s="475">
        <v>102808</v>
      </c>
      <c r="D219" s="475">
        <v>107808</v>
      </c>
      <c r="E219" s="485">
        <v>5000</v>
      </c>
    </row>
    <row r="220" spans="1:6">
      <c r="A220" s="538" t="s">
        <v>2293</v>
      </c>
      <c r="B220" s="502"/>
      <c r="C220" s="499">
        <v>419500</v>
      </c>
      <c r="D220" s="499">
        <v>534395</v>
      </c>
      <c r="E220" s="535">
        <v>114895</v>
      </c>
    </row>
    <row r="221" spans="1:6">
      <c r="A221" s="534" t="s">
        <v>635</v>
      </c>
      <c r="B221" s="485">
        <v>28091</v>
      </c>
      <c r="C221" s="475">
        <v>79941</v>
      </c>
      <c r="D221" s="475">
        <v>63534</v>
      </c>
      <c r="E221" s="485">
        <v>11684</v>
      </c>
      <c r="F221" t="s">
        <v>1548</v>
      </c>
    </row>
    <row r="222" spans="1:6">
      <c r="A222" s="564" t="s">
        <v>2294</v>
      </c>
      <c r="B222" s="565"/>
      <c r="C222" s="566">
        <v>157500</v>
      </c>
      <c r="D222" s="566">
        <v>157500</v>
      </c>
      <c r="E222" s="565"/>
    </row>
    <row r="223" spans="1:6">
      <c r="A223" s="538" t="s">
        <v>637</v>
      </c>
      <c r="B223" s="485">
        <v>8965</v>
      </c>
      <c r="C223" s="475">
        <v>57897</v>
      </c>
      <c r="D223" s="475">
        <v>41956</v>
      </c>
      <c r="E223" s="484">
        <v>6976</v>
      </c>
    </row>
    <row r="224" spans="1:6">
      <c r="A224" s="538" t="s">
        <v>1440</v>
      </c>
      <c r="B224" s="484">
        <v>16590</v>
      </c>
      <c r="C224" s="477"/>
      <c r="D224" s="477"/>
      <c r="E224" s="484">
        <v>16590</v>
      </c>
    </row>
    <row r="225" spans="1:6">
      <c r="A225" s="534" t="s">
        <v>1976</v>
      </c>
      <c r="B225" s="473">
        <v>2857</v>
      </c>
      <c r="C225" s="472">
        <v>114870</v>
      </c>
      <c r="D225" s="472">
        <v>120005</v>
      </c>
      <c r="E225" s="473">
        <v>7992</v>
      </c>
      <c r="F225" t="s">
        <v>1548</v>
      </c>
    </row>
    <row r="226" spans="1:6">
      <c r="A226" s="538" t="s">
        <v>1977</v>
      </c>
      <c r="B226" s="484">
        <v>292419</v>
      </c>
      <c r="C226" s="475">
        <v>2867071</v>
      </c>
      <c r="D226" s="475">
        <v>3255593</v>
      </c>
      <c r="E226" s="485">
        <v>96103</v>
      </c>
    </row>
    <row r="227" spans="1:6">
      <c r="A227" s="538" t="s">
        <v>645</v>
      </c>
      <c r="B227" s="470"/>
      <c r="C227" s="472">
        <v>1173163</v>
      </c>
      <c r="D227" s="472">
        <v>1146287</v>
      </c>
      <c r="E227" s="474">
        <v>26876</v>
      </c>
    </row>
    <row r="228" spans="1:6">
      <c r="A228" s="538" t="s">
        <v>646</v>
      </c>
      <c r="B228" s="473">
        <v>7808</v>
      </c>
      <c r="C228" s="471"/>
      <c r="D228" s="471"/>
      <c r="E228" s="473">
        <v>7808</v>
      </c>
      <c r="F228" t="s">
        <v>1548</v>
      </c>
    </row>
    <row r="229" spans="1:6">
      <c r="A229" s="538" t="s">
        <v>649</v>
      </c>
      <c r="B229" s="485">
        <v>18445</v>
      </c>
      <c r="C229" s="475">
        <v>170565</v>
      </c>
      <c r="D229" s="475">
        <v>227022</v>
      </c>
      <c r="E229" s="485">
        <v>74902</v>
      </c>
      <c r="F229" t="s">
        <v>1548</v>
      </c>
    </row>
    <row r="230" spans="1:6">
      <c r="A230" s="538" t="s">
        <v>2295</v>
      </c>
      <c r="B230" s="470"/>
      <c r="C230" s="472">
        <v>1171168</v>
      </c>
      <c r="D230" s="472">
        <v>1182470</v>
      </c>
      <c r="E230" s="473">
        <v>11302</v>
      </c>
    </row>
    <row r="231" spans="1:6">
      <c r="A231" s="538" t="s">
        <v>1442</v>
      </c>
      <c r="B231" s="477"/>
      <c r="C231" s="475">
        <v>2420</v>
      </c>
      <c r="D231" s="477"/>
      <c r="E231" s="484">
        <v>2420</v>
      </c>
    </row>
    <row r="232" spans="1:6">
      <c r="A232" s="538" t="s">
        <v>1017</v>
      </c>
      <c r="B232" s="473">
        <v>34896</v>
      </c>
      <c r="C232" s="472">
        <v>298960</v>
      </c>
      <c r="D232" s="472">
        <v>319233</v>
      </c>
      <c r="E232" s="473">
        <v>55169</v>
      </c>
      <c r="F232" t="s">
        <v>1548</v>
      </c>
    </row>
    <row r="233" spans="1:6">
      <c r="A233" s="538" t="s">
        <v>1703</v>
      </c>
      <c r="B233" s="474">
        <v>99949</v>
      </c>
      <c r="C233" s="472">
        <v>3113747</v>
      </c>
      <c r="D233" s="472">
        <v>2946986</v>
      </c>
      <c r="E233" s="474">
        <v>266710</v>
      </c>
      <c r="F233" s="515" t="s">
        <v>1573</v>
      </c>
    </row>
    <row r="234" spans="1:6">
      <c r="A234" s="538" t="s">
        <v>2296</v>
      </c>
      <c r="B234" s="470"/>
      <c r="C234" s="472">
        <v>4300</v>
      </c>
      <c r="D234" s="472">
        <v>4900</v>
      </c>
      <c r="E234" s="473">
        <v>600</v>
      </c>
    </row>
    <row r="235" spans="1:6">
      <c r="A235" s="534" t="s">
        <v>2297</v>
      </c>
      <c r="B235" s="477"/>
      <c r="C235" s="475">
        <v>6000</v>
      </c>
      <c r="D235" s="477"/>
      <c r="E235" s="484">
        <v>6000</v>
      </c>
    </row>
    <row r="236" spans="1:6">
      <c r="A236" s="564" t="s">
        <v>1978</v>
      </c>
      <c r="B236" s="568">
        <v>7897</v>
      </c>
      <c r="C236" s="563">
        <v>7897</v>
      </c>
      <c r="D236" s="569"/>
      <c r="E236" s="562"/>
    </row>
    <row r="237" spans="1:6">
      <c r="A237" s="538" t="s">
        <v>1445</v>
      </c>
      <c r="B237" s="485">
        <v>6330</v>
      </c>
      <c r="C237" s="477"/>
      <c r="D237" s="477"/>
      <c r="E237" s="485">
        <v>6330</v>
      </c>
      <c r="F237" t="s">
        <v>1548</v>
      </c>
    </row>
    <row r="238" spans="1:6">
      <c r="A238" s="534" t="s">
        <v>1705</v>
      </c>
      <c r="B238" s="473">
        <v>13426</v>
      </c>
      <c r="C238" s="471"/>
      <c r="D238" s="471"/>
      <c r="E238" s="473">
        <v>13426</v>
      </c>
      <c r="F238" t="s">
        <v>1548</v>
      </c>
    </row>
    <row r="239" spans="1:6">
      <c r="A239" s="538" t="s">
        <v>2298</v>
      </c>
      <c r="B239" s="470"/>
      <c r="C239" s="472">
        <v>124400</v>
      </c>
      <c r="D239" s="471"/>
      <c r="E239" s="474">
        <v>124400</v>
      </c>
    </row>
    <row r="240" spans="1:6">
      <c r="A240" s="538" t="s">
        <v>1980</v>
      </c>
      <c r="B240" s="474">
        <v>26469</v>
      </c>
      <c r="C240" s="472">
        <v>10450</v>
      </c>
      <c r="D240" s="472">
        <v>41055</v>
      </c>
      <c r="E240" s="473">
        <v>4136</v>
      </c>
    </row>
    <row r="241" spans="1:6">
      <c r="A241" s="538" t="s">
        <v>661</v>
      </c>
      <c r="B241" s="470"/>
      <c r="C241" s="472">
        <v>6500</v>
      </c>
      <c r="D241" s="471"/>
      <c r="E241" s="474">
        <v>6500</v>
      </c>
    </row>
    <row r="242" spans="1:6">
      <c r="A242" s="538" t="s">
        <v>2299</v>
      </c>
      <c r="B242" s="477"/>
      <c r="C242" s="475">
        <v>120000</v>
      </c>
      <c r="D242" s="475">
        <v>131192</v>
      </c>
      <c r="E242" s="485">
        <v>11192</v>
      </c>
    </row>
    <row r="243" spans="1:6">
      <c r="A243" s="538" t="s">
        <v>665</v>
      </c>
      <c r="B243" s="473">
        <v>33942</v>
      </c>
      <c r="C243" s="471"/>
      <c r="D243" s="471"/>
      <c r="E243" s="473">
        <v>33942</v>
      </c>
      <c r="F243" t="s">
        <v>1548</v>
      </c>
    </row>
    <row r="244" spans="1:6">
      <c r="A244" s="538" t="s">
        <v>1706</v>
      </c>
      <c r="B244" s="474">
        <v>95383.5</v>
      </c>
      <c r="C244" s="472">
        <v>3872820</v>
      </c>
      <c r="D244" s="472">
        <v>2557248</v>
      </c>
      <c r="E244" s="474">
        <v>1410955.5</v>
      </c>
      <c r="F244" s="515" t="s">
        <v>1573</v>
      </c>
    </row>
    <row r="245" spans="1:6">
      <c r="A245" s="561" t="s">
        <v>2300</v>
      </c>
      <c r="B245" s="570"/>
      <c r="C245" s="571">
        <v>13500</v>
      </c>
      <c r="D245" s="571">
        <v>13500</v>
      </c>
      <c r="E245" s="570"/>
    </row>
    <row r="246" spans="1:6">
      <c r="A246" s="538" t="s">
        <v>667</v>
      </c>
      <c r="B246" s="535">
        <v>16718</v>
      </c>
      <c r="C246" s="499">
        <v>142660</v>
      </c>
      <c r="D246" s="499">
        <v>184251</v>
      </c>
      <c r="E246" s="535">
        <v>58309</v>
      </c>
      <c r="F246" t="s">
        <v>1548</v>
      </c>
    </row>
    <row r="247" spans="1:6">
      <c r="A247" s="534" t="s">
        <v>1982</v>
      </c>
      <c r="B247" s="484">
        <v>268460</v>
      </c>
      <c r="C247" s="475">
        <v>1337900</v>
      </c>
      <c r="D247" s="475">
        <v>1581810</v>
      </c>
      <c r="E247" s="484">
        <v>24550</v>
      </c>
      <c r="F247" s="515" t="s">
        <v>1573</v>
      </c>
    </row>
    <row r="248" spans="1:6">
      <c r="A248" s="538" t="s">
        <v>1983</v>
      </c>
      <c r="B248" s="535">
        <v>20954</v>
      </c>
      <c r="C248" s="499">
        <v>770803</v>
      </c>
      <c r="D248" s="499">
        <v>716861</v>
      </c>
      <c r="E248" s="483">
        <v>32988</v>
      </c>
    </row>
    <row r="249" spans="1:6">
      <c r="A249" s="534" t="s">
        <v>1449</v>
      </c>
      <c r="B249" s="535">
        <v>12539</v>
      </c>
      <c r="C249" s="499">
        <v>167078</v>
      </c>
      <c r="D249" s="499">
        <v>167973</v>
      </c>
      <c r="E249" s="535">
        <v>13434</v>
      </c>
      <c r="F249" t="s">
        <v>1548</v>
      </c>
    </row>
    <row r="250" spans="1:6">
      <c r="A250" s="538" t="s">
        <v>669</v>
      </c>
      <c r="B250" s="474">
        <v>21514</v>
      </c>
      <c r="C250" s="472">
        <v>589890</v>
      </c>
      <c r="D250" s="472">
        <v>558848</v>
      </c>
      <c r="E250" s="474">
        <v>52556</v>
      </c>
      <c r="F250" s="515" t="s">
        <v>1573</v>
      </c>
    </row>
    <row r="251" spans="1:6">
      <c r="A251" s="538" t="s">
        <v>1450</v>
      </c>
      <c r="B251" s="470"/>
      <c r="C251" s="472">
        <v>1387</v>
      </c>
      <c r="D251" s="471"/>
      <c r="E251" s="474">
        <v>1387</v>
      </c>
    </row>
    <row r="252" spans="1:6">
      <c r="A252" s="534" t="s">
        <v>670</v>
      </c>
      <c r="B252" s="485">
        <v>75441</v>
      </c>
      <c r="C252" s="475">
        <v>509550</v>
      </c>
      <c r="D252" s="475">
        <v>373470</v>
      </c>
      <c r="E252" s="484">
        <v>60639</v>
      </c>
    </row>
    <row r="253" spans="1:6">
      <c r="A253" s="538" t="s">
        <v>2301</v>
      </c>
      <c r="B253" s="470"/>
      <c r="C253" s="472">
        <v>2491217</v>
      </c>
      <c r="D253" s="472">
        <v>2502424</v>
      </c>
      <c r="E253" s="473">
        <v>11207</v>
      </c>
    </row>
    <row r="254" spans="1:6">
      <c r="A254" s="538" t="s">
        <v>2302</v>
      </c>
      <c r="B254" s="477"/>
      <c r="C254" s="475">
        <v>13</v>
      </c>
      <c r="D254" s="477"/>
      <c r="E254" s="484">
        <v>13</v>
      </c>
    </row>
    <row r="255" spans="1:6">
      <c r="A255" s="538" t="s">
        <v>1279</v>
      </c>
      <c r="B255" s="474">
        <v>234568</v>
      </c>
      <c r="C255" s="472">
        <v>30000</v>
      </c>
      <c r="D255" s="471"/>
      <c r="E255" s="474">
        <v>264568</v>
      </c>
      <c r="F255" s="515" t="s">
        <v>1573</v>
      </c>
    </row>
    <row r="256" spans="1:6">
      <c r="A256" s="538" t="s">
        <v>2303</v>
      </c>
      <c r="B256" s="470"/>
      <c r="C256" s="472">
        <v>45530</v>
      </c>
      <c r="D256" s="471"/>
      <c r="E256" s="474">
        <v>45530</v>
      </c>
    </row>
    <row r="257" spans="1:6">
      <c r="A257" s="564" t="s">
        <v>1985</v>
      </c>
      <c r="B257" s="568">
        <v>328459</v>
      </c>
      <c r="C257" s="563">
        <v>328459</v>
      </c>
      <c r="D257" s="569"/>
      <c r="E257" s="562"/>
    </row>
    <row r="258" spans="1:6">
      <c r="A258" s="534" t="s">
        <v>2304</v>
      </c>
      <c r="B258" s="470"/>
      <c r="C258" s="472">
        <v>3500</v>
      </c>
      <c r="D258" s="472">
        <v>3827</v>
      </c>
      <c r="E258" s="473">
        <v>327</v>
      </c>
    </row>
    <row r="259" spans="1:6">
      <c r="A259" s="538" t="s">
        <v>671</v>
      </c>
      <c r="B259" s="470"/>
      <c r="C259" s="472">
        <v>10000</v>
      </c>
      <c r="D259" s="471"/>
      <c r="E259" s="474">
        <v>10000</v>
      </c>
    </row>
    <row r="260" spans="1:6">
      <c r="A260" s="538" t="s">
        <v>1986</v>
      </c>
      <c r="B260" s="474">
        <v>44550</v>
      </c>
      <c r="C260" s="472">
        <v>835100</v>
      </c>
      <c r="D260" s="472">
        <v>899347</v>
      </c>
      <c r="E260" s="473">
        <v>19697</v>
      </c>
    </row>
    <row r="261" spans="1:6">
      <c r="A261" s="538" t="s">
        <v>1025</v>
      </c>
      <c r="B261" s="484">
        <v>218178</v>
      </c>
      <c r="C261" s="475">
        <v>2296960</v>
      </c>
      <c r="D261" s="475">
        <v>2470453</v>
      </c>
      <c r="E261" s="484">
        <v>44685</v>
      </c>
      <c r="F261" s="515" t="s">
        <v>1573</v>
      </c>
    </row>
    <row r="262" spans="1:6">
      <c r="A262" s="539" t="s">
        <v>1987</v>
      </c>
      <c r="B262" s="474">
        <v>119700</v>
      </c>
      <c r="C262" s="472">
        <v>232500</v>
      </c>
      <c r="D262" s="472">
        <v>283330</v>
      </c>
      <c r="E262" s="474">
        <v>68870</v>
      </c>
      <c r="F262" s="515" t="s">
        <v>1573</v>
      </c>
    </row>
    <row r="263" spans="1:6">
      <c r="A263" s="538" t="s">
        <v>1455</v>
      </c>
      <c r="B263" s="474">
        <v>6564</v>
      </c>
      <c r="C263" s="472">
        <v>608905</v>
      </c>
      <c r="D263" s="472">
        <v>571118</v>
      </c>
      <c r="E263" s="474">
        <v>44351</v>
      </c>
      <c r="F263" s="515" t="s">
        <v>1573</v>
      </c>
    </row>
    <row r="264" spans="1:6">
      <c r="A264" s="538" t="s">
        <v>2305</v>
      </c>
      <c r="B264" s="477"/>
      <c r="C264" s="475">
        <v>8950</v>
      </c>
      <c r="D264" s="475">
        <v>8950</v>
      </c>
      <c r="E264" s="477"/>
    </row>
    <row r="265" spans="1:6">
      <c r="A265" s="534" t="s">
        <v>677</v>
      </c>
      <c r="B265" s="483">
        <v>37934</v>
      </c>
      <c r="C265" s="499">
        <v>516502</v>
      </c>
      <c r="D265" s="499">
        <v>500349</v>
      </c>
      <c r="E265" s="483">
        <v>54087</v>
      </c>
      <c r="F265" s="515" t="s">
        <v>1573</v>
      </c>
    </row>
    <row r="266" spans="1:6">
      <c r="A266" s="534" t="s">
        <v>2306</v>
      </c>
      <c r="B266" s="470"/>
      <c r="C266" s="472">
        <v>1850</v>
      </c>
      <c r="D266" s="472">
        <v>5000</v>
      </c>
      <c r="E266" s="473">
        <v>3150</v>
      </c>
    </row>
    <row r="267" spans="1:6">
      <c r="A267" s="538" t="s">
        <v>1816</v>
      </c>
      <c r="B267" s="474">
        <v>34313</v>
      </c>
      <c r="C267" s="472">
        <v>254979</v>
      </c>
      <c r="D267" s="472">
        <v>267112</v>
      </c>
      <c r="E267" s="474">
        <v>22180</v>
      </c>
      <c r="F267" s="515" t="s">
        <v>1573</v>
      </c>
    </row>
    <row r="268" spans="1:6">
      <c r="A268" s="538" t="s">
        <v>2307</v>
      </c>
      <c r="B268" s="470"/>
      <c r="C268" s="472">
        <v>9435</v>
      </c>
      <c r="D268" s="472">
        <v>73550</v>
      </c>
      <c r="E268" s="473">
        <v>64115</v>
      </c>
    </row>
    <row r="269" spans="1:6">
      <c r="A269" s="538" t="s">
        <v>1027</v>
      </c>
      <c r="B269" s="485">
        <v>9225</v>
      </c>
      <c r="C269" s="477"/>
      <c r="D269" s="477"/>
      <c r="E269" s="485">
        <v>9225</v>
      </c>
      <c r="F269" t="s">
        <v>1548</v>
      </c>
    </row>
    <row r="270" spans="1:6">
      <c r="A270" s="538" t="s">
        <v>2308</v>
      </c>
      <c r="B270" s="470"/>
      <c r="C270" s="472">
        <v>4011822</v>
      </c>
      <c r="D270" s="472">
        <v>4011822</v>
      </c>
      <c r="E270" s="470"/>
    </row>
    <row r="271" spans="1:6">
      <c r="A271" s="564" t="s">
        <v>1988</v>
      </c>
      <c r="B271" s="572">
        <v>27302</v>
      </c>
      <c r="C271" s="571">
        <v>27302</v>
      </c>
      <c r="D271" s="570"/>
      <c r="E271" s="570"/>
    </row>
    <row r="272" spans="1:6">
      <c r="A272" s="538" t="s">
        <v>1712</v>
      </c>
      <c r="B272" s="474">
        <v>198116</v>
      </c>
      <c r="C272" s="472">
        <v>1340985</v>
      </c>
      <c r="D272" s="472">
        <v>1476711</v>
      </c>
      <c r="E272" s="474">
        <v>62390</v>
      </c>
      <c r="F272" s="515" t="s">
        <v>1573</v>
      </c>
    </row>
    <row r="273" spans="1:6">
      <c r="A273" s="538" t="s">
        <v>2309</v>
      </c>
      <c r="B273" s="477"/>
      <c r="C273" s="475">
        <v>87000</v>
      </c>
      <c r="D273" s="475">
        <v>87150</v>
      </c>
      <c r="E273" s="485">
        <v>150</v>
      </c>
    </row>
    <row r="274" spans="1:6">
      <c r="A274" s="534" t="s">
        <v>685</v>
      </c>
      <c r="B274" s="484">
        <v>265000</v>
      </c>
      <c r="C274" s="475">
        <v>25000</v>
      </c>
      <c r="D274" s="477"/>
      <c r="E274" s="484">
        <v>290000</v>
      </c>
      <c r="F274" s="515" t="s">
        <v>1573</v>
      </c>
    </row>
    <row r="275" spans="1:6">
      <c r="A275" s="538" t="s">
        <v>2310</v>
      </c>
      <c r="B275" s="502"/>
      <c r="C275" s="499">
        <v>400000</v>
      </c>
      <c r="D275" s="502"/>
      <c r="E275" s="483">
        <v>400000</v>
      </c>
    </row>
    <row r="276" spans="1:6">
      <c r="A276" s="534" t="s">
        <v>1819</v>
      </c>
      <c r="B276" s="477"/>
      <c r="C276" s="477"/>
      <c r="D276" s="475">
        <v>6465</v>
      </c>
      <c r="E276" s="485">
        <v>6465</v>
      </c>
    </row>
    <row r="277" spans="1:6">
      <c r="A277" s="538" t="s">
        <v>2311</v>
      </c>
      <c r="B277" s="470"/>
      <c r="C277" s="472">
        <v>2000000</v>
      </c>
      <c r="D277" s="472">
        <v>2330441</v>
      </c>
      <c r="E277" s="473">
        <v>330441</v>
      </c>
    </row>
    <row r="278" spans="1:6">
      <c r="A278" s="564" t="s">
        <v>1990</v>
      </c>
      <c r="B278" s="573">
        <v>92384</v>
      </c>
      <c r="C278" s="571">
        <v>828731</v>
      </c>
      <c r="D278" s="571">
        <v>921115</v>
      </c>
      <c r="E278" s="570"/>
    </row>
    <row r="279" spans="1:6">
      <c r="A279" s="534" t="s">
        <v>1029</v>
      </c>
      <c r="B279" s="470"/>
      <c r="C279" s="472">
        <v>9100</v>
      </c>
      <c r="D279" s="472">
        <v>9399</v>
      </c>
      <c r="E279" s="473">
        <v>299</v>
      </c>
    </row>
    <row r="280" spans="1:6">
      <c r="A280" s="538" t="s">
        <v>2312</v>
      </c>
      <c r="B280" s="477"/>
      <c r="C280" s="475">
        <v>22500</v>
      </c>
      <c r="D280" s="475">
        <v>22715</v>
      </c>
      <c r="E280" s="485">
        <v>215</v>
      </c>
    </row>
    <row r="281" spans="1:6">
      <c r="A281" s="538" t="s">
        <v>2313</v>
      </c>
      <c r="B281" s="470"/>
      <c r="C281" s="472">
        <v>329543</v>
      </c>
      <c r="D281" s="472">
        <v>296543</v>
      </c>
      <c r="E281" s="474">
        <v>33000</v>
      </c>
    </row>
    <row r="282" spans="1:6">
      <c r="A282" s="538" t="s">
        <v>1031</v>
      </c>
      <c r="B282" s="473">
        <v>207531</v>
      </c>
      <c r="C282" s="472">
        <v>5440322</v>
      </c>
      <c r="D282" s="472">
        <v>3996038</v>
      </c>
      <c r="E282" s="474">
        <v>1236753</v>
      </c>
    </row>
    <row r="283" spans="1:6">
      <c r="A283" s="534" t="s">
        <v>1991</v>
      </c>
      <c r="B283" s="474">
        <v>12545</v>
      </c>
      <c r="C283" s="503">
        <v>1144156</v>
      </c>
      <c r="D283" s="503">
        <v>1180283</v>
      </c>
      <c r="E283" s="473">
        <v>23582</v>
      </c>
    </row>
    <row r="284" spans="1:6">
      <c r="A284" s="540" t="s">
        <v>2314</v>
      </c>
      <c r="B284" s="502"/>
      <c r="C284" s="481">
        <v>52000</v>
      </c>
      <c r="D284" s="481">
        <v>64300</v>
      </c>
      <c r="E284" s="535">
        <v>12300</v>
      </c>
    </row>
    <row r="285" spans="1:6">
      <c r="A285" s="538" t="s">
        <v>696</v>
      </c>
      <c r="B285" s="485">
        <v>11035</v>
      </c>
      <c r="C285" s="477"/>
      <c r="D285" s="477"/>
      <c r="E285" s="485">
        <v>11035</v>
      </c>
    </row>
    <row r="286" spans="1:6">
      <c r="A286" s="538" t="s">
        <v>1992</v>
      </c>
      <c r="B286" s="473">
        <v>1600</v>
      </c>
      <c r="C286" s="471"/>
      <c r="D286" s="471"/>
      <c r="E286" s="473">
        <v>1600</v>
      </c>
    </row>
    <row r="287" spans="1:6">
      <c r="A287" s="538" t="s">
        <v>2315</v>
      </c>
      <c r="B287" s="470"/>
      <c r="C287" s="503">
        <v>20000</v>
      </c>
      <c r="D287" s="470"/>
      <c r="E287" s="474">
        <v>20000</v>
      </c>
    </row>
    <row r="288" spans="1:6">
      <c r="A288" s="540" t="s">
        <v>2316</v>
      </c>
      <c r="B288" s="502"/>
      <c r="C288" s="481">
        <v>2800</v>
      </c>
      <c r="D288" s="487"/>
      <c r="E288" s="483">
        <v>2800</v>
      </c>
    </row>
    <row r="289" spans="1:6">
      <c r="A289" s="534" t="s">
        <v>700</v>
      </c>
      <c r="B289" s="473">
        <v>42983</v>
      </c>
      <c r="C289" s="471"/>
      <c r="D289" s="471"/>
      <c r="E289" s="473">
        <v>42983</v>
      </c>
    </row>
    <row r="290" spans="1:6">
      <c r="A290" s="538" t="s">
        <v>1993</v>
      </c>
      <c r="B290" s="473">
        <v>3800</v>
      </c>
      <c r="C290" s="471"/>
      <c r="D290" s="471"/>
      <c r="E290" s="473">
        <v>3800</v>
      </c>
    </row>
    <row r="291" spans="1:6">
      <c r="A291" s="538" t="s">
        <v>1032</v>
      </c>
      <c r="B291" s="473">
        <v>316617.93</v>
      </c>
      <c r="C291" s="471"/>
      <c r="D291" s="471"/>
      <c r="E291" s="473">
        <v>316617.93</v>
      </c>
    </row>
    <row r="292" spans="1:6">
      <c r="A292" s="534" t="s">
        <v>1994</v>
      </c>
      <c r="B292" s="473">
        <v>5574</v>
      </c>
      <c r="C292" s="472">
        <v>25000</v>
      </c>
      <c r="D292" s="471"/>
      <c r="E292" s="474">
        <v>19426</v>
      </c>
    </row>
    <row r="293" spans="1:6">
      <c r="A293" s="534" t="s">
        <v>650</v>
      </c>
      <c r="B293" s="473">
        <v>135879</v>
      </c>
      <c r="C293" s="472">
        <v>104433</v>
      </c>
      <c r="D293" s="472">
        <v>115264</v>
      </c>
      <c r="E293" s="473">
        <v>146710</v>
      </c>
      <c r="F293" t="s">
        <v>1548</v>
      </c>
    </row>
    <row r="294" spans="1:6">
      <c r="A294" s="534" t="s">
        <v>656</v>
      </c>
      <c r="B294" s="474">
        <v>55979</v>
      </c>
      <c r="C294" s="471"/>
      <c r="D294" s="472">
        <v>43300</v>
      </c>
      <c r="E294" s="474">
        <v>12679</v>
      </c>
      <c r="F294" s="515" t="s">
        <v>1573</v>
      </c>
    </row>
    <row r="295" spans="1:6">
      <c r="A295" s="534" t="s">
        <v>1176</v>
      </c>
      <c r="B295" s="473">
        <v>11194</v>
      </c>
      <c r="C295" s="471"/>
      <c r="D295" s="471"/>
      <c r="E295" s="473">
        <v>11194</v>
      </c>
      <c r="F295" t="s">
        <v>1548</v>
      </c>
    </row>
    <row r="296" spans="1:6">
      <c r="A296" s="534" t="s">
        <v>2317</v>
      </c>
      <c r="B296" s="474">
        <v>13577</v>
      </c>
      <c r="C296" s="472">
        <v>94078</v>
      </c>
      <c r="D296" s="472">
        <v>109325</v>
      </c>
      <c r="E296" s="473">
        <v>1670</v>
      </c>
    </row>
    <row r="297" spans="1:6">
      <c r="A297" s="534" t="s">
        <v>1464</v>
      </c>
      <c r="B297" s="473">
        <v>1200</v>
      </c>
      <c r="C297" s="471"/>
      <c r="D297" s="471"/>
      <c r="E297" s="473">
        <v>1200</v>
      </c>
      <c r="F297" t="s">
        <v>1548</v>
      </c>
    </row>
    <row r="298" spans="1:6">
      <c r="A298" s="534" t="s">
        <v>1037</v>
      </c>
      <c r="B298" s="474">
        <v>2947</v>
      </c>
      <c r="C298" s="472">
        <v>165445</v>
      </c>
      <c r="D298" s="472">
        <v>132205</v>
      </c>
      <c r="E298" s="474">
        <v>36187</v>
      </c>
      <c r="F298" s="515" t="s">
        <v>1573</v>
      </c>
    </row>
    <row r="299" spans="1:6">
      <c r="A299" s="538" t="s">
        <v>695</v>
      </c>
      <c r="B299" s="470"/>
      <c r="C299" s="472">
        <v>6700</v>
      </c>
      <c r="D299" s="472">
        <v>8000</v>
      </c>
      <c r="E299" s="473">
        <v>1300</v>
      </c>
    </row>
    <row r="300" spans="1:6">
      <c r="A300" s="538" t="s">
        <v>1467</v>
      </c>
      <c r="B300" s="473">
        <v>2090</v>
      </c>
      <c r="C300" s="471"/>
      <c r="D300" s="471"/>
      <c r="E300" s="473">
        <v>2090</v>
      </c>
      <c r="F300" t="s">
        <v>1548</v>
      </c>
    </row>
    <row r="301" spans="1:6">
      <c r="A301" s="538" t="s">
        <v>697</v>
      </c>
      <c r="B301" s="474">
        <v>45015</v>
      </c>
      <c r="C301" s="472">
        <v>287520</v>
      </c>
      <c r="D301" s="472">
        <v>351769</v>
      </c>
      <c r="E301" s="473">
        <v>19234</v>
      </c>
    </row>
    <row r="302" spans="1:6">
      <c r="A302" s="551" t="s">
        <v>944</v>
      </c>
      <c r="B302" s="552">
        <v>2336621.4</v>
      </c>
      <c r="C302" s="553">
        <v>30223237</v>
      </c>
      <c r="D302" s="553">
        <v>26823318</v>
      </c>
      <c r="E302" s="559">
        <v>1063297.6000000001</v>
      </c>
    </row>
    <row r="303" spans="1:6">
      <c r="A303" s="560" t="s">
        <v>2318</v>
      </c>
      <c r="B303" s="554"/>
      <c r="C303" s="555">
        <v>933970</v>
      </c>
      <c r="D303" s="555">
        <v>933970</v>
      </c>
      <c r="E303" s="554"/>
    </row>
    <row r="304" spans="1:6">
      <c r="A304" s="560" t="s">
        <v>2319</v>
      </c>
      <c r="B304" s="554"/>
      <c r="C304" s="555">
        <v>141400</v>
      </c>
      <c r="D304" s="555">
        <v>141400</v>
      </c>
      <c r="E304" s="554"/>
    </row>
    <row r="305" spans="1:6">
      <c r="A305" s="574" t="s">
        <v>1996</v>
      </c>
      <c r="B305" s="575">
        <v>89170</v>
      </c>
      <c r="C305" s="555">
        <v>89170</v>
      </c>
      <c r="D305" s="576"/>
      <c r="E305" s="554"/>
    </row>
    <row r="306" spans="1:6">
      <c r="A306" s="538" t="s">
        <v>1997</v>
      </c>
      <c r="B306" s="470"/>
      <c r="C306" s="472">
        <v>3500</v>
      </c>
      <c r="D306" s="471"/>
      <c r="E306" s="474">
        <v>3500</v>
      </c>
    </row>
    <row r="307" spans="1:6">
      <c r="A307" s="538" t="s">
        <v>2320</v>
      </c>
      <c r="B307" s="470"/>
      <c r="C307" s="472">
        <v>16500</v>
      </c>
      <c r="D307" s="472">
        <v>102000</v>
      </c>
      <c r="E307" s="473">
        <v>85500</v>
      </c>
    </row>
    <row r="308" spans="1:6">
      <c r="A308" s="537" t="s">
        <v>1716</v>
      </c>
      <c r="B308" s="470"/>
      <c r="C308" s="472">
        <v>207066</v>
      </c>
      <c r="D308" s="472">
        <v>162040</v>
      </c>
      <c r="E308" s="474">
        <v>45026</v>
      </c>
    </row>
    <row r="309" spans="1:6">
      <c r="A309" s="538" t="s">
        <v>2321</v>
      </c>
      <c r="B309" s="473">
        <v>669065</v>
      </c>
      <c r="C309" s="472">
        <v>2672285</v>
      </c>
      <c r="D309" s="472">
        <v>2054895</v>
      </c>
      <c r="E309" s="473">
        <v>51675</v>
      </c>
    </row>
    <row r="310" spans="1:6">
      <c r="A310" s="538" t="s">
        <v>1999</v>
      </c>
      <c r="B310" s="470"/>
      <c r="C310" s="472">
        <v>656000</v>
      </c>
      <c r="D310" s="472">
        <v>731000</v>
      </c>
      <c r="E310" s="473">
        <v>75000</v>
      </c>
    </row>
    <row r="311" spans="1:6">
      <c r="A311" s="538" t="s">
        <v>2322</v>
      </c>
      <c r="B311" s="470"/>
      <c r="C311" s="503">
        <v>600000</v>
      </c>
      <c r="D311" s="503">
        <v>664016</v>
      </c>
      <c r="E311" s="473">
        <v>64016</v>
      </c>
    </row>
    <row r="312" spans="1:6">
      <c r="A312" s="540" t="s">
        <v>707</v>
      </c>
      <c r="B312" s="535">
        <v>293640.2</v>
      </c>
      <c r="C312" s="481">
        <v>3068640</v>
      </c>
      <c r="D312" s="481">
        <v>3282450</v>
      </c>
      <c r="E312" s="535">
        <v>507450.2</v>
      </c>
      <c r="F312" t="s">
        <v>1548</v>
      </c>
    </row>
    <row r="313" spans="1:6">
      <c r="A313" s="190" t="s">
        <v>1717</v>
      </c>
      <c r="B313" s="263">
        <v>973949.2</v>
      </c>
      <c r="C313" s="112">
        <v>1450000</v>
      </c>
      <c r="D313" s="112">
        <v>523902</v>
      </c>
      <c r="E313" s="263">
        <v>47851.199999999997</v>
      </c>
      <c r="F313" t="s">
        <v>1548</v>
      </c>
    </row>
    <row r="314" spans="1:6">
      <c r="A314" s="574" t="s">
        <v>2323</v>
      </c>
      <c r="B314" s="554"/>
      <c r="C314" s="555">
        <v>183150</v>
      </c>
      <c r="D314" s="555">
        <v>183150</v>
      </c>
      <c r="E314" s="554"/>
    </row>
    <row r="315" spans="1:6">
      <c r="A315" s="191" t="s">
        <v>2324</v>
      </c>
      <c r="B315" s="96"/>
      <c r="C315" s="104">
        <v>654987</v>
      </c>
      <c r="D315" s="104">
        <v>648124</v>
      </c>
      <c r="E315" s="267">
        <v>6863</v>
      </c>
    </row>
    <row r="316" spans="1:6">
      <c r="A316" s="541" t="s">
        <v>2325</v>
      </c>
      <c r="B316" s="113"/>
      <c r="C316" s="201">
        <v>14740533</v>
      </c>
      <c r="D316" s="201">
        <v>12716406</v>
      </c>
      <c r="E316" s="273">
        <v>2024127</v>
      </c>
    </row>
    <row r="317" spans="1:6">
      <c r="A317" s="190" t="s">
        <v>709</v>
      </c>
      <c r="B317" s="263">
        <v>52224</v>
      </c>
      <c r="C317" s="95"/>
      <c r="D317" s="95"/>
      <c r="E317" s="263">
        <v>52224</v>
      </c>
      <c r="F317" t="s">
        <v>1548</v>
      </c>
    </row>
    <row r="318" spans="1:6">
      <c r="A318" s="574" t="s">
        <v>2326</v>
      </c>
      <c r="B318" s="554"/>
      <c r="C318" s="555">
        <v>160300</v>
      </c>
      <c r="D318" s="555">
        <v>160300</v>
      </c>
      <c r="E318" s="554"/>
    </row>
    <row r="319" spans="1:6">
      <c r="A319" s="574" t="s">
        <v>2327</v>
      </c>
      <c r="B319" s="554"/>
      <c r="C319" s="555">
        <v>161979</v>
      </c>
      <c r="D319" s="555">
        <v>161979</v>
      </c>
      <c r="E319" s="554"/>
    </row>
    <row r="320" spans="1:6">
      <c r="A320" s="15" t="s">
        <v>1475</v>
      </c>
      <c r="B320" s="263">
        <v>45200</v>
      </c>
      <c r="C320" s="112">
        <v>471900</v>
      </c>
      <c r="D320" s="112">
        <v>659370</v>
      </c>
      <c r="E320" s="263">
        <v>232670</v>
      </c>
      <c r="F320" t="s">
        <v>1548</v>
      </c>
    </row>
    <row r="321" spans="1:6">
      <c r="A321" s="191" t="s">
        <v>2328</v>
      </c>
      <c r="B321" s="96"/>
      <c r="C321" s="112">
        <v>990000</v>
      </c>
      <c r="D321" s="95"/>
      <c r="E321" s="267">
        <v>990000</v>
      </c>
    </row>
    <row r="322" spans="1:6">
      <c r="A322" s="190" t="s">
        <v>2329</v>
      </c>
      <c r="B322" s="96"/>
      <c r="C322" s="112">
        <v>50858</v>
      </c>
      <c r="D322" s="95"/>
      <c r="E322" s="267">
        <v>50858</v>
      </c>
    </row>
    <row r="323" spans="1:6">
      <c r="A323" s="190" t="s">
        <v>1831</v>
      </c>
      <c r="B323" s="263">
        <v>5241</v>
      </c>
      <c r="C323" s="95"/>
      <c r="D323" s="95"/>
      <c r="E323" s="263">
        <v>5241</v>
      </c>
      <c r="F323" t="s">
        <v>1548</v>
      </c>
    </row>
    <row r="324" spans="1:6">
      <c r="A324" s="190" t="s">
        <v>2330</v>
      </c>
      <c r="B324" s="96"/>
      <c r="C324" s="112">
        <v>60500</v>
      </c>
      <c r="D324" s="112">
        <v>121000</v>
      </c>
      <c r="E324" s="263">
        <v>60500</v>
      </c>
    </row>
    <row r="325" spans="1:6">
      <c r="A325" s="190" t="s">
        <v>2331</v>
      </c>
      <c r="B325" s="96"/>
      <c r="C325" s="112">
        <v>45725</v>
      </c>
      <c r="D325" s="112">
        <v>82644</v>
      </c>
      <c r="E325" s="263">
        <v>36919</v>
      </c>
    </row>
    <row r="326" spans="1:6">
      <c r="A326" s="574" t="s">
        <v>2332</v>
      </c>
      <c r="B326" s="554"/>
      <c r="C326" s="555">
        <v>98700</v>
      </c>
      <c r="D326" s="555">
        <v>98700</v>
      </c>
      <c r="E326" s="554"/>
    </row>
    <row r="327" spans="1:6">
      <c r="A327" s="190" t="s">
        <v>1834</v>
      </c>
      <c r="B327" s="263">
        <v>4042</v>
      </c>
      <c r="C327" s="112">
        <v>266294</v>
      </c>
      <c r="D327" s="112">
        <v>266294</v>
      </c>
      <c r="E327" s="263">
        <v>4042</v>
      </c>
      <c r="F327" t="s">
        <v>1548</v>
      </c>
    </row>
    <row r="328" spans="1:6">
      <c r="A328" s="190" t="s">
        <v>1835</v>
      </c>
      <c r="B328" s="96"/>
      <c r="C328" s="95"/>
      <c r="D328" s="112">
        <v>110000</v>
      </c>
      <c r="E328" s="263">
        <v>110000</v>
      </c>
    </row>
    <row r="329" spans="1:6">
      <c r="A329" s="190" t="s">
        <v>2333</v>
      </c>
      <c r="B329" s="96"/>
      <c r="C329" s="95"/>
      <c r="D329" s="112">
        <v>506466</v>
      </c>
      <c r="E329" s="263">
        <v>506466</v>
      </c>
    </row>
    <row r="330" spans="1:6">
      <c r="A330" s="190" t="s">
        <v>2334</v>
      </c>
      <c r="B330" s="96"/>
      <c r="C330" s="112">
        <v>765000</v>
      </c>
      <c r="D330" s="112">
        <v>859190</v>
      </c>
      <c r="E330" s="263">
        <v>94190</v>
      </c>
    </row>
    <row r="331" spans="1:6">
      <c r="A331" s="574" t="s">
        <v>2335</v>
      </c>
      <c r="B331" s="554"/>
      <c r="C331" s="555">
        <v>71598</v>
      </c>
      <c r="D331" s="555">
        <v>71598</v>
      </c>
      <c r="E331" s="554"/>
    </row>
    <row r="332" spans="1:6">
      <c r="A332" s="15" t="s">
        <v>2336</v>
      </c>
      <c r="B332" s="96"/>
      <c r="C332" s="95"/>
      <c r="D332" s="112">
        <v>14400</v>
      </c>
      <c r="E332" s="263">
        <v>14400</v>
      </c>
    </row>
    <row r="333" spans="1:6">
      <c r="A333" s="560" t="s">
        <v>2337</v>
      </c>
      <c r="B333" s="554"/>
      <c r="C333" s="555">
        <v>90990</v>
      </c>
      <c r="D333" s="555">
        <v>90990</v>
      </c>
      <c r="E333" s="554"/>
    </row>
    <row r="334" spans="1:6">
      <c r="A334" s="190" t="s">
        <v>2338</v>
      </c>
      <c r="B334" s="96"/>
      <c r="C334" s="112">
        <v>3000</v>
      </c>
      <c r="D334" s="95"/>
      <c r="E334" s="267">
        <v>3000</v>
      </c>
    </row>
    <row r="335" spans="1:6">
      <c r="A335" s="190" t="s">
        <v>1270</v>
      </c>
      <c r="B335" s="263">
        <v>108190</v>
      </c>
      <c r="C335" s="112">
        <v>88190</v>
      </c>
      <c r="D335" s="95"/>
      <c r="E335" s="263">
        <v>20000</v>
      </c>
      <c r="F335" t="s">
        <v>1548</v>
      </c>
    </row>
    <row r="336" spans="1:6">
      <c r="A336" s="574" t="s">
        <v>2007</v>
      </c>
      <c r="B336" s="575">
        <v>90400</v>
      </c>
      <c r="C336" s="555">
        <v>1094028</v>
      </c>
      <c r="D336" s="555">
        <v>1003628</v>
      </c>
      <c r="E336" s="554"/>
    </row>
    <row r="337" spans="1:6">
      <c r="A337" s="574" t="s">
        <v>721</v>
      </c>
      <c r="B337" s="575">
        <v>5500</v>
      </c>
      <c r="C337" s="555">
        <v>5500</v>
      </c>
      <c r="D337" s="576"/>
      <c r="E337" s="554"/>
    </row>
    <row r="338" spans="1:6">
      <c r="A338" s="15" t="s">
        <v>2339</v>
      </c>
      <c r="B338" s="96"/>
      <c r="C338" s="112">
        <v>193324</v>
      </c>
      <c r="D338" s="112">
        <v>197256</v>
      </c>
      <c r="E338" s="263">
        <v>3932</v>
      </c>
    </row>
    <row r="339" spans="1:6">
      <c r="A339" s="560" t="s">
        <v>1043</v>
      </c>
      <c r="B339" s="554"/>
      <c r="C339" s="555">
        <v>11400</v>
      </c>
      <c r="D339" s="555">
        <v>11400</v>
      </c>
      <c r="E339" s="554"/>
    </row>
    <row r="340" spans="1:6">
      <c r="A340" s="15" t="s">
        <v>2008</v>
      </c>
      <c r="B340" s="96"/>
      <c r="C340" s="112">
        <v>68750</v>
      </c>
      <c r="D340" s="112">
        <v>156750</v>
      </c>
      <c r="E340" s="263">
        <v>88000</v>
      </c>
    </row>
    <row r="341" spans="1:6">
      <c r="A341" s="560" t="s">
        <v>2276</v>
      </c>
      <c r="B341" s="554"/>
      <c r="C341" s="555">
        <v>108000</v>
      </c>
      <c r="D341" s="555">
        <v>108000</v>
      </c>
      <c r="E341" s="554"/>
    </row>
    <row r="342" spans="1:6">
      <c r="A342" s="577" t="s">
        <v>2013</v>
      </c>
      <c r="B342" s="575">
        <v>412000</v>
      </c>
      <c r="C342" s="555">
        <v>412000</v>
      </c>
      <c r="D342" s="576"/>
      <c r="E342" s="554"/>
    </row>
    <row r="343" spans="1:6">
      <c r="A343" s="577" t="s">
        <v>1177</v>
      </c>
      <c r="B343" s="554"/>
      <c r="C343" s="555">
        <v>14294920</v>
      </c>
      <c r="D343" s="555">
        <v>14294920</v>
      </c>
      <c r="E343" s="554"/>
    </row>
    <row r="344" spans="1:6">
      <c r="A344" s="577" t="s">
        <v>2014</v>
      </c>
      <c r="B344" s="554"/>
      <c r="C344" s="555">
        <v>2938363</v>
      </c>
      <c r="D344" s="555">
        <v>2938363</v>
      </c>
      <c r="E344" s="554"/>
    </row>
    <row r="345" spans="1:6">
      <c r="A345" s="13" t="s">
        <v>1062</v>
      </c>
      <c r="B345" s="263">
        <v>78862</v>
      </c>
      <c r="C345" s="95"/>
      <c r="D345" s="95"/>
      <c r="E345" s="263">
        <v>78862</v>
      </c>
      <c r="F345" s="515" t="s">
        <v>1546</v>
      </c>
    </row>
    <row r="346" spans="1:6">
      <c r="A346" s="13" t="s">
        <v>2015</v>
      </c>
      <c r="B346" s="263">
        <v>7968570</v>
      </c>
      <c r="C346" s="112">
        <v>12221896</v>
      </c>
      <c r="D346" s="112">
        <v>1924593</v>
      </c>
      <c r="E346" s="267">
        <v>2328733</v>
      </c>
      <c r="F346" s="515" t="s">
        <v>1577</v>
      </c>
    </row>
    <row r="347" spans="1:6">
      <c r="A347" s="13" t="s">
        <v>91</v>
      </c>
      <c r="B347" s="263">
        <v>294347</v>
      </c>
      <c r="C347" s="112">
        <v>39647</v>
      </c>
      <c r="D347" s="112">
        <v>39647</v>
      </c>
      <c r="E347" s="263">
        <v>294347</v>
      </c>
      <c r="F347" s="515" t="s">
        <v>1546</v>
      </c>
    </row>
    <row r="348" spans="1:6">
      <c r="A348" s="13" t="s">
        <v>1063</v>
      </c>
      <c r="B348" s="263">
        <v>32203.14</v>
      </c>
      <c r="C348" s="95"/>
      <c r="D348" s="95"/>
      <c r="E348" s="263">
        <v>32203.14</v>
      </c>
      <c r="F348" s="515" t="s">
        <v>1546</v>
      </c>
    </row>
    <row r="349" spans="1:6">
      <c r="A349" s="1" t="s">
        <v>39</v>
      </c>
      <c r="B349" s="270">
        <v>45976627.259999998</v>
      </c>
      <c r="C349" s="93">
        <v>8059481</v>
      </c>
      <c r="D349" s="108"/>
      <c r="E349" s="270">
        <v>54036108.259999998</v>
      </c>
    </row>
    <row r="350" spans="1:6">
      <c r="A350" s="13" t="s">
        <v>92</v>
      </c>
      <c r="B350" s="267">
        <v>868251</v>
      </c>
      <c r="C350" s="95"/>
      <c r="D350" s="95"/>
      <c r="E350" s="267">
        <v>868251</v>
      </c>
    </row>
    <row r="351" spans="1:6">
      <c r="A351" s="13" t="s">
        <v>93</v>
      </c>
      <c r="B351" s="267">
        <v>742727.8</v>
      </c>
      <c r="C351" s="112">
        <v>217883</v>
      </c>
      <c r="D351" s="95"/>
      <c r="E351" s="267">
        <v>960610.8</v>
      </c>
    </row>
    <row r="352" spans="1:6">
      <c r="A352" s="13" t="s">
        <v>94</v>
      </c>
      <c r="B352" s="263">
        <v>66044.649999999994</v>
      </c>
      <c r="C352" s="95"/>
      <c r="D352" s="95"/>
      <c r="E352" s="263">
        <v>66044.649999999994</v>
      </c>
    </row>
    <row r="353" spans="1:6">
      <c r="A353" s="13" t="s">
        <v>83</v>
      </c>
      <c r="B353" s="267">
        <v>39882554.630000003</v>
      </c>
      <c r="C353" s="112">
        <v>7764316</v>
      </c>
      <c r="D353" s="95"/>
      <c r="E353" s="267">
        <v>47646870.630000003</v>
      </c>
    </row>
    <row r="354" spans="1:6">
      <c r="A354" s="13" t="s">
        <v>942</v>
      </c>
      <c r="B354" s="267">
        <v>4549138.4800000004</v>
      </c>
      <c r="C354" s="112">
        <v>77282</v>
      </c>
      <c r="D354" s="95"/>
      <c r="E354" s="267">
        <v>4626420.4800000004</v>
      </c>
    </row>
    <row r="355" spans="1:6">
      <c r="A355" s="1" t="s">
        <v>96</v>
      </c>
      <c r="B355" s="270">
        <v>95845505.019999996</v>
      </c>
      <c r="C355" s="93">
        <v>1108641377.3800001</v>
      </c>
      <c r="D355" s="93">
        <v>1118973188.1199999</v>
      </c>
      <c r="E355" s="270">
        <v>85513694.280000001</v>
      </c>
    </row>
    <row r="356" spans="1:6">
      <c r="A356" s="118" t="s">
        <v>97</v>
      </c>
      <c r="B356" s="527">
        <v>22193775</v>
      </c>
      <c r="C356" s="115"/>
      <c r="D356" s="115"/>
      <c r="E356" s="527">
        <v>22193775</v>
      </c>
    </row>
    <row r="357" spans="1:6">
      <c r="A357" s="14" t="s">
        <v>2366</v>
      </c>
      <c r="B357" s="198">
        <v>1718775</v>
      </c>
      <c r="C357" s="95"/>
      <c r="D357" s="95"/>
      <c r="E357" s="198">
        <f>B357</f>
        <v>1718775</v>
      </c>
      <c r="F357" s="515" t="s">
        <v>1560</v>
      </c>
    </row>
    <row r="358" spans="1:6">
      <c r="A358" s="14" t="s">
        <v>730</v>
      </c>
      <c r="B358" s="198">
        <v>20450000</v>
      </c>
      <c r="C358" s="95"/>
      <c r="D358" s="95"/>
      <c r="E358" s="198">
        <f>B358</f>
        <v>20450000</v>
      </c>
      <c r="F358" s="515" t="s">
        <v>1568</v>
      </c>
    </row>
    <row r="359" spans="1:6">
      <c r="A359" s="14" t="s">
        <v>141</v>
      </c>
      <c r="B359" s="198">
        <v>1035115</v>
      </c>
      <c r="C359" s="95"/>
      <c r="D359" s="95"/>
      <c r="E359" s="198">
        <f>B359</f>
        <v>1035115</v>
      </c>
      <c r="F359" s="515" t="s">
        <v>1558</v>
      </c>
    </row>
    <row r="360" spans="1:6">
      <c r="A360" s="13" t="s">
        <v>98</v>
      </c>
      <c r="B360" s="269">
        <v>34679553.009999998</v>
      </c>
      <c r="C360" s="106">
        <v>384791567.10000002</v>
      </c>
      <c r="D360" s="106">
        <v>375238809.66000003</v>
      </c>
      <c r="E360" s="269">
        <v>44232310.450000003</v>
      </c>
    </row>
    <row r="361" spans="1:6">
      <c r="A361" s="17" t="s">
        <v>2017</v>
      </c>
      <c r="B361" s="264">
        <v>88200</v>
      </c>
      <c r="C361" s="93">
        <v>3929400</v>
      </c>
      <c r="D361" s="93">
        <v>2531400</v>
      </c>
      <c r="E361" s="270">
        <v>1309800</v>
      </c>
    </row>
    <row r="362" spans="1:6">
      <c r="A362" s="560" t="s">
        <v>2018</v>
      </c>
      <c r="B362" s="578">
        <v>1103400</v>
      </c>
      <c r="C362" s="579">
        <v>11295000</v>
      </c>
      <c r="D362" s="579">
        <v>12398400</v>
      </c>
      <c r="E362" s="554"/>
    </row>
    <row r="363" spans="1:6">
      <c r="A363" s="17" t="s">
        <v>732</v>
      </c>
      <c r="B363" s="267">
        <v>155431</v>
      </c>
      <c r="C363" s="96"/>
      <c r="D363" s="96"/>
      <c r="E363" s="267">
        <v>155431</v>
      </c>
      <c r="F363" t="s">
        <v>1561</v>
      </c>
    </row>
    <row r="364" spans="1:6">
      <c r="A364" s="17" t="s">
        <v>733</v>
      </c>
      <c r="B364" s="267">
        <v>236250</v>
      </c>
      <c r="C364" s="96"/>
      <c r="D364" s="96"/>
      <c r="E364" s="267">
        <v>236250</v>
      </c>
      <c r="F364" t="s">
        <v>1561</v>
      </c>
    </row>
    <row r="365" spans="1:6">
      <c r="A365" s="17" t="s">
        <v>734</v>
      </c>
      <c r="B365" s="267">
        <v>545590</v>
      </c>
      <c r="C365" s="96"/>
      <c r="D365" s="96"/>
      <c r="E365" s="267">
        <v>545590</v>
      </c>
      <c r="F365" t="s">
        <v>1561</v>
      </c>
    </row>
    <row r="366" spans="1:6">
      <c r="A366" s="15" t="s">
        <v>1263</v>
      </c>
      <c r="B366" s="267">
        <v>1020296</v>
      </c>
      <c r="C366" s="96"/>
      <c r="D366" s="96"/>
      <c r="E366" s="267">
        <v>1020296</v>
      </c>
      <c r="F366" t="s">
        <v>1561</v>
      </c>
    </row>
    <row r="367" spans="1:6">
      <c r="A367" s="15" t="s">
        <v>736</v>
      </c>
      <c r="B367" s="267">
        <v>99600</v>
      </c>
      <c r="C367" s="104">
        <v>1666000</v>
      </c>
      <c r="D367" s="96"/>
      <c r="E367" s="267">
        <v>1765600</v>
      </c>
      <c r="F367" t="s">
        <v>1561</v>
      </c>
    </row>
    <row r="368" spans="1:6">
      <c r="A368" s="15" t="s">
        <v>737</v>
      </c>
      <c r="B368" s="267">
        <v>626800</v>
      </c>
      <c r="C368" s="96"/>
      <c r="D368" s="96"/>
      <c r="E368" s="267">
        <v>626800</v>
      </c>
      <c r="F368" t="s">
        <v>1561</v>
      </c>
    </row>
    <row r="369" spans="1:6">
      <c r="A369" s="17" t="s">
        <v>2019</v>
      </c>
      <c r="B369" s="263">
        <v>2145066.44</v>
      </c>
      <c r="C369" s="104">
        <v>23770632.719999999</v>
      </c>
      <c r="D369" s="104">
        <v>18869487</v>
      </c>
      <c r="E369" s="267">
        <v>2756079.28</v>
      </c>
    </row>
    <row r="370" spans="1:6">
      <c r="A370" s="17" t="s">
        <v>2020</v>
      </c>
      <c r="B370" s="267">
        <v>1770035.08</v>
      </c>
      <c r="C370" s="104">
        <v>4088507.66</v>
      </c>
      <c r="D370" s="104">
        <v>5843100</v>
      </c>
      <c r="E370" s="267">
        <v>15442.74</v>
      </c>
      <c r="F370" t="s">
        <v>1561</v>
      </c>
    </row>
    <row r="371" spans="1:6">
      <c r="A371" s="15" t="s">
        <v>2021</v>
      </c>
      <c r="B371" s="267">
        <v>1119526</v>
      </c>
      <c r="C371" s="96"/>
      <c r="D371" s="104">
        <v>373174</v>
      </c>
      <c r="E371" s="267">
        <v>746352</v>
      </c>
      <c r="F371" t="s">
        <v>1561</v>
      </c>
    </row>
    <row r="372" spans="1:6">
      <c r="A372" s="560" t="s">
        <v>2341</v>
      </c>
      <c r="B372" s="554"/>
      <c r="C372" s="579">
        <v>5035500</v>
      </c>
      <c r="D372" s="579">
        <v>5035500</v>
      </c>
      <c r="E372" s="554"/>
    </row>
    <row r="373" spans="1:6">
      <c r="A373" s="560" t="s">
        <v>1485</v>
      </c>
      <c r="B373" s="578">
        <v>120000</v>
      </c>
      <c r="C373" s="554"/>
      <c r="D373" s="579">
        <v>120000</v>
      </c>
      <c r="E373" s="554"/>
    </row>
    <row r="374" spans="1:6">
      <c r="A374" s="15" t="s">
        <v>2022</v>
      </c>
      <c r="B374" s="267">
        <v>5159528.0199999996</v>
      </c>
      <c r="C374" s="104">
        <v>656698.31999999995</v>
      </c>
      <c r="D374" s="104">
        <v>5725611</v>
      </c>
      <c r="E374" s="267">
        <v>90615.34</v>
      </c>
      <c r="F374" t="s">
        <v>1368</v>
      </c>
    </row>
    <row r="375" spans="1:6">
      <c r="A375" s="17" t="s">
        <v>1335</v>
      </c>
      <c r="B375" s="263">
        <v>3324167</v>
      </c>
      <c r="C375" s="104">
        <v>4509118.66</v>
      </c>
      <c r="D375" s="104">
        <v>52818</v>
      </c>
      <c r="E375" s="267">
        <v>1132133.6599999999</v>
      </c>
      <c r="F375" s="515" t="s">
        <v>1554</v>
      </c>
    </row>
    <row r="376" spans="1:6">
      <c r="A376" s="15" t="s">
        <v>2342</v>
      </c>
      <c r="B376" s="96"/>
      <c r="C376" s="104">
        <v>77490.600000000006</v>
      </c>
      <c r="D376" s="104">
        <v>25000</v>
      </c>
      <c r="E376" s="267">
        <v>52490.6</v>
      </c>
    </row>
    <row r="377" spans="1:6">
      <c r="A377" s="15" t="s">
        <v>1064</v>
      </c>
      <c r="B377" s="267">
        <v>219102</v>
      </c>
      <c r="C377" s="96"/>
      <c r="D377" s="96"/>
      <c r="E377" s="267">
        <v>219102</v>
      </c>
      <c r="F377" t="s">
        <v>1561</v>
      </c>
    </row>
    <row r="378" spans="1:6">
      <c r="A378" s="15" t="s">
        <v>2343</v>
      </c>
      <c r="B378" s="96"/>
      <c r="C378" s="104">
        <v>10086227</v>
      </c>
      <c r="D378" s="104">
        <v>7560685</v>
      </c>
      <c r="E378" s="267">
        <v>2525542</v>
      </c>
    </row>
    <row r="379" spans="1:6">
      <c r="A379" s="15" t="s">
        <v>1721</v>
      </c>
      <c r="B379" s="96"/>
      <c r="C379" s="104">
        <v>12185215.66</v>
      </c>
      <c r="D379" s="104">
        <v>12185453</v>
      </c>
      <c r="E379" s="263">
        <v>237.34</v>
      </c>
    </row>
    <row r="380" spans="1:6">
      <c r="A380" s="15" t="s">
        <v>2344</v>
      </c>
      <c r="B380" s="96"/>
      <c r="C380" s="104">
        <v>12189817</v>
      </c>
      <c r="D380" s="104">
        <v>12193591</v>
      </c>
      <c r="E380" s="263">
        <v>3774</v>
      </c>
    </row>
    <row r="381" spans="1:6">
      <c r="A381" s="15" t="s">
        <v>2024</v>
      </c>
      <c r="B381" s="267">
        <v>4405411.2300000004</v>
      </c>
      <c r="C381" s="104">
        <v>22749170.579999998</v>
      </c>
      <c r="D381" s="104">
        <v>22658167.829999998</v>
      </c>
      <c r="E381" s="267">
        <v>4496413.9800000004</v>
      </c>
      <c r="F381" t="s">
        <v>1561</v>
      </c>
    </row>
    <row r="382" spans="1:6">
      <c r="A382" s="15" t="s">
        <v>2345</v>
      </c>
      <c r="B382" s="96"/>
      <c r="C382" s="104">
        <v>510255.6</v>
      </c>
      <c r="D382" s="104">
        <v>400000</v>
      </c>
      <c r="E382" s="267">
        <v>110255.6</v>
      </c>
    </row>
    <row r="383" spans="1:6">
      <c r="A383" s="560" t="s">
        <v>2346</v>
      </c>
      <c r="B383" s="554"/>
      <c r="C383" s="579">
        <v>1800000</v>
      </c>
      <c r="D383" s="579">
        <v>1800000</v>
      </c>
      <c r="E383" s="554"/>
    </row>
    <row r="384" spans="1:6">
      <c r="A384" s="15" t="s">
        <v>750</v>
      </c>
      <c r="B384" s="267">
        <v>1262140</v>
      </c>
      <c r="C384" s="96"/>
      <c r="D384" s="96"/>
      <c r="E384" s="267">
        <v>1262140</v>
      </c>
      <c r="F384" t="s">
        <v>1561</v>
      </c>
    </row>
    <row r="385" spans="1:6">
      <c r="A385" s="15" t="s">
        <v>752</v>
      </c>
      <c r="B385" s="267">
        <v>400133</v>
      </c>
      <c r="C385" s="96"/>
      <c r="D385" s="104">
        <v>200000</v>
      </c>
      <c r="E385" s="267">
        <v>200133</v>
      </c>
      <c r="F385" t="s">
        <v>1561</v>
      </c>
    </row>
    <row r="386" spans="1:6">
      <c r="A386" s="17" t="s">
        <v>753</v>
      </c>
      <c r="B386" s="267">
        <v>607145.86</v>
      </c>
      <c r="C386" s="96"/>
      <c r="D386" s="96"/>
      <c r="E386" s="267">
        <v>607145.86</v>
      </c>
      <c r="F386" t="s">
        <v>1561</v>
      </c>
    </row>
    <row r="387" spans="1:6">
      <c r="A387" s="560" t="s">
        <v>1067</v>
      </c>
      <c r="B387" s="578">
        <v>92441</v>
      </c>
      <c r="C387" s="554"/>
      <c r="D387" s="579">
        <v>92441</v>
      </c>
      <c r="E387" s="554"/>
    </row>
    <row r="388" spans="1:6">
      <c r="A388" s="15" t="s">
        <v>1723</v>
      </c>
      <c r="B388" s="267">
        <v>356740</v>
      </c>
      <c r="C388" s="104">
        <v>2513280</v>
      </c>
      <c r="D388" s="104">
        <v>2700952</v>
      </c>
      <c r="E388" s="267">
        <v>169068</v>
      </c>
      <c r="F388" t="s">
        <v>1561</v>
      </c>
    </row>
    <row r="389" spans="1:6">
      <c r="A389" s="560" t="s">
        <v>2025</v>
      </c>
      <c r="B389" s="578">
        <v>319031.2</v>
      </c>
      <c r="C389" s="579">
        <v>1457496.82</v>
      </c>
      <c r="D389" s="579">
        <v>1776528.02</v>
      </c>
      <c r="E389" s="554"/>
    </row>
    <row r="390" spans="1:6">
      <c r="A390" s="560" t="s">
        <v>1724</v>
      </c>
      <c r="B390" s="578">
        <v>35108</v>
      </c>
      <c r="C390" s="554"/>
      <c r="D390" s="579">
        <v>35108</v>
      </c>
      <c r="E390" s="554"/>
    </row>
    <row r="391" spans="1:6">
      <c r="A391" s="580" t="s">
        <v>1068</v>
      </c>
      <c r="B391" s="578">
        <v>52926</v>
      </c>
      <c r="C391" s="554"/>
      <c r="D391" s="579">
        <v>52926</v>
      </c>
      <c r="E391" s="554"/>
    </row>
    <row r="392" spans="1:6">
      <c r="A392" s="560" t="s">
        <v>756</v>
      </c>
      <c r="B392" s="578">
        <v>98880</v>
      </c>
      <c r="C392" s="554"/>
      <c r="D392" s="579">
        <v>98880</v>
      </c>
      <c r="E392" s="554"/>
    </row>
    <row r="393" spans="1:6">
      <c r="A393" s="560" t="s">
        <v>1259</v>
      </c>
      <c r="B393" s="578">
        <v>46383</v>
      </c>
      <c r="C393" s="554"/>
      <c r="D393" s="579">
        <v>46383</v>
      </c>
      <c r="E393" s="554"/>
    </row>
    <row r="394" spans="1:6">
      <c r="A394" s="560" t="s">
        <v>1725</v>
      </c>
      <c r="B394" s="578">
        <v>26427.919999999998</v>
      </c>
      <c r="C394" s="579">
        <v>2768163.18</v>
      </c>
      <c r="D394" s="579">
        <v>2794591.1</v>
      </c>
      <c r="E394" s="554"/>
    </row>
    <row r="395" spans="1:6">
      <c r="A395" s="15" t="s">
        <v>2026</v>
      </c>
      <c r="B395" s="263">
        <v>0.9</v>
      </c>
      <c r="C395" s="104">
        <v>29025944.399999999</v>
      </c>
      <c r="D395" s="104">
        <v>21276208</v>
      </c>
      <c r="E395" s="267">
        <v>7749735.5</v>
      </c>
    </row>
    <row r="396" spans="1:6">
      <c r="A396" s="17" t="s">
        <v>757</v>
      </c>
      <c r="B396" s="263">
        <v>376638</v>
      </c>
      <c r="C396" s="96"/>
      <c r="D396" s="96"/>
      <c r="E396" s="263">
        <v>376638</v>
      </c>
    </row>
    <row r="397" spans="1:6">
      <c r="A397" s="560" t="s">
        <v>2347</v>
      </c>
      <c r="B397" s="554"/>
      <c r="C397" s="579">
        <v>8283062.5199999996</v>
      </c>
      <c r="D397" s="579">
        <v>8283062.5199999996</v>
      </c>
      <c r="E397" s="554"/>
    </row>
    <row r="398" spans="1:6">
      <c r="A398" s="17" t="s">
        <v>2027</v>
      </c>
      <c r="B398" s="267">
        <v>3894985.52</v>
      </c>
      <c r="C398" s="104">
        <v>1532168.64</v>
      </c>
      <c r="D398" s="104">
        <v>5234562.5199999996</v>
      </c>
      <c r="E398" s="267">
        <v>192591.64</v>
      </c>
      <c r="F398" t="s">
        <v>1561</v>
      </c>
    </row>
    <row r="399" spans="1:6">
      <c r="A399" s="560" t="s">
        <v>1488</v>
      </c>
      <c r="B399" s="578">
        <v>16491.28</v>
      </c>
      <c r="C399" s="554"/>
      <c r="D399" s="579">
        <v>16491.28</v>
      </c>
      <c r="E399" s="554"/>
    </row>
    <row r="400" spans="1:6">
      <c r="A400" s="15" t="s">
        <v>1256</v>
      </c>
      <c r="B400" s="267">
        <v>328423.65999999997</v>
      </c>
      <c r="C400" s="96"/>
      <c r="D400" s="96"/>
      <c r="E400" s="267">
        <v>328423.65999999997</v>
      </c>
      <c r="F400" t="s">
        <v>1561</v>
      </c>
    </row>
    <row r="401" spans="1:6">
      <c r="A401" s="15" t="s">
        <v>2348</v>
      </c>
      <c r="B401" s="96"/>
      <c r="C401" s="104">
        <v>376007</v>
      </c>
      <c r="D401" s="104">
        <v>142366</v>
      </c>
      <c r="E401" s="267">
        <v>233641</v>
      </c>
    </row>
    <row r="402" spans="1:6">
      <c r="A402" s="17" t="s">
        <v>1490</v>
      </c>
      <c r="B402" s="263">
        <v>55773</v>
      </c>
      <c r="C402" s="96"/>
      <c r="D402" s="96"/>
      <c r="E402" s="263">
        <v>55773</v>
      </c>
      <c r="F402" s="515" t="s">
        <v>1554</v>
      </c>
    </row>
    <row r="403" spans="1:6">
      <c r="A403" s="15" t="s">
        <v>2349</v>
      </c>
      <c r="B403" s="96"/>
      <c r="C403" s="96"/>
      <c r="D403" s="104">
        <v>1500000</v>
      </c>
      <c r="E403" s="263">
        <v>1500000</v>
      </c>
    </row>
    <row r="404" spans="1:6">
      <c r="A404" s="560" t="s">
        <v>772</v>
      </c>
      <c r="B404" s="578">
        <v>811076</v>
      </c>
      <c r="C404" s="554"/>
      <c r="D404" s="579">
        <v>811076</v>
      </c>
      <c r="E404" s="554"/>
    </row>
    <row r="405" spans="1:6">
      <c r="A405" s="15" t="s">
        <v>2350</v>
      </c>
      <c r="B405" s="96"/>
      <c r="C405" s="104">
        <v>1156400</v>
      </c>
      <c r="D405" s="104">
        <v>980000</v>
      </c>
      <c r="E405" s="267">
        <v>176400</v>
      </c>
    </row>
    <row r="406" spans="1:6">
      <c r="A406" s="15" t="s">
        <v>1492</v>
      </c>
      <c r="B406" s="267">
        <v>918354.6</v>
      </c>
      <c r="C406" s="96"/>
      <c r="D406" s="104">
        <v>52823.6</v>
      </c>
      <c r="E406" s="267">
        <v>865531</v>
      </c>
      <c r="F406" t="s">
        <v>1561</v>
      </c>
    </row>
    <row r="407" spans="1:6">
      <c r="A407" s="580" t="s">
        <v>776</v>
      </c>
      <c r="B407" s="578">
        <v>67872</v>
      </c>
      <c r="C407" s="554"/>
      <c r="D407" s="579">
        <v>67872</v>
      </c>
      <c r="E407" s="554"/>
    </row>
    <row r="408" spans="1:6">
      <c r="A408" s="560" t="s">
        <v>1727</v>
      </c>
      <c r="B408" s="578">
        <v>171458</v>
      </c>
      <c r="C408" s="554"/>
      <c r="D408" s="579">
        <v>171458</v>
      </c>
      <c r="E408" s="554"/>
    </row>
    <row r="409" spans="1:6">
      <c r="A409" s="17" t="s">
        <v>2351</v>
      </c>
      <c r="B409" s="96"/>
      <c r="C409" s="104">
        <v>30632800</v>
      </c>
      <c r="D409" s="104">
        <v>30622699</v>
      </c>
      <c r="E409" s="267">
        <v>10101</v>
      </c>
    </row>
    <row r="410" spans="1:6">
      <c r="A410" s="15" t="s">
        <v>2352</v>
      </c>
      <c r="B410" s="96"/>
      <c r="C410" s="104">
        <v>5811797.3600000003</v>
      </c>
      <c r="D410" s="104">
        <v>3921257</v>
      </c>
      <c r="E410" s="267">
        <v>1890540.36</v>
      </c>
    </row>
    <row r="411" spans="1:6">
      <c r="A411" s="15" t="s">
        <v>1728</v>
      </c>
      <c r="B411" s="267">
        <v>980339.08</v>
      </c>
      <c r="C411" s="96"/>
      <c r="D411" s="104">
        <v>56237</v>
      </c>
      <c r="E411" s="267">
        <v>924102.08</v>
      </c>
      <c r="F411" t="s">
        <v>1561</v>
      </c>
    </row>
    <row r="412" spans="1:6">
      <c r="A412" s="15" t="s">
        <v>2353</v>
      </c>
      <c r="B412" s="96"/>
      <c r="C412" s="104">
        <v>51678339.829999998</v>
      </c>
      <c r="D412" s="104">
        <v>51676931</v>
      </c>
      <c r="E412" s="267">
        <v>1408.83</v>
      </c>
    </row>
    <row r="413" spans="1:6">
      <c r="A413" s="560" t="s">
        <v>2354</v>
      </c>
      <c r="B413" s="554"/>
      <c r="C413" s="579">
        <v>7000000.7199999997</v>
      </c>
      <c r="D413" s="579">
        <v>7000000.7199999997</v>
      </c>
      <c r="E413" s="554"/>
    </row>
    <row r="414" spans="1:6">
      <c r="A414" s="560" t="s">
        <v>2029</v>
      </c>
      <c r="B414" s="578">
        <v>725000</v>
      </c>
      <c r="C414" s="554"/>
      <c r="D414" s="579">
        <v>725000</v>
      </c>
      <c r="E414" s="554"/>
    </row>
    <row r="415" spans="1:6">
      <c r="A415" s="15" t="s">
        <v>2030</v>
      </c>
      <c r="B415" s="96"/>
      <c r="C415" s="104">
        <v>9939109.1199999992</v>
      </c>
      <c r="D415" s="104">
        <v>9721950.9299999997</v>
      </c>
      <c r="E415" s="267">
        <v>217158.19</v>
      </c>
    </row>
    <row r="416" spans="1:6">
      <c r="A416" s="15" t="s">
        <v>2031</v>
      </c>
      <c r="B416" s="267">
        <v>2867945</v>
      </c>
      <c r="C416" s="104">
        <v>52111771.270000003</v>
      </c>
      <c r="D416" s="104">
        <v>51827578.520000003</v>
      </c>
      <c r="E416" s="267">
        <v>3152137.75</v>
      </c>
    </row>
    <row r="417" spans="1:6">
      <c r="A417" s="15" t="s">
        <v>1730</v>
      </c>
      <c r="B417" s="267">
        <v>3813737.57</v>
      </c>
      <c r="C417" s="96"/>
      <c r="D417" s="104">
        <v>4569729</v>
      </c>
      <c r="E417" s="263">
        <v>755991.43</v>
      </c>
    </row>
    <row r="418" spans="1:6">
      <c r="A418" s="15" t="s">
        <v>2355</v>
      </c>
      <c r="B418" s="96"/>
      <c r="C418" s="104">
        <v>7048416.2599999998</v>
      </c>
      <c r="D418" s="104">
        <v>7159217.1100000003</v>
      </c>
      <c r="E418" s="263">
        <v>110800.85</v>
      </c>
    </row>
    <row r="419" spans="1:6">
      <c r="A419" s="15" t="s">
        <v>2356</v>
      </c>
      <c r="B419" s="96"/>
      <c r="C419" s="104">
        <v>6948741.5199999996</v>
      </c>
      <c r="D419" s="104">
        <v>7243180</v>
      </c>
      <c r="E419" s="263">
        <v>294438.48</v>
      </c>
    </row>
    <row r="420" spans="1:6">
      <c r="A420" s="15" t="s">
        <v>2357</v>
      </c>
      <c r="B420" s="96"/>
      <c r="C420" s="104">
        <v>25833740</v>
      </c>
      <c r="D420" s="104">
        <v>22450047</v>
      </c>
      <c r="E420" s="267">
        <v>3383693</v>
      </c>
    </row>
    <row r="421" spans="1:6">
      <c r="A421" s="17" t="s">
        <v>778</v>
      </c>
      <c r="B421" s="267">
        <v>718081</v>
      </c>
      <c r="C421" s="96"/>
      <c r="D421" s="96"/>
      <c r="E421" s="267">
        <v>718081</v>
      </c>
      <c r="F421" t="s">
        <v>1561</v>
      </c>
    </row>
    <row r="422" spans="1:6">
      <c r="A422" s="15" t="s">
        <v>1255</v>
      </c>
      <c r="B422" s="267">
        <v>127610</v>
      </c>
      <c r="C422" s="96"/>
      <c r="D422" s="96"/>
      <c r="E422" s="267">
        <v>127610</v>
      </c>
      <c r="F422" t="s">
        <v>1561</v>
      </c>
    </row>
    <row r="423" spans="1:6">
      <c r="A423" s="15" t="s">
        <v>782</v>
      </c>
      <c r="B423" s="267">
        <v>836602</v>
      </c>
      <c r="C423" s="96"/>
      <c r="D423" s="96"/>
      <c r="E423" s="267">
        <v>836602</v>
      </c>
      <c r="F423" t="s">
        <v>1561</v>
      </c>
    </row>
    <row r="424" spans="1:6">
      <c r="A424" s="15" t="s">
        <v>1254</v>
      </c>
      <c r="B424" s="267">
        <v>1183593</v>
      </c>
      <c r="C424" s="96"/>
      <c r="D424" s="96"/>
      <c r="E424" s="267">
        <v>1183593</v>
      </c>
      <c r="F424" t="s">
        <v>1561</v>
      </c>
    </row>
    <row r="425" spans="1:6">
      <c r="A425" s="15" t="s">
        <v>2032</v>
      </c>
      <c r="B425" s="263">
        <v>247154.14</v>
      </c>
      <c r="C425" s="104">
        <v>478369.64</v>
      </c>
      <c r="D425" s="104">
        <v>230250</v>
      </c>
      <c r="E425" s="267">
        <v>965.5</v>
      </c>
    </row>
    <row r="426" spans="1:6">
      <c r="A426" s="15" t="s">
        <v>1499</v>
      </c>
      <c r="B426" s="263">
        <v>400000</v>
      </c>
      <c r="C426" s="96"/>
      <c r="D426" s="96"/>
      <c r="E426" s="263">
        <v>400000</v>
      </c>
      <c r="F426" s="515" t="s">
        <v>1554</v>
      </c>
    </row>
    <row r="427" spans="1:6">
      <c r="A427" s="15" t="s">
        <v>2358</v>
      </c>
      <c r="B427" s="96"/>
      <c r="C427" s="104">
        <v>9640100.8599999994</v>
      </c>
      <c r="D427" s="104">
        <v>9444154</v>
      </c>
      <c r="E427" s="267">
        <v>195946.86</v>
      </c>
    </row>
    <row r="428" spans="1:6">
      <c r="A428" s="560" t="s">
        <v>1500</v>
      </c>
      <c r="B428" s="578">
        <v>255012.51</v>
      </c>
      <c r="C428" s="554"/>
      <c r="D428" s="579">
        <v>255012.51</v>
      </c>
      <c r="E428" s="554"/>
    </row>
    <row r="429" spans="1:6">
      <c r="A429" s="560" t="s">
        <v>1732</v>
      </c>
      <c r="B429" s="578">
        <v>2710000</v>
      </c>
      <c r="C429" s="579">
        <v>9470370</v>
      </c>
      <c r="D429" s="579">
        <v>12180370</v>
      </c>
      <c r="E429" s="554"/>
    </row>
    <row r="430" spans="1:6">
      <c r="A430" s="17" t="s">
        <v>2359</v>
      </c>
      <c r="B430" s="96"/>
      <c r="C430" s="104">
        <v>4857891.62</v>
      </c>
      <c r="D430" s="104">
        <v>370517</v>
      </c>
      <c r="E430" s="267">
        <v>4487374.62</v>
      </c>
    </row>
    <row r="431" spans="1:6">
      <c r="A431" s="15" t="s">
        <v>2360</v>
      </c>
      <c r="B431" s="96"/>
      <c r="C431" s="104">
        <v>1000000</v>
      </c>
      <c r="D431" s="104">
        <v>1000000</v>
      </c>
      <c r="E431" s="96"/>
    </row>
    <row r="432" spans="1:6">
      <c r="A432" s="15" t="s">
        <v>1248</v>
      </c>
      <c r="B432" s="267">
        <v>517480</v>
      </c>
      <c r="C432" s="96"/>
      <c r="D432" s="96"/>
      <c r="E432" s="267">
        <v>517480</v>
      </c>
    </row>
    <row r="433" spans="1:6">
      <c r="A433" s="15" t="s">
        <v>1501</v>
      </c>
      <c r="B433" s="267">
        <v>494165.96</v>
      </c>
      <c r="C433" s="96"/>
      <c r="D433" s="96"/>
      <c r="E433" s="267">
        <v>494165.96</v>
      </c>
    </row>
    <row r="434" spans="1:6">
      <c r="A434" s="15" t="s">
        <v>2361</v>
      </c>
      <c r="B434" s="96"/>
      <c r="C434" s="104">
        <v>678562.54</v>
      </c>
      <c r="D434" s="104">
        <v>678563</v>
      </c>
      <c r="E434" s="263">
        <v>0.46</v>
      </c>
    </row>
    <row r="435" spans="1:6">
      <c r="A435" s="14"/>
      <c r="B435" s="198"/>
      <c r="C435" s="112"/>
      <c r="D435" s="112"/>
      <c r="E435" s="198"/>
    </row>
    <row r="436" spans="1:6">
      <c r="A436" s="14" t="s">
        <v>69</v>
      </c>
      <c r="B436" s="198">
        <v>54632</v>
      </c>
      <c r="C436" s="112">
        <v>40914060</v>
      </c>
      <c r="D436" s="112">
        <v>40958771</v>
      </c>
      <c r="E436" s="198">
        <v>9921</v>
      </c>
    </row>
    <row r="437" spans="1:6">
      <c r="A437" s="13" t="s">
        <v>70</v>
      </c>
      <c r="B437" s="269">
        <v>20073247.010000002</v>
      </c>
      <c r="C437" s="106">
        <v>672208284.27999997</v>
      </c>
      <c r="D437" s="106">
        <v>678814545.46000004</v>
      </c>
      <c r="E437" s="269">
        <v>13466985.83</v>
      </c>
    </row>
    <row r="438" spans="1:6">
      <c r="A438" s="17" t="s">
        <v>804</v>
      </c>
      <c r="B438" s="273">
        <v>19627619.5</v>
      </c>
      <c r="C438" s="107">
        <v>619801960.27999997</v>
      </c>
      <c r="D438" s="107">
        <v>628009022.21000004</v>
      </c>
      <c r="E438" s="273">
        <v>11420557.57</v>
      </c>
      <c r="F438" s="515" t="s">
        <v>1566</v>
      </c>
    </row>
    <row r="439" spans="1:6">
      <c r="A439" s="190" t="s">
        <v>806</v>
      </c>
      <c r="B439" s="269">
        <v>12797.11</v>
      </c>
      <c r="C439" s="108"/>
      <c r="D439" s="108"/>
      <c r="E439" s="269">
        <v>12797.11</v>
      </c>
      <c r="F439" s="515" t="s">
        <v>1566</v>
      </c>
    </row>
    <row r="440" spans="1:6">
      <c r="A440" s="15" t="s">
        <v>807</v>
      </c>
      <c r="B440" s="267">
        <v>140064.47</v>
      </c>
      <c r="C440" s="112">
        <v>5764988.2000000002</v>
      </c>
      <c r="D440" s="112">
        <v>5886319.5</v>
      </c>
      <c r="E440" s="267">
        <v>18733.169999999998</v>
      </c>
      <c r="F440" s="515" t="s">
        <v>1566</v>
      </c>
    </row>
    <row r="441" spans="1:6">
      <c r="A441" s="190" t="s">
        <v>808</v>
      </c>
      <c r="B441" s="267">
        <v>14093.85</v>
      </c>
      <c r="C441" s="112">
        <v>10560652</v>
      </c>
      <c r="D441" s="112">
        <v>10500590</v>
      </c>
      <c r="E441" s="267">
        <v>74155.850000000006</v>
      </c>
      <c r="F441" s="515" t="s">
        <v>1566</v>
      </c>
    </row>
    <row r="442" spans="1:6">
      <c r="A442" s="560" t="s">
        <v>809</v>
      </c>
      <c r="B442" s="578">
        <v>24337.5</v>
      </c>
      <c r="C442" s="576"/>
      <c r="D442" s="555">
        <v>24337.5</v>
      </c>
      <c r="E442" s="554"/>
    </row>
    <row r="443" spans="1:6">
      <c r="A443" s="15" t="s">
        <v>261</v>
      </c>
      <c r="B443" s="267">
        <v>13975117.98</v>
      </c>
      <c r="C443" s="112">
        <v>340195606.73000002</v>
      </c>
      <c r="D443" s="112">
        <v>348995939.35000002</v>
      </c>
      <c r="E443" s="267">
        <v>5174785.3600000003</v>
      </c>
      <c r="F443" s="515" t="s">
        <v>1566</v>
      </c>
    </row>
    <row r="444" spans="1:6">
      <c r="A444" s="190" t="s">
        <v>811</v>
      </c>
      <c r="B444" s="267">
        <v>2540565.2200000002</v>
      </c>
      <c r="C444" s="112">
        <v>176254810.84999999</v>
      </c>
      <c r="D444" s="112">
        <v>174528467.5</v>
      </c>
      <c r="E444" s="267">
        <v>4266908.57</v>
      </c>
      <c r="F444" s="515" t="s">
        <v>1566</v>
      </c>
    </row>
    <row r="445" spans="1:6">
      <c r="A445" s="190" t="s">
        <v>812</v>
      </c>
      <c r="B445" s="267">
        <v>2885227.5</v>
      </c>
      <c r="C445" s="112">
        <v>67460467</v>
      </c>
      <c r="D445" s="112">
        <v>68646990</v>
      </c>
      <c r="E445" s="267">
        <v>1698704.5</v>
      </c>
      <c r="F445" s="515" t="s">
        <v>1566</v>
      </c>
    </row>
    <row r="446" spans="1:6">
      <c r="A446" s="190" t="s">
        <v>813</v>
      </c>
      <c r="B446" s="267">
        <v>21297.87</v>
      </c>
      <c r="C446" s="95"/>
      <c r="D446" s="95"/>
      <c r="E446" s="267">
        <v>21297.87</v>
      </c>
      <c r="F446" s="515" t="s">
        <v>1566</v>
      </c>
    </row>
    <row r="447" spans="1:6">
      <c r="A447" s="190" t="s">
        <v>2223</v>
      </c>
      <c r="B447" s="96"/>
      <c r="C447" s="112">
        <v>19565435.5</v>
      </c>
      <c r="D447" s="112">
        <v>19426378.359999999</v>
      </c>
      <c r="E447" s="267">
        <v>139057.14000000001</v>
      </c>
      <c r="F447" s="515" t="s">
        <v>1566</v>
      </c>
    </row>
    <row r="448" spans="1:6">
      <c r="A448" s="190" t="s">
        <v>814</v>
      </c>
      <c r="B448" s="267">
        <v>14118</v>
      </c>
      <c r="C448" s="95"/>
      <c r="D448" s="95"/>
      <c r="E448" s="267">
        <v>14118</v>
      </c>
      <c r="F448" s="515" t="s">
        <v>1566</v>
      </c>
    </row>
    <row r="449" spans="1:6">
      <c r="A449" s="17" t="s">
        <v>815</v>
      </c>
      <c r="B449" s="269">
        <v>445627.51</v>
      </c>
      <c r="C449" s="93">
        <v>52406324</v>
      </c>
      <c r="D449" s="93">
        <v>50805523.25</v>
      </c>
      <c r="E449" s="269">
        <v>2046428.26</v>
      </c>
      <c r="F449" s="515"/>
    </row>
    <row r="450" spans="1:6">
      <c r="A450" s="15" t="s">
        <v>816</v>
      </c>
      <c r="B450" s="267">
        <v>11681.17</v>
      </c>
      <c r="C450" s="95"/>
      <c r="D450" s="95"/>
      <c r="E450" s="267">
        <v>11681.17</v>
      </c>
      <c r="F450" s="515" t="s">
        <v>1566</v>
      </c>
    </row>
    <row r="451" spans="1:6">
      <c r="A451" s="190" t="s">
        <v>817</v>
      </c>
      <c r="B451" s="267">
        <v>26862.32</v>
      </c>
      <c r="C451" s="112">
        <v>1000</v>
      </c>
      <c r="D451" s="95"/>
      <c r="E451" s="267">
        <v>27862.32</v>
      </c>
      <c r="F451" s="515" t="s">
        <v>1566</v>
      </c>
    </row>
    <row r="452" spans="1:6">
      <c r="A452" s="190" t="s">
        <v>818</v>
      </c>
      <c r="B452" s="267">
        <v>320500.88</v>
      </c>
      <c r="C452" s="112">
        <v>49692524</v>
      </c>
      <c r="D452" s="112">
        <v>48067483.25</v>
      </c>
      <c r="E452" s="267">
        <v>1945541.63</v>
      </c>
      <c r="F452" s="515" t="s">
        <v>1566</v>
      </c>
    </row>
    <row r="453" spans="1:6">
      <c r="A453" s="190" t="s">
        <v>819</v>
      </c>
      <c r="B453" s="267">
        <v>75377.75</v>
      </c>
      <c r="C453" s="112">
        <v>2712800</v>
      </c>
      <c r="D453" s="112">
        <v>2738040</v>
      </c>
      <c r="E453" s="267">
        <v>50137.75</v>
      </c>
      <c r="F453" s="515" t="s">
        <v>1566</v>
      </c>
    </row>
    <row r="454" spans="1:6">
      <c r="A454" s="15" t="s">
        <v>820</v>
      </c>
      <c r="B454" s="267">
        <v>11037.14</v>
      </c>
      <c r="C454" s="95"/>
      <c r="D454" s="95"/>
      <c r="E454" s="267">
        <v>11037.14</v>
      </c>
      <c r="F454" s="515" t="s">
        <v>1566</v>
      </c>
    </row>
    <row r="455" spans="1:6">
      <c r="A455" s="190" t="s">
        <v>821</v>
      </c>
      <c r="B455" s="267">
        <v>168.25</v>
      </c>
      <c r="C455" s="95"/>
      <c r="D455" s="95"/>
      <c r="E455" s="267">
        <v>168.25</v>
      </c>
      <c r="F455" s="515" t="s">
        <v>1566</v>
      </c>
    </row>
    <row r="456" spans="1:6">
      <c r="A456" s="13" t="s">
        <v>99</v>
      </c>
      <c r="B456" s="267">
        <v>18844298</v>
      </c>
      <c r="C456" s="112">
        <v>10727466</v>
      </c>
      <c r="D456" s="112">
        <v>23961062</v>
      </c>
      <c r="E456" s="267">
        <v>5610702</v>
      </c>
      <c r="F456" s="515" t="s">
        <v>1566</v>
      </c>
    </row>
    <row r="457" spans="1:6">
      <c r="A457" s="1" t="s">
        <v>100</v>
      </c>
      <c r="B457" s="270">
        <v>4617661.75</v>
      </c>
      <c r="C457" s="93">
        <v>175635521.84999999</v>
      </c>
      <c r="D457" s="93">
        <v>174073655.15000001</v>
      </c>
      <c r="E457" s="270">
        <v>6179528.4500000002</v>
      </c>
    </row>
    <row r="458" spans="1:6">
      <c r="A458" s="577" t="s">
        <v>2036</v>
      </c>
      <c r="B458" s="578">
        <v>109460</v>
      </c>
      <c r="C458" s="555">
        <v>2212764</v>
      </c>
      <c r="D458" s="555">
        <v>2322224</v>
      </c>
      <c r="E458" s="554"/>
    </row>
    <row r="459" spans="1:6">
      <c r="A459" s="577" t="s">
        <v>2037</v>
      </c>
      <c r="B459" s="578">
        <v>217196</v>
      </c>
      <c r="C459" s="555">
        <v>4058790</v>
      </c>
      <c r="D459" s="555">
        <v>4275986</v>
      </c>
      <c r="E459" s="554"/>
    </row>
    <row r="460" spans="1:6">
      <c r="A460" s="13" t="s">
        <v>822</v>
      </c>
      <c r="B460" s="263">
        <v>201</v>
      </c>
      <c r="C460" s="95"/>
      <c r="D460" s="95"/>
      <c r="E460" s="263">
        <v>201</v>
      </c>
      <c r="F460" s="515" t="s">
        <v>1563</v>
      </c>
    </row>
    <row r="461" spans="1:6">
      <c r="A461" s="13" t="s">
        <v>1246</v>
      </c>
      <c r="B461" s="263">
        <v>34050</v>
      </c>
      <c r="C461" s="95"/>
      <c r="D461" s="95"/>
      <c r="E461" s="263">
        <v>34050</v>
      </c>
      <c r="F461" s="515" t="s">
        <v>1563</v>
      </c>
    </row>
    <row r="462" spans="1:6">
      <c r="A462" s="13" t="s">
        <v>1245</v>
      </c>
      <c r="B462" s="263">
        <v>1544</v>
      </c>
      <c r="C462" s="95"/>
      <c r="D462" s="95"/>
      <c r="E462" s="263">
        <v>1544</v>
      </c>
      <c r="F462" s="515" t="s">
        <v>1563</v>
      </c>
    </row>
    <row r="463" spans="1:6">
      <c r="A463" s="13" t="s">
        <v>823</v>
      </c>
      <c r="B463" s="263">
        <v>2</v>
      </c>
      <c r="C463" s="95"/>
      <c r="D463" s="95"/>
      <c r="E463" s="263">
        <v>2</v>
      </c>
      <c r="F463" s="515" t="s">
        <v>1563</v>
      </c>
    </row>
    <row r="464" spans="1:6">
      <c r="A464" s="13" t="s">
        <v>2038</v>
      </c>
      <c r="B464" s="267">
        <v>258219</v>
      </c>
      <c r="C464" s="112">
        <v>4063476</v>
      </c>
      <c r="D464" s="112">
        <v>4319195</v>
      </c>
      <c r="E464" s="267">
        <v>2500</v>
      </c>
      <c r="F464" s="515" t="s">
        <v>1563</v>
      </c>
    </row>
    <row r="465" spans="1:6">
      <c r="A465" s="577" t="s">
        <v>2039</v>
      </c>
      <c r="B465" s="578">
        <v>14076</v>
      </c>
      <c r="C465" s="555">
        <v>817844</v>
      </c>
      <c r="D465" s="555">
        <v>831920</v>
      </c>
      <c r="E465" s="554"/>
    </row>
    <row r="466" spans="1:6">
      <c r="A466" s="13" t="s">
        <v>2040</v>
      </c>
      <c r="B466" s="267">
        <v>37345</v>
      </c>
      <c r="C466" s="112">
        <v>5040</v>
      </c>
      <c r="D466" s="112">
        <v>41085</v>
      </c>
      <c r="E466" s="267">
        <v>1300</v>
      </c>
      <c r="F466" s="515" t="s">
        <v>1563</v>
      </c>
    </row>
    <row r="467" spans="1:6">
      <c r="A467" s="577" t="s">
        <v>2041</v>
      </c>
      <c r="B467" s="578">
        <v>3155</v>
      </c>
      <c r="C467" s="555">
        <v>2527785</v>
      </c>
      <c r="D467" s="555">
        <v>2530940</v>
      </c>
      <c r="E467" s="554"/>
    </row>
    <row r="468" spans="1:6">
      <c r="A468" s="13" t="s">
        <v>824</v>
      </c>
      <c r="B468" s="263">
        <v>800</v>
      </c>
      <c r="C468" s="95"/>
      <c r="D468" s="95"/>
      <c r="E468" s="263">
        <v>800</v>
      </c>
      <c r="F468" s="515" t="s">
        <v>1563</v>
      </c>
    </row>
    <row r="469" spans="1:6">
      <c r="A469" s="13" t="s">
        <v>1839</v>
      </c>
      <c r="B469" s="267">
        <v>41936</v>
      </c>
      <c r="C469" s="112">
        <v>670441</v>
      </c>
      <c r="D469" s="112">
        <v>689334</v>
      </c>
      <c r="E469" s="267">
        <v>23043</v>
      </c>
      <c r="F469" s="515" t="s">
        <v>1563</v>
      </c>
    </row>
    <row r="470" spans="1:6">
      <c r="A470" s="13" t="s">
        <v>825</v>
      </c>
      <c r="B470" s="267">
        <v>2727</v>
      </c>
      <c r="C470" s="95"/>
      <c r="D470" s="95"/>
      <c r="E470" s="267">
        <v>2727</v>
      </c>
      <c r="F470" s="515" t="s">
        <v>1563</v>
      </c>
    </row>
    <row r="471" spans="1:6">
      <c r="A471" s="13" t="s">
        <v>1078</v>
      </c>
      <c r="B471" s="267">
        <v>45000</v>
      </c>
      <c r="C471" s="95"/>
      <c r="D471" s="95"/>
      <c r="E471" s="267">
        <v>45000</v>
      </c>
      <c r="F471" s="515" t="s">
        <v>1563</v>
      </c>
    </row>
    <row r="472" spans="1:6">
      <c r="A472" s="577" t="s">
        <v>2042</v>
      </c>
      <c r="B472" s="578">
        <v>91620</v>
      </c>
      <c r="C472" s="555">
        <v>4600100</v>
      </c>
      <c r="D472" s="555">
        <v>4691720</v>
      </c>
      <c r="E472" s="554"/>
    </row>
    <row r="473" spans="1:6">
      <c r="A473" s="13" t="s">
        <v>1733</v>
      </c>
      <c r="B473" s="267">
        <v>166417</v>
      </c>
      <c r="C473" s="112">
        <v>6883333</v>
      </c>
      <c r="D473" s="112">
        <v>6971684</v>
      </c>
      <c r="E473" s="267">
        <v>78066</v>
      </c>
      <c r="F473" s="515" t="s">
        <v>1563</v>
      </c>
    </row>
    <row r="474" spans="1:6">
      <c r="A474" s="13" t="s">
        <v>2178</v>
      </c>
      <c r="B474" s="96"/>
      <c r="C474" s="112">
        <v>3005613</v>
      </c>
      <c r="D474" s="112">
        <v>2790461</v>
      </c>
      <c r="E474" s="267">
        <v>215152</v>
      </c>
      <c r="F474" s="515" t="s">
        <v>1563</v>
      </c>
    </row>
    <row r="475" spans="1:6">
      <c r="A475" s="13" t="s">
        <v>830</v>
      </c>
      <c r="B475" s="263">
        <v>500</v>
      </c>
      <c r="C475" s="112">
        <v>10825315.25</v>
      </c>
      <c r="D475" s="112">
        <v>10813355.25</v>
      </c>
      <c r="E475" s="267">
        <v>11460</v>
      </c>
      <c r="F475" s="515" t="s">
        <v>1563</v>
      </c>
    </row>
    <row r="476" spans="1:6">
      <c r="A476" s="13" t="s">
        <v>2179</v>
      </c>
      <c r="B476" s="96"/>
      <c r="C476" s="112">
        <v>4021717</v>
      </c>
      <c r="D476" s="112">
        <v>3875241</v>
      </c>
      <c r="E476" s="267">
        <v>146476</v>
      </c>
      <c r="F476" s="515" t="s">
        <v>1563</v>
      </c>
    </row>
    <row r="477" spans="1:6">
      <c r="A477" s="13" t="s">
        <v>2043</v>
      </c>
      <c r="B477" s="267">
        <v>256119</v>
      </c>
      <c r="C477" s="112">
        <v>8449347</v>
      </c>
      <c r="D477" s="112">
        <v>8641520</v>
      </c>
      <c r="E477" s="267">
        <v>63946</v>
      </c>
      <c r="F477" s="515" t="s">
        <v>1563</v>
      </c>
    </row>
    <row r="478" spans="1:6">
      <c r="A478" s="13" t="s">
        <v>1505</v>
      </c>
      <c r="B478" s="267">
        <v>5875</v>
      </c>
      <c r="C478" s="95"/>
      <c r="D478" s="95"/>
      <c r="E478" s="267">
        <v>5875</v>
      </c>
      <c r="F478" s="515" t="s">
        <v>1563</v>
      </c>
    </row>
    <row r="479" spans="1:6">
      <c r="A479" s="13" t="s">
        <v>833</v>
      </c>
      <c r="B479" s="267">
        <v>6924</v>
      </c>
      <c r="C479" s="95"/>
      <c r="D479" s="95"/>
      <c r="E479" s="267">
        <v>6924</v>
      </c>
      <c r="F479" s="515" t="s">
        <v>1563</v>
      </c>
    </row>
    <row r="480" spans="1:6">
      <c r="A480" s="13" t="s">
        <v>1506</v>
      </c>
      <c r="B480" s="263">
        <v>41010</v>
      </c>
      <c r="C480" s="95"/>
      <c r="D480" s="95"/>
      <c r="E480" s="263">
        <v>41010</v>
      </c>
      <c r="F480" s="515" t="s">
        <v>1563</v>
      </c>
    </row>
    <row r="481" spans="1:6">
      <c r="A481" s="13" t="s">
        <v>2180</v>
      </c>
      <c r="B481" s="96"/>
      <c r="C481" s="112">
        <v>434250</v>
      </c>
      <c r="D481" s="112">
        <v>299912</v>
      </c>
      <c r="E481" s="267">
        <v>134338</v>
      </c>
      <c r="F481" s="515" t="s">
        <v>1563</v>
      </c>
    </row>
    <row r="482" spans="1:6">
      <c r="A482" s="13" t="s">
        <v>835</v>
      </c>
      <c r="B482" s="263">
        <v>2000</v>
      </c>
      <c r="C482" s="95"/>
      <c r="D482" s="95"/>
      <c r="E482" s="263">
        <v>2000</v>
      </c>
      <c r="F482" s="515" t="s">
        <v>1563</v>
      </c>
    </row>
    <row r="483" spans="1:6">
      <c r="A483" s="577" t="s">
        <v>2044</v>
      </c>
      <c r="B483" s="554"/>
      <c r="C483" s="555">
        <v>587792</v>
      </c>
      <c r="D483" s="555">
        <v>587792</v>
      </c>
      <c r="E483" s="554"/>
    </row>
    <row r="484" spans="1:6">
      <c r="A484" s="13" t="s">
        <v>2045</v>
      </c>
      <c r="B484" s="267">
        <v>138374</v>
      </c>
      <c r="C484" s="112">
        <v>2044498</v>
      </c>
      <c r="D484" s="112">
        <v>2136846</v>
      </c>
      <c r="E484" s="267">
        <v>46026</v>
      </c>
      <c r="F484" s="515" t="s">
        <v>1563</v>
      </c>
    </row>
    <row r="485" spans="1:6">
      <c r="A485" s="13" t="s">
        <v>1737</v>
      </c>
      <c r="B485" s="263">
        <v>11728</v>
      </c>
      <c r="C485" s="112">
        <v>209883</v>
      </c>
      <c r="D485" s="112">
        <v>264010</v>
      </c>
      <c r="E485" s="263">
        <v>65855</v>
      </c>
      <c r="F485" s="515" t="s">
        <v>1563</v>
      </c>
    </row>
    <row r="486" spans="1:6">
      <c r="A486" s="577" t="s">
        <v>2046</v>
      </c>
      <c r="B486" s="578">
        <v>1811</v>
      </c>
      <c r="C486" s="555">
        <v>1143263</v>
      </c>
      <c r="D486" s="555">
        <v>1145074</v>
      </c>
      <c r="E486" s="554"/>
    </row>
    <row r="487" spans="1:6">
      <c r="A487" s="13" t="s">
        <v>2047</v>
      </c>
      <c r="B487" s="267">
        <v>265583</v>
      </c>
      <c r="C487" s="112">
        <v>9038867</v>
      </c>
      <c r="D487" s="112">
        <v>9283905</v>
      </c>
      <c r="E487" s="267">
        <v>20545</v>
      </c>
      <c r="F487" s="515" t="s">
        <v>1563</v>
      </c>
    </row>
    <row r="488" spans="1:6">
      <c r="A488" s="13" t="s">
        <v>2181</v>
      </c>
      <c r="B488" s="96"/>
      <c r="C488" s="112">
        <v>1751050</v>
      </c>
      <c r="D488" s="112">
        <v>1407363</v>
      </c>
      <c r="E488" s="267">
        <v>343687</v>
      </c>
      <c r="F488" s="515" t="s">
        <v>1563</v>
      </c>
    </row>
    <row r="489" spans="1:6">
      <c r="A489" s="13" t="s">
        <v>836</v>
      </c>
      <c r="B489" s="267">
        <v>88647</v>
      </c>
      <c r="C489" s="95"/>
      <c r="D489" s="95"/>
      <c r="E489" s="267">
        <v>88647</v>
      </c>
      <c r="F489" s="515" t="s">
        <v>1563</v>
      </c>
    </row>
    <row r="490" spans="1:6">
      <c r="A490" s="13" t="s">
        <v>1243</v>
      </c>
      <c r="B490" s="267">
        <v>32269</v>
      </c>
      <c r="C490" s="95"/>
      <c r="D490" s="95"/>
      <c r="E490" s="267">
        <v>32269</v>
      </c>
      <c r="F490" s="515" t="s">
        <v>1563</v>
      </c>
    </row>
    <row r="491" spans="1:6">
      <c r="A491" s="13" t="s">
        <v>2048</v>
      </c>
      <c r="B491" s="267">
        <v>82384</v>
      </c>
      <c r="C491" s="112">
        <v>301740</v>
      </c>
      <c r="D491" s="112">
        <v>387124</v>
      </c>
      <c r="E491" s="263">
        <v>3000</v>
      </c>
      <c r="F491" s="515" t="s">
        <v>1563</v>
      </c>
    </row>
    <row r="492" spans="1:6">
      <c r="A492" s="13" t="s">
        <v>837</v>
      </c>
      <c r="B492" s="267">
        <v>75</v>
      </c>
      <c r="C492" s="95"/>
      <c r="D492" s="95"/>
      <c r="E492" s="267">
        <v>75</v>
      </c>
      <c r="F492" s="515" t="s">
        <v>1563</v>
      </c>
    </row>
    <row r="493" spans="1:6">
      <c r="A493" s="13" t="s">
        <v>838</v>
      </c>
      <c r="B493" s="267">
        <v>5578</v>
      </c>
      <c r="C493" s="95"/>
      <c r="D493" s="95"/>
      <c r="E493" s="267">
        <v>5578</v>
      </c>
      <c r="F493" s="515" t="s">
        <v>1563</v>
      </c>
    </row>
    <row r="494" spans="1:6">
      <c r="A494" s="13" t="s">
        <v>839</v>
      </c>
      <c r="B494" s="267">
        <v>22244</v>
      </c>
      <c r="C494" s="95"/>
      <c r="D494" s="95"/>
      <c r="E494" s="267">
        <v>22244</v>
      </c>
      <c r="F494" s="515" t="s">
        <v>1563</v>
      </c>
    </row>
    <row r="495" spans="1:6">
      <c r="A495" s="13" t="s">
        <v>840</v>
      </c>
      <c r="B495" s="267">
        <v>18095</v>
      </c>
      <c r="C495" s="95"/>
      <c r="D495" s="95"/>
      <c r="E495" s="267">
        <v>18095</v>
      </c>
      <c r="F495" s="515" t="s">
        <v>1563</v>
      </c>
    </row>
    <row r="496" spans="1:6">
      <c r="A496" s="13" t="s">
        <v>841</v>
      </c>
      <c r="B496" s="267">
        <v>31056</v>
      </c>
      <c r="C496" s="95"/>
      <c r="D496" s="95"/>
      <c r="E496" s="267">
        <v>31056</v>
      </c>
      <c r="F496" s="515" t="s">
        <v>1563</v>
      </c>
    </row>
    <row r="497" spans="1:6">
      <c r="A497" s="13" t="s">
        <v>842</v>
      </c>
      <c r="B497" s="267">
        <v>27512</v>
      </c>
      <c r="C497" s="95"/>
      <c r="D497" s="95"/>
      <c r="E497" s="267">
        <v>27512</v>
      </c>
      <c r="F497" s="515" t="s">
        <v>1563</v>
      </c>
    </row>
    <row r="498" spans="1:6">
      <c r="A498" s="13" t="s">
        <v>843</v>
      </c>
      <c r="B498" s="263">
        <v>2000</v>
      </c>
      <c r="C498" s="95"/>
      <c r="D498" s="95"/>
      <c r="E498" s="263">
        <v>2000</v>
      </c>
      <c r="F498" s="515" t="s">
        <v>1563</v>
      </c>
    </row>
    <row r="499" spans="1:6">
      <c r="A499" s="13" t="s">
        <v>844</v>
      </c>
      <c r="B499" s="263">
        <v>2100</v>
      </c>
      <c r="C499" s="95"/>
      <c r="D499" s="95"/>
      <c r="E499" s="263">
        <v>2100</v>
      </c>
      <c r="F499" s="515" t="s">
        <v>1563</v>
      </c>
    </row>
    <row r="500" spans="1:6">
      <c r="A500" s="13" t="s">
        <v>1841</v>
      </c>
      <c r="B500" s="267">
        <v>23368</v>
      </c>
      <c r="C500" s="112">
        <v>4786525.05</v>
      </c>
      <c r="D500" s="112">
        <v>4786654.05</v>
      </c>
      <c r="E500" s="267">
        <v>23239</v>
      </c>
      <c r="F500" s="515" t="s">
        <v>1563</v>
      </c>
    </row>
    <row r="501" spans="1:6">
      <c r="A501" s="13" t="s">
        <v>845</v>
      </c>
      <c r="B501" s="263">
        <v>5745</v>
      </c>
      <c r="C501" s="95"/>
      <c r="D501" s="95"/>
      <c r="E501" s="263">
        <v>5745</v>
      </c>
      <c r="F501" s="515" t="s">
        <v>1563</v>
      </c>
    </row>
    <row r="502" spans="1:6">
      <c r="A502" s="13" t="s">
        <v>846</v>
      </c>
      <c r="B502" s="267">
        <v>3188</v>
      </c>
      <c r="C502" s="95"/>
      <c r="D502" s="95"/>
      <c r="E502" s="267">
        <v>3188</v>
      </c>
      <c r="F502" s="515" t="s">
        <v>1563</v>
      </c>
    </row>
    <row r="503" spans="1:6">
      <c r="A503" s="13" t="s">
        <v>1516</v>
      </c>
      <c r="B503" s="263">
        <v>60</v>
      </c>
      <c r="C503" s="95"/>
      <c r="D503" s="95"/>
      <c r="E503" s="263">
        <v>60</v>
      </c>
      <c r="F503" s="515" t="s">
        <v>1563</v>
      </c>
    </row>
    <row r="504" spans="1:6">
      <c r="A504" s="13" t="s">
        <v>941</v>
      </c>
      <c r="B504" s="267">
        <v>3752</v>
      </c>
      <c r="C504" s="95"/>
      <c r="D504" s="95"/>
      <c r="E504" s="267">
        <v>3752</v>
      </c>
      <c r="F504" s="515" t="s">
        <v>1563</v>
      </c>
    </row>
    <row r="505" spans="1:6">
      <c r="A505" s="577" t="s">
        <v>2050</v>
      </c>
      <c r="B505" s="554"/>
      <c r="C505" s="555">
        <v>943278</v>
      </c>
      <c r="D505" s="555">
        <v>943278</v>
      </c>
      <c r="E505" s="554"/>
    </row>
    <row r="506" spans="1:6">
      <c r="A506" s="13" t="s">
        <v>2182</v>
      </c>
      <c r="B506" s="267">
        <v>204479.85</v>
      </c>
      <c r="C506" s="112">
        <v>18666008.5</v>
      </c>
      <c r="D506" s="112">
        <v>18634254.800000001</v>
      </c>
      <c r="E506" s="267">
        <v>236233.55</v>
      </c>
      <c r="F506" s="515" t="s">
        <v>1563</v>
      </c>
    </row>
    <row r="507" spans="1:6">
      <c r="A507" s="577" t="s">
        <v>2202</v>
      </c>
      <c r="B507" s="554"/>
      <c r="C507" s="555">
        <v>90200</v>
      </c>
      <c r="D507" s="555">
        <v>90200</v>
      </c>
      <c r="E507" s="554"/>
    </row>
    <row r="508" spans="1:6">
      <c r="A508" s="13" t="s">
        <v>1517</v>
      </c>
      <c r="B508" s="267">
        <v>29772</v>
      </c>
      <c r="C508" s="95"/>
      <c r="D508" s="95"/>
      <c r="E508" s="267">
        <v>29772</v>
      </c>
      <c r="F508" s="515" t="s">
        <v>1563</v>
      </c>
    </row>
    <row r="509" spans="1:6">
      <c r="A509" s="13" t="s">
        <v>849</v>
      </c>
      <c r="B509" s="263">
        <v>1000</v>
      </c>
      <c r="C509" s="95"/>
      <c r="D509" s="95"/>
      <c r="E509" s="263">
        <v>1000</v>
      </c>
      <c r="F509" s="515" t="s">
        <v>1563</v>
      </c>
    </row>
    <row r="510" spans="1:6">
      <c r="A510" s="13" t="s">
        <v>850</v>
      </c>
      <c r="B510" s="267">
        <v>2950</v>
      </c>
      <c r="C510" s="95"/>
      <c r="D510" s="95"/>
      <c r="E510" s="267">
        <v>2950</v>
      </c>
      <c r="F510" s="515" t="s">
        <v>1563</v>
      </c>
    </row>
    <row r="511" spans="1:6">
      <c r="A511" s="13" t="s">
        <v>2183</v>
      </c>
      <c r="B511" s="96"/>
      <c r="C511" s="112">
        <v>306000</v>
      </c>
      <c r="D511" s="112">
        <v>167929</v>
      </c>
      <c r="E511" s="267">
        <v>138071</v>
      </c>
      <c r="F511" s="515" t="s">
        <v>1563</v>
      </c>
    </row>
    <row r="512" spans="1:6">
      <c r="A512" s="13" t="s">
        <v>1739</v>
      </c>
      <c r="B512" s="267">
        <v>5501</v>
      </c>
      <c r="C512" s="95"/>
      <c r="D512" s="95"/>
      <c r="E512" s="267">
        <v>5501</v>
      </c>
      <c r="F512" s="515" t="s">
        <v>1563</v>
      </c>
    </row>
    <row r="513" spans="1:6">
      <c r="A513" s="13" t="s">
        <v>1240</v>
      </c>
      <c r="B513" s="267">
        <v>15054</v>
      </c>
      <c r="C513" s="95"/>
      <c r="D513" s="95"/>
      <c r="E513" s="267">
        <v>15054</v>
      </c>
      <c r="F513" s="515" t="s">
        <v>1563</v>
      </c>
    </row>
    <row r="514" spans="1:6">
      <c r="A514" s="13" t="s">
        <v>2184</v>
      </c>
      <c r="B514" s="96"/>
      <c r="C514" s="112">
        <v>10317027</v>
      </c>
      <c r="D514" s="112">
        <v>10153478</v>
      </c>
      <c r="E514" s="267">
        <v>163549</v>
      </c>
      <c r="F514" s="515" t="s">
        <v>1563</v>
      </c>
    </row>
    <row r="515" spans="1:6">
      <c r="A515" s="13" t="s">
        <v>2185</v>
      </c>
      <c r="B515" s="96"/>
      <c r="C515" s="112">
        <v>2187521</v>
      </c>
      <c r="D515" s="112">
        <v>1900746</v>
      </c>
      <c r="E515" s="267">
        <v>286775</v>
      </c>
      <c r="F515" s="515" t="s">
        <v>1563</v>
      </c>
    </row>
    <row r="516" spans="1:6">
      <c r="A516" s="13" t="s">
        <v>2186</v>
      </c>
      <c r="B516" s="96"/>
      <c r="C516" s="112">
        <v>1106268</v>
      </c>
      <c r="D516" s="112">
        <v>838218</v>
      </c>
      <c r="E516" s="267">
        <v>268050</v>
      </c>
      <c r="F516" s="515" t="s">
        <v>1563</v>
      </c>
    </row>
    <row r="517" spans="1:6">
      <c r="A517" s="13" t="s">
        <v>854</v>
      </c>
      <c r="B517" s="263">
        <v>2494</v>
      </c>
      <c r="C517" s="95"/>
      <c r="D517" s="95"/>
      <c r="E517" s="263">
        <v>2494</v>
      </c>
      <c r="F517" s="515" t="s">
        <v>1563</v>
      </c>
    </row>
    <row r="518" spans="1:6">
      <c r="A518" s="13" t="s">
        <v>2187</v>
      </c>
      <c r="B518" s="96"/>
      <c r="C518" s="112">
        <v>96055</v>
      </c>
      <c r="D518" s="112">
        <v>53603</v>
      </c>
      <c r="E518" s="267">
        <v>42452</v>
      </c>
      <c r="F518" s="515" t="s">
        <v>1563</v>
      </c>
    </row>
    <row r="519" spans="1:6">
      <c r="A519" s="13" t="s">
        <v>1521</v>
      </c>
      <c r="B519" s="263">
        <v>1577</v>
      </c>
      <c r="C519" s="95"/>
      <c r="D519" s="95"/>
      <c r="E519" s="263">
        <v>1577</v>
      </c>
      <c r="F519" s="515" t="s">
        <v>1563</v>
      </c>
    </row>
    <row r="520" spans="1:6">
      <c r="A520" s="13" t="s">
        <v>2188</v>
      </c>
      <c r="B520" s="96"/>
      <c r="C520" s="112">
        <v>1026528</v>
      </c>
      <c r="D520" s="112">
        <v>710047</v>
      </c>
      <c r="E520" s="267">
        <v>316481</v>
      </c>
      <c r="F520" s="515" t="s">
        <v>1563</v>
      </c>
    </row>
    <row r="521" spans="1:6">
      <c r="A521" s="13" t="s">
        <v>2189</v>
      </c>
      <c r="B521" s="96"/>
      <c r="C521" s="112">
        <v>8928479</v>
      </c>
      <c r="D521" s="112">
        <v>8302758</v>
      </c>
      <c r="E521" s="267">
        <v>625721</v>
      </c>
      <c r="F521" s="515" t="s">
        <v>1563</v>
      </c>
    </row>
    <row r="522" spans="1:6">
      <c r="A522" s="13" t="s">
        <v>2203</v>
      </c>
      <c r="B522" s="96"/>
      <c r="C522" s="112">
        <v>7201436</v>
      </c>
      <c r="D522" s="112">
        <v>7145762</v>
      </c>
      <c r="E522" s="267">
        <v>55674</v>
      </c>
      <c r="F522" s="515" t="s">
        <v>1563</v>
      </c>
    </row>
    <row r="523" spans="1:6">
      <c r="A523" s="13" t="s">
        <v>2190</v>
      </c>
      <c r="B523" s="96"/>
      <c r="C523" s="112">
        <v>5000</v>
      </c>
      <c r="D523" s="95"/>
      <c r="E523" s="267">
        <v>5000</v>
      </c>
      <c r="F523" s="515" t="s">
        <v>1563</v>
      </c>
    </row>
    <row r="524" spans="1:6">
      <c r="A524" s="13" t="s">
        <v>1743</v>
      </c>
      <c r="B524" s="267">
        <v>3530</v>
      </c>
      <c r="C524" s="112">
        <v>40755</v>
      </c>
      <c r="D524" s="112">
        <v>40755</v>
      </c>
      <c r="E524" s="267">
        <v>3530</v>
      </c>
      <c r="F524" s="515" t="s">
        <v>1563</v>
      </c>
    </row>
    <row r="525" spans="1:6">
      <c r="A525" s="577" t="s">
        <v>1744</v>
      </c>
      <c r="B525" s="578">
        <v>32292</v>
      </c>
      <c r="C525" s="555">
        <v>74292</v>
      </c>
      <c r="D525" s="555">
        <v>106584</v>
      </c>
      <c r="E525" s="554"/>
    </row>
    <row r="526" spans="1:6">
      <c r="A526" s="577" t="s">
        <v>2052</v>
      </c>
      <c r="B526" s="578">
        <v>42762</v>
      </c>
      <c r="C526" s="555">
        <v>4021744</v>
      </c>
      <c r="D526" s="555">
        <v>4064506</v>
      </c>
      <c r="E526" s="554"/>
    </row>
    <row r="527" spans="1:6">
      <c r="A527" s="13" t="s">
        <v>2053</v>
      </c>
      <c r="B527" s="267">
        <v>900100</v>
      </c>
      <c r="C527" s="112">
        <v>17128336</v>
      </c>
      <c r="D527" s="112">
        <v>17693552</v>
      </c>
      <c r="E527" s="267">
        <v>334884</v>
      </c>
      <c r="F527" s="515" t="s">
        <v>1563</v>
      </c>
    </row>
    <row r="528" spans="1:6">
      <c r="A528" s="13" t="s">
        <v>2191</v>
      </c>
      <c r="B528" s="96"/>
      <c r="C528" s="112">
        <v>2848730</v>
      </c>
      <c r="D528" s="112">
        <v>2411533</v>
      </c>
      <c r="E528" s="267">
        <v>437197</v>
      </c>
      <c r="F528" s="515" t="s">
        <v>1563</v>
      </c>
    </row>
    <row r="529" spans="1:6">
      <c r="A529" s="13" t="s">
        <v>855</v>
      </c>
      <c r="B529" s="267">
        <v>1184066.7</v>
      </c>
      <c r="C529" s="112">
        <v>130000</v>
      </c>
      <c r="D529" s="95"/>
      <c r="E529" s="267">
        <v>1314066.7</v>
      </c>
      <c r="F529" s="515" t="s">
        <v>1563</v>
      </c>
    </row>
    <row r="530" spans="1:6">
      <c r="A530" s="13" t="s">
        <v>2192</v>
      </c>
      <c r="B530" s="96"/>
      <c r="C530" s="112">
        <v>2236576</v>
      </c>
      <c r="D530" s="112">
        <v>2397037</v>
      </c>
      <c r="E530" s="263">
        <v>160461</v>
      </c>
      <c r="F530" s="515" t="s">
        <v>1563</v>
      </c>
    </row>
    <row r="531" spans="1:6">
      <c r="A531" s="13" t="s">
        <v>1239</v>
      </c>
      <c r="B531" s="267">
        <v>1500</v>
      </c>
      <c r="C531" s="95"/>
      <c r="D531" s="95"/>
      <c r="E531" s="267">
        <v>1500</v>
      </c>
      <c r="F531" s="515" t="s">
        <v>1563</v>
      </c>
    </row>
    <row r="532" spans="1:6">
      <c r="A532" s="13" t="s">
        <v>256</v>
      </c>
      <c r="B532" s="267">
        <v>233932443.25</v>
      </c>
      <c r="C532" s="112">
        <v>16550265.050000001</v>
      </c>
      <c r="D532" s="112">
        <v>68640</v>
      </c>
      <c r="E532" s="267">
        <v>250414068.30000001</v>
      </c>
      <c r="F532" s="515" t="s">
        <v>1563</v>
      </c>
    </row>
    <row r="533" spans="1:6">
      <c r="A533" s="13" t="s">
        <v>856</v>
      </c>
      <c r="B533" s="263">
        <v>3682429</v>
      </c>
      <c r="C533" s="95"/>
      <c r="D533" s="112">
        <v>943278</v>
      </c>
      <c r="E533" s="263">
        <v>4625707</v>
      </c>
      <c r="F533" s="515" t="s">
        <v>1563</v>
      </c>
    </row>
    <row r="534" spans="1:6">
      <c r="A534" s="13" t="s">
        <v>857</v>
      </c>
      <c r="B534" s="263">
        <v>155952519</v>
      </c>
      <c r="C534" s="95"/>
      <c r="D534" s="112">
        <v>11386532</v>
      </c>
      <c r="E534" s="263">
        <v>167339051</v>
      </c>
      <c r="F534" s="515" t="s">
        <v>1563</v>
      </c>
    </row>
    <row r="535" spans="1:6">
      <c r="A535" s="13" t="s">
        <v>858</v>
      </c>
      <c r="B535" s="263">
        <v>74297495.25</v>
      </c>
      <c r="C535" s="112">
        <v>27368</v>
      </c>
      <c r="D535" s="112">
        <v>4179183.05</v>
      </c>
      <c r="E535" s="263">
        <v>78449310.299999997</v>
      </c>
      <c r="F535" s="515" t="s">
        <v>1563</v>
      </c>
    </row>
    <row r="536" spans="1:6">
      <c r="A536" s="13" t="s">
        <v>859</v>
      </c>
      <c r="B536" s="267">
        <v>10812</v>
      </c>
      <c r="C536" s="95"/>
      <c r="D536" s="95"/>
      <c r="E536" s="267">
        <v>10812</v>
      </c>
      <c r="F536" s="515" t="s">
        <v>1563</v>
      </c>
    </row>
    <row r="537" spans="1:6">
      <c r="A537" s="13" t="s">
        <v>860</v>
      </c>
      <c r="B537" s="267">
        <v>6042</v>
      </c>
      <c r="C537" s="95"/>
      <c r="D537" s="95"/>
      <c r="E537" s="267">
        <v>6042</v>
      </c>
      <c r="F537" s="515" t="s">
        <v>1563</v>
      </c>
    </row>
    <row r="538" spans="1:6">
      <c r="A538" s="13" t="s">
        <v>861</v>
      </c>
      <c r="B538" s="263">
        <v>6589</v>
      </c>
      <c r="C538" s="95"/>
      <c r="D538" s="95"/>
      <c r="E538" s="263">
        <v>6589</v>
      </c>
      <c r="F538" s="515" t="s">
        <v>1563</v>
      </c>
    </row>
    <row r="539" spans="1:6">
      <c r="A539" s="577" t="s">
        <v>2054</v>
      </c>
      <c r="B539" s="578">
        <v>38664</v>
      </c>
      <c r="C539" s="555">
        <v>222096</v>
      </c>
      <c r="D539" s="555">
        <v>260760</v>
      </c>
      <c r="E539" s="554"/>
    </row>
    <row r="540" spans="1:6">
      <c r="A540" s="577" t="s">
        <v>1528</v>
      </c>
      <c r="B540" s="554"/>
      <c r="C540" s="555">
        <v>47140</v>
      </c>
      <c r="D540" s="555">
        <v>47140</v>
      </c>
      <c r="E540" s="554"/>
    </row>
    <row r="541" spans="1:6">
      <c r="A541" s="13" t="s">
        <v>2193</v>
      </c>
      <c r="B541" s="96"/>
      <c r="C541" s="112">
        <v>5678642</v>
      </c>
      <c r="D541" s="112">
        <v>5663453</v>
      </c>
      <c r="E541" s="267">
        <v>15189</v>
      </c>
      <c r="F541" s="515" t="s">
        <v>1563</v>
      </c>
    </row>
    <row r="542" spans="1:6">
      <c r="A542" s="577" t="s">
        <v>1529</v>
      </c>
      <c r="B542" s="578">
        <v>50068</v>
      </c>
      <c r="C542" s="555">
        <v>12000</v>
      </c>
      <c r="D542" s="555">
        <v>62068</v>
      </c>
      <c r="E542" s="554"/>
    </row>
    <row r="543" spans="1:6">
      <c r="A543" s="13" t="s">
        <v>1237</v>
      </c>
      <c r="B543" s="267">
        <v>69540</v>
      </c>
      <c r="C543" s="95"/>
      <c r="D543" s="95"/>
      <c r="E543" s="267">
        <v>69540</v>
      </c>
      <c r="F543" s="515" t="s">
        <v>1563</v>
      </c>
    </row>
    <row r="544" spans="1:6">
      <c r="A544" s="13" t="s">
        <v>863</v>
      </c>
      <c r="B544" s="267">
        <v>6023</v>
      </c>
      <c r="C544" s="95"/>
      <c r="D544" s="95"/>
      <c r="E544" s="267">
        <v>6023</v>
      </c>
      <c r="F544" s="515" t="s">
        <v>1563</v>
      </c>
    </row>
    <row r="545" spans="1:6">
      <c r="A545" s="13" t="s">
        <v>1089</v>
      </c>
      <c r="B545" s="267">
        <v>40029.199999999997</v>
      </c>
      <c r="C545" s="95"/>
      <c r="D545" s="95"/>
      <c r="E545" s="267">
        <v>40029.199999999997</v>
      </c>
      <c r="F545" s="515" t="s">
        <v>1563</v>
      </c>
    </row>
    <row r="546" spans="1:6">
      <c r="A546" s="13" t="s">
        <v>1236</v>
      </c>
      <c r="B546" s="267">
        <v>38444</v>
      </c>
      <c r="C546" s="95"/>
      <c r="D546" s="95"/>
      <c r="E546" s="267">
        <v>38444</v>
      </c>
      <c r="F546" s="515" t="s">
        <v>1563</v>
      </c>
    </row>
    <row r="547" spans="1:6">
      <c r="A547" s="13" t="s">
        <v>1235</v>
      </c>
      <c r="B547" s="263">
        <v>2987</v>
      </c>
      <c r="C547" s="95"/>
      <c r="D547" s="95"/>
      <c r="E547" s="263">
        <v>2987</v>
      </c>
      <c r="F547" s="515" t="s">
        <v>1563</v>
      </c>
    </row>
    <row r="548" spans="1:6">
      <c r="A548" s="13" t="s">
        <v>864</v>
      </c>
      <c r="B548" s="267">
        <v>19090</v>
      </c>
      <c r="C548" s="95"/>
      <c r="D548" s="95"/>
      <c r="E548" s="267">
        <v>19090</v>
      </c>
      <c r="F548" s="515" t="s">
        <v>1563</v>
      </c>
    </row>
    <row r="549" spans="1:6">
      <c r="A549" s="13" t="s">
        <v>2194</v>
      </c>
      <c r="B549" s="96"/>
      <c r="C549" s="112">
        <v>1677634</v>
      </c>
      <c r="D549" s="112">
        <v>1095586</v>
      </c>
      <c r="E549" s="267">
        <v>582048</v>
      </c>
      <c r="F549" s="515" t="s">
        <v>1563</v>
      </c>
    </row>
    <row r="550" spans="1:6">
      <c r="A550" s="13" t="s">
        <v>2204</v>
      </c>
      <c r="B550" s="96"/>
      <c r="C550" s="112">
        <v>956699</v>
      </c>
      <c r="D550" s="112">
        <v>949418</v>
      </c>
      <c r="E550" s="267">
        <v>7281</v>
      </c>
      <c r="F550" s="515" t="s">
        <v>1563</v>
      </c>
    </row>
    <row r="551" spans="1:6">
      <c r="A551" s="13" t="s">
        <v>865</v>
      </c>
      <c r="B551" s="267">
        <v>6188</v>
      </c>
      <c r="C551" s="95"/>
      <c r="D551" s="95"/>
      <c r="E551" s="267">
        <v>6188</v>
      </c>
      <c r="F551" s="515" t="s">
        <v>1563</v>
      </c>
    </row>
    <row r="552" spans="1:6">
      <c r="A552" s="13" t="s">
        <v>866</v>
      </c>
      <c r="B552" s="267">
        <v>6576</v>
      </c>
      <c r="C552" s="95"/>
      <c r="D552" s="95"/>
      <c r="E552" s="267">
        <v>6576</v>
      </c>
      <c r="F552" s="515" t="s">
        <v>1563</v>
      </c>
    </row>
    <row r="553" spans="1:6">
      <c r="A553" s="13" t="s">
        <v>867</v>
      </c>
      <c r="B553" s="267">
        <v>486</v>
      </c>
      <c r="C553" s="95"/>
      <c r="D553" s="95"/>
      <c r="E553" s="267">
        <v>486</v>
      </c>
      <c r="F553" s="515" t="s">
        <v>1563</v>
      </c>
    </row>
    <row r="554" spans="1:6">
      <c r="A554" s="13" t="s">
        <v>868</v>
      </c>
      <c r="B554" s="267">
        <v>2101</v>
      </c>
      <c r="C554" s="95"/>
      <c r="D554" s="95"/>
      <c r="E554" s="267">
        <v>2101</v>
      </c>
      <c r="F554" s="515" t="s">
        <v>1563</v>
      </c>
    </row>
    <row r="555" spans="1:6">
      <c r="A555" s="13" t="s">
        <v>869</v>
      </c>
      <c r="B555" s="263">
        <v>300</v>
      </c>
      <c r="C555" s="95"/>
      <c r="D555" s="95"/>
      <c r="E555" s="263">
        <v>300</v>
      </c>
      <c r="F555" s="515" t="s">
        <v>1563</v>
      </c>
    </row>
    <row r="556" spans="1:6">
      <c r="A556" s="13" t="s">
        <v>1530</v>
      </c>
      <c r="B556" s="267">
        <v>18273</v>
      </c>
      <c r="C556" s="112">
        <v>670011</v>
      </c>
      <c r="D556" s="112">
        <v>670011</v>
      </c>
      <c r="E556" s="267">
        <v>18273</v>
      </c>
      <c r="F556" s="515" t="s">
        <v>1563</v>
      </c>
    </row>
    <row r="557" spans="1:6">
      <c r="A557" s="1" t="s">
        <v>101</v>
      </c>
      <c r="B557" s="270">
        <v>273232</v>
      </c>
      <c r="C557" s="93">
        <v>36636991</v>
      </c>
      <c r="D557" s="93">
        <v>35341157</v>
      </c>
      <c r="E557" s="270">
        <v>1569066</v>
      </c>
    </row>
    <row r="558" spans="1:6">
      <c r="A558" s="13" t="s">
        <v>2195</v>
      </c>
      <c r="B558" s="96"/>
      <c r="C558" s="112">
        <v>25500</v>
      </c>
      <c r="D558" s="112">
        <v>10000</v>
      </c>
      <c r="E558" s="267">
        <v>15500</v>
      </c>
      <c r="F558" s="515" t="s">
        <v>1566</v>
      </c>
    </row>
    <row r="559" spans="1:6">
      <c r="A559" s="577" t="s">
        <v>2196</v>
      </c>
      <c r="B559" s="554"/>
      <c r="C559" s="555">
        <v>5000</v>
      </c>
      <c r="D559" s="555">
        <v>5000</v>
      </c>
      <c r="E559" s="554"/>
    </row>
    <row r="560" spans="1:6">
      <c r="A560" s="13" t="s">
        <v>870</v>
      </c>
      <c r="B560" s="267">
        <v>2171.5</v>
      </c>
      <c r="C560" s="112">
        <v>253944</v>
      </c>
      <c r="D560" s="112">
        <v>242172</v>
      </c>
      <c r="E560" s="267">
        <v>13943.5</v>
      </c>
      <c r="F560" s="515" t="s">
        <v>1566</v>
      </c>
    </row>
    <row r="561" spans="1:6">
      <c r="A561" s="577" t="s">
        <v>2197</v>
      </c>
      <c r="B561" s="554"/>
      <c r="C561" s="555">
        <v>5000</v>
      </c>
      <c r="D561" s="555">
        <v>5000</v>
      </c>
      <c r="E561" s="554"/>
    </row>
    <row r="562" spans="1:6">
      <c r="A562" s="13" t="s">
        <v>871</v>
      </c>
      <c r="B562" s="267">
        <v>1922.5</v>
      </c>
      <c r="C562" s="112">
        <v>50280</v>
      </c>
      <c r="D562" s="112">
        <v>52295</v>
      </c>
      <c r="E562" s="263">
        <v>92.5</v>
      </c>
      <c r="F562" s="515" t="s">
        <v>1566</v>
      </c>
    </row>
    <row r="563" spans="1:6">
      <c r="A563" s="13" t="s">
        <v>872</v>
      </c>
      <c r="B563" s="96"/>
      <c r="C563" s="112">
        <v>43686</v>
      </c>
      <c r="D563" s="112">
        <v>38686</v>
      </c>
      <c r="E563" s="267">
        <v>5000</v>
      </c>
      <c r="F563" s="515" t="s">
        <v>1566</v>
      </c>
    </row>
    <row r="564" spans="1:6">
      <c r="A564" s="13" t="s">
        <v>873</v>
      </c>
      <c r="B564" s="267">
        <v>2037</v>
      </c>
      <c r="C564" s="112">
        <v>296800</v>
      </c>
      <c r="D564" s="112">
        <v>282753</v>
      </c>
      <c r="E564" s="267">
        <v>16084</v>
      </c>
      <c r="F564" s="515" t="s">
        <v>1566</v>
      </c>
    </row>
    <row r="565" spans="1:6">
      <c r="A565" s="13" t="s">
        <v>2198</v>
      </c>
      <c r="B565" s="96"/>
      <c r="C565" s="112">
        <v>3000</v>
      </c>
      <c r="D565" s="95"/>
      <c r="E565" s="267">
        <v>3000</v>
      </c>
      <c r="F565" s="515" t="s">
        <v>1566</v>
      </c>
    </row>
    <row r="566" spans="1:6">
      <c r="A566" s="13" t="s">
        <v>874</v>
      </c>
      <c r="B566" s="267">
        <v>23534.2</v>
      </c>
      <c r="C566" s="112">
        <v>126000</v>
      </c>
      <c r="D566" s="112">
        <v>122398</v>
      </c>
      <c r="E566" s="267">
        <v>27136.2</v>
      </c>
      <c r="F566" s="515" t="s">
        <v>1566</v>
      </c>
    </row>
    <row r="567" spans="1:6">
      <c r="A567" s="13" t="s">
        <v>875</v>
      </c>
      <c r="B567" s="267">
        <v>908</v>
      </c>
      <c r="C567" s="95"/>
      <c r="D567" s="95"/>
      <c r="E567" s="267">
        <v>908</v>
      </c>
      <c r="F567" s="515" t="s">
        <v>1566</v>
      </c>
    </row>
    <row r="568" spans="1:6">
      <c r="A568" s="577" t="s">
        <v>2055</v>
      </c>
      <c r="B568" s="554"/>
      <c r="C568" s="555">
        <v>10000</v>
      </c>
      <c r="D568" s="555">
        <v>10000</v>
      </c>
      <c r="E568" s="554"/>
    </row>
    <row r="569" spans="1:6">
      <c r="A569" s="13" t="s">
        <v>1747</v>
      </c>
      <c r="B569" s="267">
        <v>29105</v>
      </c>
      <c r="C569" s="112">
        <v>2227</v>
      </c>
      <c r="D569" s="95"/>
      <c r="E569" s="267">
        <v>31332</v>
      </c>
      <c r="F569" s="515" t="s">
        <v>1566</v>
      </c>
    </row>
    <row r="570" spans="1:6">
      <c r="A570" s="13" t="s">
        <v>876</v>
      </c>
      <c r="B570" s="267">
        <v>5128</v>
      </c>
      <c r="C570" s="112">
        <v>2500</v>
      </c>
      <c r="D570" s="95"/>
      <c r="E570" s="267">
        <v>7628</v>
      </c>
      <c r="F570" s="515" t="s">
        <v>1566</v>
      </c>
    </row>
    <row r="571" spans="1:6">
      <c r="A571" s="577" t="s">
        <v>2057</v>
      </c>
      <c r="B571" s="578">
        <v>15000</v>
      </c>
      <c r="C571" s="576"/>
      <c r="D571" s="555">
        <v>15000</v>
      </c>
      <c r="E571" s="554"/>
    </row>
    <row r="572" spans="1:6">
      <c r="A572" s="577" t="s">
        <v>2199</v>
      </c>
      <c r="B572" s="554"/>
      <c r="C572" s="555">
        <v>11431</v>
      </c>
      <c r="D572" s="555">
        <v>11431</v>
      </c>
      <c r="E572" s="554"/>
    </row>
    <row r="573" spans="1:6">
      <c r="A573" s="13" t="s">
        <v>877</v>
      </c>
      <c r="B573" s="267">
        <v>169004</v>
      </c>
      <c r="C573" s="112">
        <v>6989</v>
      </c>
      <c r="D573" s="112">
        <v>4000</v>
      </c>
      <c r="E573" s="267">
        <v>171993</v>
      </c>
      <c r="F573" s="515" t="s">
        <v>1566</v>
      </c>
    </row>
    <row r="574" spans="1:6">
      <c r="A574" s="13" t="s">
        <v>2062</v>
      </c>
      <c r="B574" s="263">
        <v>3000</v>
      </c>
      <c r="C574" s="95"/>
      <c r="D574" s="95"/>
      <c r="E574" s="263">
        <v>3000</v>
      </c>
      <c r="F574" s="515" t="s">
        <v>1566</v>
      </c>
    </row>
    <row r="575" spans="1:6">
      <c r="A575" s="13" t="s">
        <v>879</v>
      </c>
      <c r="B575" s="263">
        <v>24410</v>
      </c>
      <c r="C575" s="112">
        <v>55000</v>
      </c>
      <c r="D575" s="112">
        <v>25987</v>
      </c>
      <c r="E575" s="267">
        <v>4603</v>
      </c>
      <c r="F575" s="515" t="s">
        <v>1566</v>
      </c>
    </row>
    <row r="576" spans="1:6">
      <c r="A576" s="13" t="s">
        <v>2063</v>
      </c>
      <c r="B576" s="263">
        <v>6000</v>
      </c>
      <c r="C576" s="112">
        <v>129000</v>
      </c>
      <c r="D576" s="112">
        <v>129764</v>
      </c>
      <c r="E576" s="263">
        <v>6764</v>
      </c>
      <c r="F576" s="515" t="s">
        <v>1566</v>
      </c>
    </row>
    <row r="577" spans="1:6">
      <c r="A577" s="13" t="s">
        <v>1532</v>
      </c>
      <c r="B577" s="263">
        <v>1</v>
      </c>
      <c r="C577" s="95"/>
      <c r="D577" s="95"/>
      <c r="E577" s="263">
        <v>1</v>
      </c>
      <c r="F577" s="515" t="s">
        <v>1566</v>
      </c>
    </row>
    <row r="578" spans="1:6">
      <c r="A578" s="13" t="s">
        <v>880</v>
      </c>
      <c r="B578" s="267">
        <v>4362.5</v>
      </c>
      <c r="C578" s="112">
        <v>62867</v>
      </c>
      <c r="D578" s="112">
        <v>65312</v>
      </c>
      <c r="E578" s="267">
        <v>1917.5</v>
      </c>
      <c r="F578" s="515" t="s">
        <v>1566</v>
      </c>
    </row>
    <row r="579" spans="1:6">
      <c r="A579" s="13" t="s">
        <v>881</v>
      </c>
      <c r="B579" s="96"/>
      <c r="C579" s="112">
        <v>8000</v>
      </c>
      <c r="D579" s="95"/>
      <c r="E579" s="267">
        <v>8000</v>
      </c>
      <c r="F579" s="515" t="s">
        <v>1566</v>
      </c>
    </row>
    <row r="580" spans="1:6">
      <c r="A580" s="13" t="s">
        <v>1533</v>
      </c>
      <c r="B580" s="267">
        <v>11866</v>
      </c>
      <c r="C580" s="112">
        <v>135500</v>
      </c>
      <c r="D580" s="112">
        <v>92229</v>
      </c>
      <c r="E580" s="267">
        <v>55137</v>
      </c>
      <c r="F580" s="515" t="s">
        <v>1566</v>
      </c>
    </row>
    <row r="581" spans="1:6">
      <c r="A581" s="13" t="s">
        <v>1534</v>
      </c>
      <c r="B581" s="267">
        <v>4415</v>
      </c>
      <c r="C581" s="95"/>
      <c r="D581" s="95"/>
      <c r="E581" s="267">
        <v>4415</v>
      </c>
      <c r="F581" s="515" t="s">
        <v>1566</v>
      </c>
    </row>
    <row r="582" spans="1:6">
      <c r="A582" s="13" t="s">
        <v>883</v>
      </c>
      <c r="B582" s="267">
        <v>6125</v>
      </c>
      <c r="C582" s="112">
        <v>90759</v>
      </c>
      <c r="D582" s="112">
        <v>90208</v>
      </c>
      <c r="E582" s="267">
        <v>6676</v>
      </c>
      <c r="F582" s="515" t="s">
        <v>1566</v>
      </c>
    </row>
    <row r="583" spans="1:6">
      <c r="A583" s="13" t="s">
        <v>884</v>
      </c>
      <c r="B583" s="263">
        <v>3988.7</v>
      </c>
      <c r="C583" s="112">
        <v>526770</v>
      </c>
      <c r="D583" s="112">
        <v>480293</v>
      </c>
      <c r="E583" s="267">
        <v>42488.3</v>
      </c>
      <c r="F583" s="515" t="s">
        <v>1566</v>
      </c>
    </row>
    <row r="584" spans="1:6">
      <c r="A584" s="13" t="s">
        <v>885</v>
      </c>
      <c r="B584" s="267">
        <v>5134</v>
      </c>
      <c r="C584" s="112">
        <v>79900</v>
      </c>
      <c r="D584" s="112">
        <v>84434</v>
      </c>
      <c r="E584" s="267">
        <v>600</v>
      </c>
      <c r="F584" s="515" t="s">
        <v>1566</v>
      </c>
    </row>
    <row r="585" spans="1:6">
      <c r="A585" s="13" t="s">
        <v>2064</v>
      </c>
      <c r="B585" s="96"/>
      <c r="C585" s="112">
        <v>34611039</v>
      </c>
      <c r="D585" s="112">
        <v>33485550</v>
      </c>
      <c r="E585" s="267">
        <v>1125489</v>
      </c>
      <c r="F585" s="515" t="s">
        <v>1566</v>
      </c>
    </row>
    <row r="586" spans="1:6">
      <c r="A586" s="13" t="s">
        <v>1748</v>
      </c>
      <c r="B586" s="267">
        <v>18383</v>
      </c>
      <c r="C586" s="95"/>
      <c r="D586" s="95"/>
      <c r="E586" s="267">
        <v>18383</v>
      </c>
      <c r="F586" s="515" t="s">
        <v>1566</v>
      </c>
    </row>
    <row r="587" spans="1:6">
      <c r="A587" s="577" t="s">
        <v>2065</v>
      </c>
      <c r="B587" s="578">
        <v>886</v>
      </c>
      <c r="C587" s="576"/>
      <c r="D587" s="555">
        <v>886</v>
      </c>
      <c r="E587" s="554"/>
    </row>
    <row r="588" spans="1:6">
      <c r="A588" s="13" t="s">
        <v>2066</v>
      </c>
      <c r="B588" s="267">
        <v>1495</v>
      </c>
      <c r="C588" s="112">
        <v>4000</v>
      </c>
      <c r="D588" s="95"/>
      <c r="E588" s="267">
        <v>5495</v>
      </c>
      <c r="F588" s="515" t="s">
        <v>1566</v>
      </c>
    </row>
    <row r="589" spans="1:6">
      <c r="A589" s="13" t="s">
        <v>1233</v>
      </c>
      <c r="B589" s="96"/>
      <c r="C589" s="112">
        <v>3000</v>
      </c>
      <c r="D589" s="95"/>
      <c r="E589" s="267">
        <v>3000</v>
      </c>
      <c r="F589" s="515" t="s">
        <v>1566</v>
      </c>
    </row>
    <row r="590" spans="1:6">
      <c r="A590" s="577" t="s">
        <v>2200</v>
      </c>
      <c r="B590" s="554"/>
      <c r="C590" s="555">
        <v>5299</v>
      </c>
      <c r="D590" s="555">
        <v>5299</v>
      </c>
      <c r="E590" s="554"/>
    </row>
    <row r="591" spans="1:6">
      <c r="A591" s="13" t="s">
        <v>1749</v>
      </c>
      <c r="B591" s="267">
        <v>3000</v>
      </c>
      <c r="C591" s="95"/>
      <c r="D591" s="95"/>
      <c r="E591" s="267">
        <v>3000</v>
      </c>
      <c r="F591" s="515" t="s">
        <v>1566</v>
      </c>
    </row>
    <row r="592" spans="1:6">
      <c r="A592" s="13" t="s">
        <v>1093</v>
      </c>
      <c r="B592" s="96"/>
      <c r="C592" s="112">
        <v>64000</v>
      </c>
      <c r="D592" s="112">
        <v>63000</v>
      </c>
      <c r="E592" s="267">
        <v>1000</v>
      </c>
      <c r="F592" s="515" t="s">
        <v>1566</v>
      </c>
    </row>
    <row r="593" spans="1:6">
      <c r="A593" s="13" t="s">
        <v>887</v>
      </c>
      <c r="B593" s="267">
        <v>500</v>
      </c>
      <c r="C593" s="95"/>
      <c r="D593" s="95"/>
      <c r="E593" s="267">
        <v>500</v>
      </c>
      <c r="F593" s="515" t="s">
        <v>1566</v>
      </c>
    </row>
    <row r="594" spans="1:6">
      <c r="A594" s="13" t="s">
        <v>888</v>
      </c>
      <c r="B594" s="267">
        <v>750</v>
      </c>
      <c r="C594" s="95"/>
      <c r="D594" s="95"/>
      <c r="E594" s="267">
        <v>750</v>
      </c>
      <c r="F594" s="515" t="s">
        <v>1566</v>
      </c>
    </row>
    <row r="595" spans="1:6">
      <c r="A595" s="577" t="s">
        <v>889</v>
      </c>
      <c r="B595" s="578">
        <v>1500</v>
      </c>
      <c r="C595" s="576"/>
      <c r="D595" s="555">
        <v>1500</v>
      </c>
      <c r="E595" s="554"/>
    </row>
    <row r="596" spans="1:6">
      <c r="A596" s="13" t="s">
        <v>1750</v>
      </c>
      <c r="B596" s="267">
        <v>3405</v>
      </c>
      <c r="C596" s="112">
        <v>2000</v>
      </c>
      <c r="D596" s="112">
        <v>1000</v>
      </c>
      <c r="E596" s="267">
        <v>4405</v>
      </c>
      <c r="F596" s="515" t="s">
        <v>1566</v>
      </c>
    </row>
    <row r="597" spans="1:6">
      <c r="A597" s="13" t="s">
        <v>2067</v>
      </c>
      <c r="B597" s="96"/>
      <c r="C597" s="112">
        <v>17500</v>
      </c>
      <c r="D597" s="112">
        <v>16960</v>
      </c>
      <c r="E597" s="267">
        <v>540</v>
      </c>
      <c r="F597" s="515" t="s">
        <v>1566</v>
      </c>
    </row>
    <row r="598" spans="1:6">
      <c r="A598" s="1" t="s">
        <v>102</v>
      </c>
      <c r="B598" s="109"/>
      <c r="C598" s="93">
        <v>3790</v>
      </c>
      <c r="D598" s="93">
        <v>328961538.06</v>
      </c>
      <c r="E598" s="264">
        <v>328957748.06</v>
      </c>
    </row>
    <row r="599" spans="1:6">
      <c r="A599" s="13" t="s">
        <v>103</v>
      </c>
      <c r="B599" s="96"/>
      <c r="C599" s="112">
        <v>3790</v>
      </c>
      <c r="D599" s="112">
        <v>328210468.06</v>
      </c>
      <c r="E599" s="263">
        <v>328206678.06</v>
      </c>
    </row>
    <row r="600" spans="1:6">
      <c r="A600" s="13" t="s">
        <v>2201</v>
      </c>
      <c r="B600" s="96"/>
      <c r="C600" s="95"/>
      <c r="D600" s="112">
        <v>751070</v>
      </c>
      <c r="E600" s="263">
        <v>751070</v>
      </c>
    </row>
    <row r="601" spans="1:6">
      <c r="A601" s="1" t="s">
        <v>104</v>
      </c>
      <c r="B601" s="109"/>
      <c r="C601" s="93">
        <v>81440680.049999997</v>
      </c>
      <c r="D601" s="93">
        <v>11509716</v>
      </c>
      <c r="E601" s="270">
        <v>69930964.049999997</v>
      </c>
    </row>
    <row r="602" spans="1:6">
      <c r="A602" s="13" t="s">
        <v>105</v>
      </c>
      <c r="B602" s="96"/>
      <c r="C602" s="112">
        <v>764695</v>
      </c>
      <c r="D602" s="112">
        <v>1332</v>
      </c>
      <c r="E602" s="267">
        <v>763363</v>
      </c>
    </row>
    <row r="603" spans="1:6">
      <c r="A603" s="13" t="s">
        <v>106</v>
      </c>
      <c r="B603" s="96"/>
      <c r="C603" s="112">
        <v>789848</v>
      </c>
      <c r="D603" s="95"/>
      <c r="E603" s="267">
        <v>789848</v>
      </c>
    </row>
    <row r="604" spans="1:6">
      <c r="A604" s="13" t="s">
        <v>107</v>
      </c>
      <c r="B604" s="96"/>
      <c r="C604" s="112">
        <v>978022</v>
      </c>
      <c r="D604" s="95"/>
      <c r="E604" s="267">
        <v>978022</v>
      </c>
    </row>
    <row r="605" spans="1:6">
      <c r="A605" s="13" t="s">
        <v>108</v>
      </c>
      <c r="B605" s="96"/>
      <c r="C605" s="112">
        <v>439837</v>
      </c>
      <c r="D605" s="95"/>
      <c r="E605" s="267">
        <v>439837</v>
      </c>
    </row>
    <row r="606" spans="1:6">
      <c r="A606" s="13" t="s">
        <v>109</v>
      </c>
      <c r="B606" s="96"/>
      <c r="C606" s="112">
        <v>386686</v>
      </c>
      <c r="D606" s="95"/>
      <c r="E606" s="267">
        <v>386686</v>
      </c>
    </row>
    <row r="607" spans="1:6">
      <c r="A607" s="13" t="s">
        <v>110</v>
      </c>
      <c r="B607" s="96"/>
      <c r="C607" s="112">
        <v>3806352</v>
      </c>
      <c r="D607" s="95"/>
      <c r="E607" s="267">
        <v>3806352</v>
      </c>
    </row>
    <row r="608" spans="1:6">
      <c r="A608" s="13" t="s">
        <v>111</v>
      </c>
      <c r="B608" s="96"/>
      <c r="C608" s="112">
        <v>179763</v>
      </c>
      <c r="D608" s="95"/>
      <c r="E608" s="267">
        <v>179763</v>
      </c>
    </row>
    <row r="609" spans="1:5">
      <c r="A609" s="13" t="s">
        <v>1875</v>
      </c>
      <c r="B609" s="96"/>
      <c r="C609" s="95"/>
      <c r="D609" s="112">
        <v>11500000</v>
      </c>
      <c r="E609" s="263">
        <v>11500000</v>
      </c>
    </row>
    <row r="610" spans="1:5">
      <c r="A610" s="13" t="s">
        <v>113</v>
      </c>
      <c r="B610" s="96"/>
      <c r="C610" s="112">
        <v>2614243.75</v>
      </c>
      <c r="D610" s="95"/>
      <c r="E610" s="267">
        <v>2614243.75</v>
      </c>
    </row>
    <row r="611" spans="1:5">
      <c r="A611" s="13" t="s">
        <v>2068</v>
      </c>
      <c r="B611" s="96"/>
      <c r="C611" s="112">
        <v>5040</v>
      </c>
      <c r="D611" s="95"/>
      <c r="E611" s="267">
        <v>5040</v>
      </c>
    </row>
    <row r="612" spans="1:5">
      <c r="A612" s="13" t="s">
        <v>114</v>
      </c>
      <c r="B612" s="96"/>
      <c r="C612" s="112">
        <v>80073</v>
      </c>
      <c r="D612" s="95"/>
      <c r="E612" s="267">
        <v>80073</v>
      </c>
    </row>
    <row r="613" spans="1:5">
      <c r="A613" s="13" t="s">
        <v>1535</v>
      </c>
      <c r="B613" s="96"/>
      <c r="C613" s="112">
        <v>36694</v>
      </c>
      <c r="D613" s="95"/>
      <c r="E613" s="267">
        <v>36694</v>
      </c>
    </row>
    <row r="614" spans="1:5">
      <c r="A614" s="13" t="s">
        <v>115</v>
      </c>
      <c r="B614" s="96"/>
      <c r="C614" s="112">
        <v>959407</v>
      </c>
      <c r="D614" s="95"/>
      <c r="E614" s="267">
        <v>959407</v>
      </c>
    </row>
    <row r="615" spans="1:5">
      <c r="A615" s="13" t="s">
        <v>116</v>
      </c>
      <c r="B615" s="96"/>
      <c r="C615" s="112">
        <v>3647359</v>
      </c>
      <c r="D615" s="95"/>
      <c r="E615" s="267">
        <v>3647359</v>
      </c>
    </row>
    <row r="616" spans="1:5">
      <c r="A616" s="13" t="s">
        <v>117</v>
      </c>
      <c r="B616" s="96"/>
      <c r="C616" s="112">
        <v>45850</v>
      </c>
      <c r="D616" s="95"/>
      <c r="E616" s="267">
        <v>45850</v>
      </c>
    </row>
    <row r="617" spans="1:5">
      <c r="A617" s="13" t="s">
        <v>940</v>
      </c>
      <c r="B617" s="96"/>
      <c r="C617" s="112">
        <v>716535</v>
      </c>
      <c r="D617" s="95"/>
      <c r="E617" s="267">
        <v>716535</v>
      </c>
    </row>
    <row r="618" spans="1:5">
      <c r="A618" s="13" t="s">
        <v>119</v>
      </c>
      <c r="B618" s="96"/>
      <c r="C618" s="112">
        <v>1026220</v>
      </c>
      <c r="D618" s="95"/>
      <c r="E618" s="267">
        <v>1026220</v>
      </c>
    </row>
    <row r="619" spans="1:5">
      <c r="A619" s="13" t="s">
        <v>120</v>
      </c>
      <c r="B619" s="96"/>
      <c r="C619" s="112">
        <v>2842640</v>
      </c>
      <c r="D619" s="95"/>
      <c r="E619" s="267">
        <v>2842640</v>
      </c>
    </row>
    <row r="620" spans="1:5">
      <c r="A620" s="13" t="s">
        <v>939</v>
      </c>
      <c r="B620" s="96"/>
      <c r="C620" s="112">
        <v>5788413.5499999998</v>
      </c>
      <c r="D620" s="95"/>
      <c r="E620" s="267">
        <v>5788413.5499999998</v>
      </c>
    </row>
    <row r="621" spans="1:5">
      <c r="A621" s="13" t="s">
        <v>938</v>
      </c>
      <c r="B621" s="96"/>
      <c r="C621" s="112">
        <v>3367998.3</v>
      </c>
      <c r="D621" s="95"/>
      <c r="E621" s="267">
        <v>3367998.3</v>
      </c>
    </row>
    <row r="622" spans="1:5">
      <c r="A622" s="13" t="s">
        <v>937</v>
      </c>
      <c r="B622" s="96"/>
      <c r="C622" s="112">
        <v>396514</v>
      </c>
      <c r="D622" s="95"/>
      <c r="E622" s="267">
        <v>396514</v>
      </c>
    </row>
    <row r="623" spans="1:5">
      <c r="A623" s="13" t="s">
        <v>936</v>
      </c>
      <c r="B623" s="96"/>
      <c r="C623" s="112">
        <v>2844164</v>
      </c>
      <c r="D623" s="95"/>
      <c r="E623" s="267">
        <v>2844164</v>
      </c>
    </row>
    <row r="624" spans="1:5">
      <c r="A624" s="13" t="s">
        <v>935</v>
      </c>
      <c r="B624" s="96"/>
      <c r="C624" s="112">
        <v>332893.05</v>
      </c>
      <c r="D624" s="95"/>
      <c r="E624" s="267">
        <v>332893.05</v>
      </c>
    </row>
    <row r="625" spans="1:5">
      <c r="A625" s="13" t="s">
        <v>121</v>
      </c>
      <c r="B625" s="96"/>
      <c r="C625" s="112">
        <v>5610841</v>
      </c>
      <c r="D625" s="95"/>
      <c r="E625" s="267">
        <v>5610841</v>
      </c>
    </row>
    <row r="626" spans="1:5">
      <c r="A626" s="13" t="s">
        <v>934</v>
      </c>
      <c r="B626" s="96"/>
      <c r="C626" s="112">
        <v>333598</v>
      </c>
      <c r="D626" s="95"/>
      <c r="E626" s="267">
        <v>333598</v>
      </c>
    </row>
    <row r="627" spans="1:5">
      <c r="A627" s="16" t="s">
        <v>112</v>
      </c>
      <c r="B627" s="96"/>
      <c r="C627" s="112">
        <v>17716457</v>
      </c>
      <c r="D627" s="95"/>
      <c r="E627" s="267">
        <v>17716457</v>
      </c>
    </row>
    <row r="628" spans="1:5">
      <c r="A628" s="16" t="s">
        <v>122</v>
      </c>
      <c r="B628" s="96"/>
      <c r="C628" s="112">
        <v>5508674</v>
      </c>
      <c r="D628" s="95"/>
      <c r="E628" s="267">
        <v>5508674</v>
      </c>
    </row>
    <row r="629" spans="1:5">
      <c r="A629" s="13" t="s">
        <v>933</v>
      </c>
      <c r="B629" s="96"/>
      <c r="C629" s="112">
        <v>185969</v>
      </c>
      <c r="D629" s="95"/>
      <c r="E629" s="267">
        <v>185969</v>
      </c>
    </row>
    <row r="630" spans="1:5">
      <c r="A630" s="13" t="s">
        <v>123</v>
      </c>
      <c r="B630" s="96"/>
      <c r="C630" s="112">
        <v>13509650.6</v>
      </c>
      <c r="D630" s="112">
        <v>8384</v>
      </c>
      <c r="E630" s="267">
        <v>13501266.6</v>
      </c>
    </row>
    <row r="631" spans="1:5">
      <c r="A631" s="16" t="s">
        <v>932</v>
      </c>
      <c r="B631" s="96"/>
      <c r="C631" s="112">
        <v>639762</v>
      </c>
      <c r="D631" s="95"/>
      <c r="E631" s="267">
        <v>639762</v>
      </c>
    </row>
    <row r="632" spans="1:5">
      <c r="A632" s="13" t="s">
        <v>124</v>
      </c>
      <c r="B632" s="96"/>
      <c r="C632" s="112">
        <v>5236897.8</v>
      </c>
      <c r="D632" s="95"/>
      <c r="E632" s="267">
        <v>5236897.8</v>
      </c>
    </row>
    <row r="633" spans="1:5">
      <c r="A633" s="13" t="s">
        <v>931</v>
      </c>
      <c r="B633" s="96"/>
      <c r="C633" s="112">
        <v>649583</v>
      </c>
      <c r="D633" s="95"/>
      <c r="E633" s="267">
        <v>649583</v>
      </c>
    </row>
    <row r="634" spans="1:5">
      <c r="A634" s="1" t="s">
        <v>125</v>
      </c>
      <c r="B634" s="264">
        <v>12452141</v>
      </c>
      <c r="C634" s="93">
        <v>11083695.380000001</v>
      </c>
      <c r="D634" s="93">
        <v>8108911</v>
      </c>
      <c r="E634" s="264">
        <v>9477356.6199999992</v>
      </c>
    </row>
    <row r="635" spans="1:5">
      <c r="A635" s="13" t="s">
        <v>126</v>
      </c>
      <c r="B635" s="263">
        <v>30000</v>
      </c>
      <c r="C635" s="95"/>
      <c r="D635" s="95"/>
      <c r="E635" s="263">
        <v>30000</v>
      </c>
    </row>
    <row r="636" spans="1:5">
      <c r="A636" s="13" t="s">
        <v>127</v>
      </c>
      <c r="B636" s="263">
        <v>230500</v>
      </c>
      <c r="C636" s="95"/>
      <c r="D636" s="95"/>
      <c r="E636" s="263">
        <v>230500</v>
      </c>
    </row>
    <row r="637" spans="1:5">
      <c r="A637" s="13" t="s">
        <v>128</v>
      </c>
      <c r="B637" s="263">
        <v>12071641</v>
      </c>
      <c r="C637" s="112">
        <v>11083695.380000001</v>
      </c>
      <c r="D637" s="112">
        <v>8108911</v>
      </c>
      <c r="E637" s="263">
        <v>9096856.6199999992</v>
      </c>
    </row>
    <row r="638" spans="1:5">
      <c r="A638" s="13" t="s">
        <v>129</v>
      </c>
      <c r="B638" s="263">
        <v>120000</v>
      </c>
      <c r="C638" s="95"/>
      <c r="D638" s="95"/>
      <c r="E638" s="263">
        <v>120000</v>
      </c>
    </row>
    <row r="639" spans="1:5">
      <c r="A639" s="1" t="s">
        <v>130</v>
      </c>
      <c r="B639" s="264">
        <v>273457.21999999997</v>
      </c>
      <c r="C639" s="108"/>
      <c r="D639" s="108"/>
      <c r="E639" s="264">
        <v>273457.21999999997</v>
      </c>
    </row>
    <row r="640" spans="1:5">
      <c r="A640" s="13" t="s">
        <v>130</v>
      </c>
      <c r="B640" s="263">
        <v>273457.21999999997</v>
      </c>
      <c r="C640" s="95"/>
      <c r="D640" s="95"/>
      <c r="E640" s="263">
        <v>273457.21999999997</v>
      </c>
    </row>
    <row r="641" spans="1:5">
      <c r="A641" s="1" t="s">
        <v>131</v>
      </c>
      <c r="B641" s="264">
        <v>41435</v>
      </c>
      <c r="C641" s="93">
        <v>6999940</v>
      </c>
      <c r="D641" s="93">
        <v>7444441</v>
      </c>
      <c r="E641" s="264">
        <v>485936</v>
      </c>
    </row>
    <row r="642" spans="1:5">
      <c r="A642" s="13" t="s">
        <v>1225</v>
      </c>
      <c r="B642" s="263">
        <v>86254</v>
      </c>
      <c r="C642" s="112">
        <v>6499940</v>
      </c>
      <c r="D642" s="112">
        <v>6500441</v>
      </c>
      <c r="E642" s="263">
        <v>86755</v>
      </c>
    </row>
    <row r="643" spans="1:5">
      <c r="A643" s="13" t="s">
        <v>1536</v>
      </c>
      <c r="B643" s="267">
        <v>4127</v>
      </c>
      <c r="C643" s="112">
        <v>500000</v>
      </c>
      <c r="D643" s="112">
        <v>592500</v>
      </c>
      <c r="E643" s="263">
        <v>88373</v>
      </c>
    </row>
    <row r="644" spans="1:5">
      <c r="A644" s="13" t="s">
        <v>1224</v>
      </c>
      <c r="B644" s="267">
        <v>40692</v>
      </c>
      <c r="C644" s="95"/>
      <c r="D644" s="112">
        <v>351500</v>
      </c>
      <c r="E644" s="263">
        <v>310808</v>
      </c>
    </row>
    <row r="645" spans="1:5">
      <c r="A645" s="1" t="s">
        <v>132</v>
      </c>
      <c r="B645" s="270">
        <v>58913773</v>
      </c>
      <c r="C645" s="93">
        <v>126429800</v>
      </c>
      <c r="D645" s="93">
        <v>107489387</v>
      </c>
      <c r="E645" s="270">
        <v>77854186</v>
      </c>
    </row>
    <row r="646" spans="1:5">
      <c r="A646" s="13" t="s">
        <v>133</v>
      </c>
      <c r="B646" s="267">
        <v>58913773</v>
      </c>
      <c r="C646" s="112">
        <v>126429800</v>
      </c>
      <c r="D646" s="112">
        <v>107489387</v>
      </c>
      <c r="E646" s="267">
        <v>77854186</v>
      </c>
    </row>
    <row r="647" spans="1:5">
      <c r="A647" s="1" t="s">
        <v>1754</v>
      </c>
      <c r="B647" s="264">
        <v>8414902.8399999999</v>
      </c>
      <c r="C647" s="93">
        <v>58060859</v>
      </c>
      <c r="D647" s="93">
        <v>54931159.039999999</v>
      </c>
      <c r="E647" s="264">
        <v>5285202.88</v>
      </c>
    </row>
    <row r="648" spans="1:5">
      <c r="A648" s="13" t="s">
        <v>1755</v>
      </c>
      <c r="B648" s="263">
        <v>3836155.75</v>
      </c>
      <c r="C648" s="112">
        <v>5437126</v>
      </c>
      <c r="D648" s="112">
        <v>5183817.3099999996</v>
      </c>
      <c r="E648" s="263">
        <v>3582847.06</v>
      </c>
    </row>
    <row r="649" spans="1:5">
      <c r="A649" s="13" t="s">
        <v>1756</v>
      </c>
      <c r="B649" s="263">
        <v>2465832.75</v>
      </c>
      <c r="C649" s="112">
        <v>6102785</v>
      </c>
      <c r="D649" s="112">
        <v>5183817.3099999996</v>
      </c>
      <c r="E649" s="263">
        <v>1546865.06</v>
      </c>
    </row>
    <row r="650" spans="1:5">
      <c r="A650" s="13" t="s">
        <v>1757</v>
      </c>
      <c r="B650" s="267">
        <v>0.36</v>
      </c>
      <c r="C650" s="112">
        <v>818879</v>
      </c>
      <c r="D650" s="112">
        <v>1212561.18</v>
      </c>
      <c r="E650" s="263">
        <v>393681.82</v>
      </c>
    </row>
    <row r="651" spans="1:5">
      <c r="A651" s="13" t="s">
        <v>1758</v>
      </c>
      <c r="B651" s="267">
        <v>0.36</v>
      </c>
      <c r="C651" s="112">
        <v>857348</v>
      </c>
      <c r="D651" s="112">
        <v>1212561.18</v>
      </c>
      <c r="E651" s="263">
        <v>355212.82</v>
      </c>
    </row>
    <row r="652" spans="1:5">
      <c r="A652" s="16" t="s">
        <v>1754</v>
      </c>
      <c r="B652" s="267">
        <v>13131236</v>
      </c>
      <c r="C652" s="112">
        <v>11500000</v>
      </c>
      <c r="D652" s="95"/>
      <c r="E652" s="267">
        <v>24631236</v>
      </c>
    </row>
    <row r="653" spans="1:5">
      <c r="A653" s="13" t="s">
        <v>1759</v>
      </c>
      <c r="B653" s="263">
        <v>2009910.64</v>
      </c>
      <c r="C653" s="112">
        <v>8528189</v>
      </c>
      <c r="D653" s="112">
        <v>9756829.6899999995</v>
      </c>
      <c r="E653" s="263">
        <v>3238551.33</v>
      </c>
    </row>
    <row r="654" spans="1:5">
      <c r="A654" s="13" t="s">
        <v>1760</v>
      </c>
      <c r="B654" s="263">
        <v>2794896.64</v>
      </c>
      <c r="C654" s="112">
        <v>9007266</v>
      </c>
      <c r="D654" s="112">
        <v>9397281.0099999998</v>
      </c>
      <c r="E654" s="263">
        <v>3184911.65</v>
      </c>
    </row>
    <row r="655" spans="1:5">
      <c r="A655" s="13" t="s">
        <v>1761</v>
      </c>
      <c r="B655" s="263">
        <v>105892.77</v>
      </c>
      <c r="C655" s="112">
        <v>11726</v>
      </c>
      <c r="D655" s="95"/>
      <c r="E655" s="263">
        <v>94166.77</v>
      </c>
    </row>
    <row r="656" spans="1:5">
      <c r="A656" s="13" t="s">
        <v>1762</v>
      </c>
      <c r="B656" s="263">
        <v>82604.77</v>
      </c>
      <c r="C656" s="112">
        <v>11726</v>
      </c>
      <c r="D656" s="95"/>
      <c r="E656" s="263">
        <v>70878.77</v>
      </c>
    </row>
    <row r="657" spans="1:5">
      <c r="A657" s="13" t="s">
        <v>1763</v>
      </c>
      <c r="B657" s="263">
        <v>108043.25</v>
      </c>
      <c r="C657" s="112">
        <v>88210</v>
      </c>
      <c r="D657" s="112">
        <v>88200</v>
      </c>
      <c r="E657" s="263">
        <v>108033.25</v>
      </c>
    </row>
    <row r="658" spans="1:5">
      <c r="A658" s="13" t="s">
        <v>1764</v>
      </c>
      <c r="B658" s="263">
        <v>3626.25</v>
      </c>
      <c r="C658" s="112">
        <v>88210</v>
      </c>
      <c r="D658" s="112">
        <v>88200</v>
      </c>
      <c r="E658" s="263">
        <v>3616.25</v>
      </c>
    </row>
    <row r="659" spans="1:5">
      <c r="A659" s="13" t="s">
        <v>1765</v>
      </c>
      <c r="B659" s="263">
        <v>108479.47</v>
      </c>
      <c r="C659" s="112">
        <v>128910</v>
      </c>
      <c r="D659" s="112">
        <v>299700</v>
      </c>
      <c r="E659" s="263">
        <v>279269.46999999997</v>
      </c>
    </row>
    <row r="660" spans="1:5">
      <c r="A660" s="13" t="s">
        <v>1766</v>
      </c>
      <c r="B660" s="263">
        <v>92002.47</v>
      </c>
      <c r="C660" s="112">
        <v>226236</v>
      </c>
      <c r="D660" s="112">
        <v>299700</v>
      </c>
      <c r="E660" s="263">
        <v>165466.47</v>
      </c>
    </row>
    <row r="661" spans="1:5">
      <c r="A661" s="13" t="s">
        <v>1767</v>
      </c>
      <c r="B661" s="96"/>
      <c r="C661" s="112">
        <v>258205</v>
      </c>
      <c r="D661" s="112">
        <v>529988.76</v>
      </c>
      <c r="E661" s="263">
        <v>271783.76</v>
      </c>
    </row>
    <row r="662" spans="1:5">
      <c r="A662" s="13" t="s">
        <v>1768</v>
      </c>
      <c r="B662" s="96"/>
      <c r="C662" s="112">
        <v>317491</v>
      </c>
      <c r="D662" s="112">
        <v>529988.76</v>
      </c>
      <c r="E662" s="263">
        <v>212497.76</v>
      </c>
    </row>
    <row r="663" spans="1:5">
      <c r="A663" s="13" t="s">
        <v>1769</v>
      </c>
      <c r="B663" s="263">
        <v>115509.31</v>
      </c>
      <c r="C663" s="112">
        <v>663089</v>
      </c>
      <c r="D663" s="112">
        <v>898181.71</v>
      </c>
      <c r="E663" s="263">
        <v>350602.02</v>
      </c>
    </row>
    <row r="664" spans="1:5">
      <c r="A664" s="13" t="s">
        <v>1770</v>
      </c>
      <c r="B664" s="263">
        <v>100272.31</v>
      </c>
      <c r="C664" s="112">
        <v>692634</v>
      </c>
      <c r="D664" s="112">
        <v>898181.71</v>
      </c>
      <c r="E664" s="263">
        <v>305820.02</v>
      </c>
    </row>
    <row r="665" spans="1:5">
      <c r="A665" s="13" t="s">
        <v>1771</v>
      </c>
      <c r="B665" s="263">
        <v>1121839.8500000001</v>
      </c>
      <c r="C665" s="112">
        <v>180858</v>
      </c>
      <c r="D665" s="112">
        <v>766399.01</v>
      </c>
      <c r="E665" s="263">
        <v>1707380.86</v>
      </c>
    </row>
    <row r="666" spans="1:5">
      <c r="A666" s="13" t="s">
        <v>1772</v>
      </c>
      <c r="B666" s="263">
        <v>799478.85</v>
      </c>
      <c r="C666" s="112">
        <v>180858</v>
      </c>
      <c r="D666" s="112">
        <v>766399.01</v>
      </c>
      <c r="E666" s="263">
        <v>1385019.86</v>
      </c>
    </row>
    <row r="667" spans="1:5">
      <c r="A667" s="13" t="s">
        <v>1773</v>
      </c>
      <c r="B667" s="263">
        <v>3969679.46</v>
      </c>
      <c r="C667" s="112">
        <v>5420417</v>
      </c>
      <c r="D667" s="112">
        <v>6608809.46</v>
      </c>
      <c r="E667" s="263">
        <v>5158071.92</v>
      </c>
    </row>
    <row r="668" spans="1:5">
      <c r="A668" s="13" t="s">
        <v>1774</v>
      </c>
      <c r="B668" s="263">
        <v>4085044.46</v>
      </c>
      <c r="C668" s="112">
        <v>5643681</v>
      </c>
      <c r="D668" s="112">
        <v>7584514.2199999997</v>
      </c>
      <c r="E668" s="263">
        <v>6025877.6799999997</v>
      </c>
    </row>
    <row r="669" spans="1:5">
      <c r="A669" s="13" t="s">
        <v>1775</v>
      </c>
      <c r="B669" s="267">
        <v>90668.72</v>
      </c>
      <c r="C669" s="112">
        <v>947959</v>
      </c>
      <c r="D669" s="112">
        <v>1813014.36</v>
      </c>
      <c r="E669" s="263">
        <v>774386.64</v>
      </c>
    </row>
    <row r="670" spans="1:5">
      <c r="A670" s="13" t="s">
        <v>1776</v>
      </c>
      <c r="B670" s="267">
        <v>162460.72</v>
      </c>
      <c r="C670" s="112">
        <v>949056</v>
      </c>
      <c r="D670" s="112">
        <v>1813014.36</v>
      </c>
      <c r="E670" s="263">
        <v>701497.64</v>
      </c>
    </row>
    <row r="671" spans="1:5">
      <c r="A671" s="1" t="s">
        <v>134</v>
      </c>
      <c r="B671" s="270">
        <v>117150</v>
      </c>
      <c r="C671" s="108"/>
      <c r="D671" s="108"/>
      <c r="E671" s="270">
        <v>117150</v>
      </c>
    </row>
    <row r="672" spans="1:5">
      <c r="A672" s="13" t="s">
        <v>135</v>
      </c>
      <c r="B672" s="267">
        <v>116150</v>
      </c>
      <c r="C672" s="95"/>
      <c r="D672" s="95"/>
      <c r="E672" s="267">
        <v>116150</v>
      </c>
    </row>
    <row r="673" spans="1:5">
      <c r="A673" s="13" t="s">
        <v>136</v>
      </c>
      <c r="B673" s="267">
        <v>1000</v>
      </c>
      <c r="C673" s="95"/>
      <c r="D673" s="95"/>
      <c r="E673" s="267">
        <v>1000</v>
      </c>
    </row>
    <row r="674" spans="1:5">
      <c r="A674" s="1" t="s">
        <v>137</v>
      </c>
      <c r="B674" s="270">
        <v>61390310.049999997</v>
      </c>
      <c r="C674" s="93">
        <v>35167928.789999999</v>
      </c>
      <c r="D674" s="93">
        <v>27479910.239999998</v>
      </c>
      <c r="E674" s="270">
        <v>69078328.599999994</v>
      </c>
    </row>
    <row r="675" spans="1:5">
      <c r="A675" s="14" t="s">
        <v>29</v>
      </c>
      <c r="B675" s="198">
        <v>44177292.170000002</v>
      </c>
      <c r="C675" s="112">
        <v>18722605.789999999</v>
      </c>
      <c r="D675" s="112">
        <v>12107461.24</v>
      </c>
      <c r="E675" s="198">
        <v>50792436.719999999</v>
      </c>
    </row>
    <row r="676" spans="1:5">
      <c r="A676" s="14" t="s">
        <v>138</v>
      </c>
      <c r="B676" s="198">
        <v>8347405.5300000003</v>
      </c>
      <c r="C676" s="112">
        <v>7005436</v>
      </c>
      <c r="D676" s="112">
        <v>6409412</v>
      </c>
      <c r="E676" s="198">
        <v>8943429.5299999993</v>
      </c>
    </row>
    <row r="677" spans="1:5">
      <c r="A677" s="13" t="s">
        <v>139</v>
      </c>
      <c r="B677" s="267">
        <v>5816000</v>
      </c>
      <c r="C677" s="112">
        <v>6136000</v>
      </c>
      <c r="D677" s="112">
        <v>5816000</v>
      </c>
      <c r="E677" s="267">
        <v>6136000</v>
      </c>
    </row>
    <row r="678" spans="1:5">
      <c r="A678" s="13" t="s">
        <v>140</v>
      </c>
      <c r="B678" s="267">
        <v>40000</v>
      </c>
      <c r="C678" s="95"/>
      <c r="D678" s="95"/>
      <c r="E678" s="267">
        <v>40000</v>
      </c>
    </row>
    <row r="679" spans="1:5">
      <c r="A679" s="13" t="s">
        <v>923</v>
      </c>
      <c r="B679" s="267">
        <v>48000</v>
      </c>
      <c r="C679" s="95"/>
      <c r="D679" s="95"/>
      <c r="E679" s="267">
        <v>48000</v>
      </c>
    </row>
    <row r="680" spans="1:5">
      <c r="A680" s="13" t="s">
        <v>142</v>
      </c>
      <c r="B680" s="267">
        <v>9530</v>
      </c>
      <c r="C680" s="95"/>
      <c r="D680" s="95"/>
      <c r="E680" s="267">
        <v>9530</v>
      </c>
    </row>
    <row r="681" spans="1:5">
      <c r="A681" s="13" t="s">
        <v>143</v>
      </c>
      <c r="B681" s="267">
        <v>586400</v>
      </c>
      <c r="C681" s="112">
        <v>322326</v>
      </c>
      <c r="D681" s="112">
        <v>164800</v>
      </c>
      <c r="E681" s="267">
        <v>743926</v>
      </c>
    </row>
    <row r="682" spans="1:5">
      <c r="A682" s="13" t="s">
        <v>144</v>
      </c>
      <c r="B682" s="267">
        <v>5500</v>
      </c>
      <c r="C682" s="95"/>
      <c r="D682" s="95"/>
      <c r="E682" s="267">
        <v>5500</v>
      </c>
    </row>
    <row r="683" spans="1:5">
      <c r="A683" s="13" t="s">
        <v>145</v>
      </c>
      <c r="B683" s="267">
        <v>286113</v>
      </c>
      <c r="C683" s="95"/>
      <c r="D683" s="95"/>
      <c r="E683" s="267">
        <v>286113</v>
      </c>
    </row>
    <row r="684" spans="1:5">
      <c r="A684" s="13" t="s">
        <v>146</v>
      </c>
      <c r="B684" s="267">
        <v>13150</v>
      </c>
      <c r="C684" s="95"/>
      <c r="D684" s="95"/>
      <c r="E684" s="267">
        <v>13150</v>
      </c>
    </row>
    <row r="685" spans="1:5">
      <c r="A685" s="13" t="s">
        <v>147</v>
      </c>
      <c r="B685" s="267">
        <v>441587</v>
      </c>
      <c r="C685" s="112">
        <v>370500</v>
      </c>
      <c r="D685" s="112">
        <v>201500</v>
      </c>
      <c r="E685" s="267">
        <v>610587</v>
      </c>
    </row>
    <row r="686" spans="1:5">
      <c r="A686" s="13" t="s">
        <v>148</v>
      </c>
      <c r="B686" s="267">
        <v>328640.34999999998</v>
      </c>
      <c r="C686" s="95"/>
      <c r="D686" s="95"/>
      <c r="E686" s="267">
        <v>328640.34999999998</v>
      </c>
    </row>
    <row r="687" spans="1:5">
      <c r="A687" s="13" t="s">
        <v>149</v>
      </c>
      <c r="B687" s="267">
        <v>251995</v>
      </c>
      <c r="C687" s="112">
        <v>1436061</v>
      </c>
      <c r="D687" s="112">
        <v>1511322</v>
      </c>
      <c r="E687" s="267">
        <v>176734</v>
      </c>
    </row>
    <row r="688" spans="1:5">
      <c r="A688" s="13" t="s">
        <v>150</v>
      </c>
      <c r="B688" s="267">
        <v>28582</v>
      </c>
      <c r="C688" s="95"/>
      <c r="D688" s="95"/>
      <c r="E688" s="267">
        <v>28582</v>
      </c>
    </row>
    <row r="689" spans="1:5">
      <c r="A689" s="13" t="s">
        <v>141</v>
      </c>
      <c r="B689" s="267">
        <v>1035115</v>
      </c>
      <c r="C689" s="112">
        <v>1175000</v>
      </c>
      <c r="D689" s="112">
        <v>1269415</v>
      </c>
      <c r="E689" s="267">
        <v>940700</v>
      </c>
    </row>
    <row r="690" spans="1:5">
      <c r="A690" s="1" t="s">
        <v>151</v>
      </c>
      <c r="B690" s="264">
        <v>245092701.06</v>
      </c>
      <c r="C690" s="93">
        <v>20093283</v>
      </c>
      <c r="D690" s="108"/>
      <c r="E690" s="264">
        <v>224999418.06</v>
      </c>
    </row>
    <row r="691" spans="1:5">
      <c r="A691" s="13" t="s">
        <v>2212</v>
      </c>
      <c r="B691" s="263">
        <v>2860000</v>
      </c>
      <c r="C691" s="112">
        <v>2860000</v>
      </c>
      <c r="D691" s="95"/>
      <c r="E691" s="96"/>
    </row>
    <row r="692" spans="1:5">
      <c r="A692" s="13" t="s">
        <v>152</v>
      </c>
      <c r="B692" s="267">
        <v>87556385</v>
      </c>
      <c r="C692" s="112">
        <v>14294920</v>
      </c>
      <c r="D692" s="95"/>
      <c r="E692" s="267">
        <v>101851305</v>
      </c>
    </row>
    <row r="693" spans="1:5">
      <c r="A693" s="13" t="s">
        <v>153</v>
      </c>
      <c r="B693" s="267">
        <v>15444566</v>
      </c>
      <c r="C693" s="112">
        <v>2938363</v>
      </c>
      <c r="D693" s="95"/>
      <c r="E693" s="267">
        <v>18382929</v>
      </c>
    </row>
    <row r="694" spans="1:5">
      <c r="A694" s="13" t="s">
        <v>154</v>
      </c>
      <c r="B694" s="263">
        <v>44374031.420000002</v>
      </c>
      <c r="C694" s="95"/>
      <c r="D694" s="95"/>
      <c r="E694" s="263">
        <v>44374031.420000002</v>
      </c>
    </row>
    <row r="695" spans="1:5">
      <c r="A695" s="13" t="s">
        <v>155</v>
      </c>
      <c r="B695" s="263">
        <v>300859620.63999999</v>
      </c>
      <c r="C695" s="95"/>
      <c r="D695" s="95"/>
      <c r="E695" s="263">
        <v>300859620.63999999</v>
      </c>
    </row>
    <row r="696" spans="1:5">
      <c r="A696" s="1" t="s">
        <v>158</v>
      </c>
      <c r="B696" s="109"/>
      <c r="C696" s="93">
        <v>22225000</v>
      </c>
      <c r="D696" s="108"/>
      <c r="E696" s="270">
        <v>22225000</v>
      </c>
    </row>
    <row r="697" spans="1:5">
      <c r="A697" s="16" t="s">
        <v>158</v>
      </c>
      <c r="B697" s="96"/>
      <c r="C697" s="112">
        <v>22225000</v>
      </c>
      <c r="D697" s="95"/>
      <c r="E697" s="267">
        <v>22225000</v>
      </c>
    </row>
    <row r="698" spans="1:5">
      <c r="A698" s="1" t="s">
        <v>159</v>
      </c>
      <c r="B698" s="270">
        <v>22225000</v>
      </c>
      <c r="C698" s="108"/>
      <c r="D698" s="93">
        <v>22225000</v>
      </c>
      <c r="E698" s="109"/>
    </row>
    <row r="699" spans="1:5">
      <c r="A699" s="13" t="s">
        <v>1223</v>
      </c>
      <c r="B699" s="267">
        <v>22225000</v>
      </c>
      <c r="C699" s="95"/>
      <c r="D699" s="112">
        <v>22225000</v>
      </c>
      <c r="E699" s="96"/>
    </row>
    <row r="700" spans="1:5">
      <c r="A700" s="1" t="s">
        <v>160</v>
      </c>
      <c r="B700" s="109"/>
      <c r="C700" s="93">
        <v>144233572.00999999</v>
      </c>
      <c r="D700" s="93">
        <v>50408</v>
      </c>
      <c r="E700" s="270">
        <v>144183164.00999999</v>
      </c>
    </row>
    <row r="701" spans="1:5">
      <c r="A701" s="14" t="s">
        <v>161</v>
      </c>
      <c r="B701" s="95"/>
      <c r="C701" s="112">
        <v>102586357</v>
      </c>
      <c r="D701" s="112">
        <v>44618</v>
      </c>
      <c r="E701" s="198">
        <v>102541739</v>
      </c>
    </row>
    <row r="702" spans="1:5">
      <c r="A702" s="14" t="s">
        <v>178</v>
      </c>
      <c r="B702" s="95"/>
      <c r="C702" s="112">
        <v>41647215.009999998</v>
      </c>
      <c r="D702" s="112">
        <v>5790</v>
      </c>
      <c r="E702" s="198">
        <v>41641425.009999998</v>
      </c>
    </row>
    <row r="703" spans="1:5">
      <c r="A703" s="1" t="s">
        <v>189</v>
      </c>
      <c r="B703" s="109"/>
      <c r="C703" s="108"/>
      <c r="D703" s="93">
        <v>10727466</v>
      </c>
      <c r="E703" s="264">
        <v>10727466</v>
      </c>
    </row>
    <row r="704" spans="1:5">
      <c r="A704" s="13" t="s">
        <v>190</v>
      </c>
      <c r="B704" s="96"/>
      <c r="C704" s="95"/>
      <c r="D704" s="112">
        <v>10727466</v>
      </c>
      <c r="E704" s="263">
        <v>10727466</v>
      </c>
    </row>
    <row r="705" spans="1:5">
      <c r="A705" s="1" t="s">
        <v>192</v>
      </c>
      <c r="B705" s="109"/>
      <c r="C705" s="93">
        <v>56615715.649999999</v>
      </c>
      <c r="D705" s="93">
        <v>765592.85</v>
      </c>
      <c r="E705" s="270">
        <v>55850122.799999997</v>
      </c>
    </row>
    <row r="706" spans="1:5">
      <c r="A706" s="14" t="s">
        <v>193</v>
      </c>
      <c r="B706" s="95"/>
      <c r="C706" s="112">
        <v>154436</v>
      </c>
      <c r="D706" s="112">
        <v>176077.85</v>
      </c>
      <c r="E706" s="199">
        <v>21641.85</v>
      </c>
    </row>
    <row r="707" spans="1:5">
      <c r="A707" s="14" t="s">
        <v>194</v>
      </c>
      <c r="B707" s="95"/>
      <c r="C707" s="112">
        <v>22154</v>
      </c>
      <c r="D707" s="95"/>
      <c r="E707" s="198">
        <v>22154</v>
      </c>
    </row>
    <row r="708" spans="1:5">
      <c r="A708" s="13" t="s">
        <v>195</v>
      </c>
      <c r="B708" s="96"/>
      <c r="C708" s="112">
        <v>47753</v>
      </c>
      <c r="D708" s="95"/>
      <c r="E708" s="267">
        <v>47753</v>
      </c>
    </row>
    <row r="709" spans="1:5">
      <c r="A709" s="13" t="s">
        <v>1540</v>
      </c>
      <c r="B709" s="96"/>
      <c r="C709" s="112">
        <v>836275.24</v>
      </c>
      <c r="D709" s="95"/>
      <c r="E709" s="267">
        <v>836275.24</v>
      </c>
    </row>
    <row r="710" spans="1:5">
      <c r="A710" s="16" t="s">
        <v>1541</v>
      </c>
      <c r="B710" s="96"/>
      <c r="C710" s="112">
        <v>12800</v>
      </c>
      <c r="D710" s="112">
        <v>3650</v>
      </c>
      <c r="E710" s="267">
        <v>9150</v>
      </c>
    </row>
    <row r="711" spans="1:5">
      <c r="A711" s="13" t="s">
        <v>196</v>
      </c>
      <c r="B711" s="96"/>
      <c r="C711" s="112">
        <v>6925</v>
      </c>
      <c r="D711" s="95"/>
      <c r="E711" s="267">
        <v>6925</v>
      </c>
    </row>
    <row r="712" spans="1:5">
      <c r="A712" s="13" t="s">
        <v>1222</v>
      </c>
      <c r="B712" s="96"/>
      <c r="C712" s="112">
        <v>28302</v>
      </c>
      <c r="D712" s="95"/>
      <c r="E712" s="267">
        <v>28302</v>
      </c>
    </row>
    <row r="713" spans="1:5">
      <c r="A713" s="13" t="s">
        <v>1751</v>
      </c>
      <c r="B713" s="96"/>
      <c r="C713" s="112">
        <v>9243</v>
      </c>
      <c r="D713" s="95"/>
      <c r="E713" s="267">
        <v>9243</v>
      </c>
    </row>
    <row r="714" spans="1:5">
      <c r="A714" s="13" t="s">
        <v>893</v>
      </c>
      <c r="B714" s="96"/>
      <c r="C714" s="112">
        <v>57125</v>
      </c>
      <c r="D714" s="95"/>
      <c r="E714" s="267">
        <v>57125</v>
      </c>
    </row>
    <row r="715" spans="1:5">
      <c r="A715" s="13" t="s">
        <v>197</v>
      </c>
      <c r="B715" s="96"/>
      <c r="C715" s="112">
        <v>3780000</v>
      </c>
      <c r="D715" s="95"/>
      <c r="E715" s="267">
        <v>3780000</v>
      </c>
    </row>
    <row r="716" spans="1:5">
      <c r="A716" s="13" t="s">
        <v>198</v>
      </c>
      <c r="B716" s="96"/>
      <c r="C716" s="112">
        <v>6985</v>
      </c>
      <c r="D716" s="95"/>
      <c r="E716" s="267">
        <v>6985</v>
      </c>
    </row>
    <row r="717" spans="1:5">
      <c r="A717" s="13" t="s">
        <v>199</v>
      </c>
      <c r="B717" s="96"/>
      <c r="C717" s="112">
        <v>204000</v>
      </c>
      <c r="D717" s="95"/>
      <c r="E717" s="267">
        <v>204000</v>
      </c>
    </row>
    <row r="718" spans="1:5">
      <c r="A718" s="13" t="s">
        <v>200</v>
      </c>
      <c r="B718" s="96"/>
      <c r="C718" s="112">
        <v>130000</v>
      </c>
      <c r="D718" s="95"/>
      <c r="E718" s="267">
        <v>130000</v>
      </c>
    </row>
    <row r="719" spans="1:5">
      <c r="A719" s="13" t="s">
        <v>201</v>
      </c>
      <c r="B719" s="96"/>
      <c r="C719" s="112">
        <v>16234</v>
      </c>
      <c r="D719" s="95"/>
      <c r="E719" s="267">
        <v>16234</v>
      </c>
    </row>
    <row r="720" spans="1:5">
      <c r="A720" s="13" t="s">
        <v>202</v>
      </c>
      <c r="B720" s="96"/>
      <c r="C720" s="112">
        <v>206633</v>
      </c>
      <c r="D720" s="112">
        <v>10000</v>
      </c>
      <c r="E720" s="267">
        <v>196633</v>
      </c>
    </row>
    <row r="721" spans="1:5">
      <c r="A721" s="13" t="s">
        <v>203</v>
      </c>
      <c r="B721" s="96"/>
      <c r="C721" s="112">
        <v>83494</v>
      </c>
      <c r="D721" s="95"/>
      <c r="E721" s="267">
        <v>83494</v>
      </c>
    </row>
    <row r="722" spans="1:5">
      <c r="A722" s="13" t="s">
        <v>1542</v>
      </c>
      <c r="B722" s="96"/>
      <c r="C722" s="112">
        <v>107300</v>
      </c>
      <c r="D722" s="95"/>
      <c r="E722" s="267">
        <v>107300</v>
      </c>
    </row>
    <row r="723" spans="1:5">
      <c r="A723" s="13" t="s">
        <v>204</v>
      </c>
      <c r="B723" s="96"/>
      <c r="C723" s="112">
        <v>34679427</v>
      </c>
      <c r="D723" s="112">
        <v>541319</v>
      </c>
      <c r="E723" s="267">
        <v>34138108</v>
      </c>
    </row>
    <row r="724" spans="1:5">
      <c r="A724" s="13" t="s">
        <v>1753</v>
      </c>
      <c r="B724" s="96"/>
      <c r="C724" s="112">
        <v>9243</v>
      </c>
      <c r="D724" s="95"/>
      <c r="E724" s="267">
        <v>9243</v>
      </c>
    </row>
    <row r="725" spans="1:5">
      <c r="A725" s="13" t="s">
        <v>206</v>
      </c>
      <c r="B725" s="96"/>
      <c r="C725" s="112">
        <v>273028</v>
      </c>
      <c r="D725" s="95"/>
      <c r="E725" s="267">
        <v>273028</v>
      </c>
    </row>
    <row r="726" spans="1:5">
      <c r="A726" s="13" t="s">
        <v>207</v>
      </c>
      <c r="B726" s="96"/>
      <c r="C726" s="112">
        <v>2383378</v>
      </c>
      <c r="D726" s="112">
        <v>14397</v>
      </c>
      <c r="E726" s="267">
        <v>2368981</v>
      </c>
    </row>
    <row r="727" spans="1:5">
      <c r="A727" s="13" t="s">
        <v>208</v>
      </c>
      <c r="B727" s="96"/>
      <c r="C727" s="112">
        <v>296064</v>
      </c>
      <c r="D727" s="95"/>
      <c r="E727" s="267">
        <v>296064</v>
      </c>
    </row>
    <row r="728" spans="1:5">
      <c r="A728" s="13" t="s">
        <v>210</v>
      </c>
      <c r="B728" s="96"/>
      <c r="C728" s="112">
        <v>133032.41</v>
      </c>
      <c r="D728" s="112">
        <v>20</v>
      </c>
      <c r="E728" s="267">
        <v>133012.41</v>
      </c>
    </row>
    <row r="729" spans="1:5">
      <c r="A729" s="13" t="s">
        <v>211</v>
      </c>
      <c r="B729" s="96"/>
      <c r="C729" s="112">
        <v>144500</v>
      </c>
      <c r="D729" s="95"/>
      <c r="E729" s="267">
        <v>144500</v>
      </c>
    </row>
    <row r="730" spans="1:5">
      <c r="A730" s="13" t="s">
        <v>212</v>
      </c>
      <c r="B730" s="96"/>
      <c r="C730" s="112">
        <v>185913</v>
      </c>
      <c r="D730" s="95"/>
      <c r="E730" s="267">
        <v>185913</v>
      </c>
    </row>
    <row r="731" spans="1:5">
      <c r="A731" s="13" t="s">
        <v>57</v>
      </c>
      <c r="B731" s="96"/>
      <c r="C731" s="112">
        <v>2441345</v>
      </c>
      <c r="D731" s="112">
        <v>7150</v>
      </c>
      <c r="E731" s="267">
        <v>2434195</v>
      </c>
    </row>
    <row r="732" spans="1:5">
      <c r="A732" s="13" t="s">
        <v>930</v>
      </c>
      <c r="B732" s="96"/>
      <c r="C732" s="112">
        <v>1038118</v>
      </c>
      <c r="D732" s="95"/>
      <c r="E732" s="267">
        <v>1038118</v>
      </c>
    </row>
    <row r="733" spans="1:5">
      <c r="A733" s="13" t="s">
        <v>929</v>
      </c>
      <c r="B733" s="96"/>
      <c r="C733" s="112">
        <v>113174</v>
      </c>
      <c r="D733" s="95"/>
      <c r="E733" s="267">
        <v>113174</v>
      </c>
    </row>
    <row r="734" spans="1:5">
      <c r="A734" s="13" t="s">
        <v>213</v>
      </c>
      <c r="B734" s="96"/>
      <c r="C734" s="112">
        <v>421260</v>
      </c>
      <c r="D734" s="95"/>
      <c r="E734" s="267">
        <v>421260</v>
      </c>
    </row>
    <row r="735" spans="1:5">
      <c r="A735" s="13" t="s">
        <v>928</v>
      </c>
      <c r="B735" s="96"/>
      <c r="C735" s="112">
        <v>572303</v>
      </c>
      <c r="D735" s="95"/>
      <c r="E735" s="267">
        <v>572303</v>
      </c>
    </row>
    <row r="736" spans="1:5">
      <c r="A736" s="13" t="s">
        <v>77</v>
      </c>
      <c r="B736" s="96"/>
      <c r="C736" s="112">
        <v>489849</v>
      </c>
      <c r="D736" s="95"/>
      <c r="E736" s="267">
        <v>489849</v>
      </c>
    </row>
    <row r="737" spans="1:5">
      <c r="A737" s="13" t="s">
        <v>71</v>
      </c>
      <c r="B737" s="96"/>
      <c r="C737" s="112">
        <v>1112554</v>
      </c>
      <c r="D737" s="112">
        <v>1440</v>
      </c>
      <c r="E737" s="267">
        <v>1111114</v>
      </c>
    </row>
    <row r="738" spans="1:5">
      <c r="A738" s="16" t="s">
        <v>927</v>
      </c>
      <c r="B738" s="96"/>
      <c r="C738" s="112">
        <v>1073994</v>
      </c>
      <c r="D738" s="112">
        <v>6750</v>
      </c>
      <c r="E738" s="267">
        <v>1067244</v>
      </c>
    </row>
    <row r="739" spans="1:5">
      <c r="A739" s="13" t="s">
        <v>926</v>
      </c>
      <c r="B739" s="96"/>
      <c r="C739" s="112">
        <v>5538874</v>
      </c>
      <c r="D739" s="112">
        <v>4789</v>
      </c>
      <c r="E739" s="267">
        <v>5534085</v>
      </c>
    </row>
    <row r="740" spans="1:5">
      <c r="A740" s="2" t="s">
        <v>74</v>
      </c>
      <c r="B740" s="199">
        <v>5.71</v>
      </c>
      <c r="C740" s="96"/>
      <c r="D740" s="96"/>
      <c r="E740" s="199">
        <v>5.71</v>
      </c>
    </row>
    <row r="741" spans="1:5">
      <c r="A741" s="19" t="s">
        <v>75</v>
      </c>
      <c r="B741" s="102"/>
      <c r="C741" s="201">
        <v>2099383789.21</v>
      </c>
      <c r="D741" s="201">
        <v>2099383789.21</v>
      </c>
      <c r="E741" s="102"/>
    </row>
  </sheetData>
  <mergeCells count="10">
    <mergeCell ref="A7:C7"/>
    <mergeCell ref="B8:E8"/>
    <mergeCell ref="B9:E9"/>
    <mergeCell ref="C10:D10"/>
    <mergeCell ref="A1:C1"/>
    <mergeCell ref="A2:C2"/>
    <mergeCell ref="A3:C3"/>
    <mergeCell ref="A4:E4"/>
    <mergeCell ref="A5:E5"/>
    <mergeCell ref="A6:D6"/>
  </mergeCells>
  <pageMargins left="0.7" right="0.7" top="0.75" bottom="0.75" header="0.3" footer="0.3"/>
  <pageSetup paperSize="9" orientation="portrait"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3:L39"/>
  <sheetViews>
    <sheetView workbookViewId="0">
      <selection activeCell="I6" sqref="I6"/>
    </sheetView>
  </sheetViews>
  <sheetFormatPr defaultRowHeight="14.4"/>
  <cols>
    <col min="1" max="1" width="9.5546875" bestFit="1" customWidth="1"/>
    <col min="2" max="2" width="20.44140625" bestFit="1" customWidth="1"/>
    <col min="3" max="3" width="13.44140625" style="1881" bestFit="1" customWidth="1"/>
    <col min="5" max="5" width="20.44140625" bestFit="1" customWidth="1"/>
    <col min="6" max="6" width="13.44140625" bestFit="1" customWidth="1"/>
    <col min="8" max="8" width="13.44140625" bestFit="1" customWidth="1"/>
    <col min="9" max="9" width="15" bestFit="1" customWidth="1"/>
    <col min="11" max="11" width="12.77734375" bestFit="1" customWidth="1"/>
    <col min="12" max="12" width="12.5546875" bestFit="1" customWidth="1"/>
  </cols>
  <sheetData>
    <row r="3" spans="1:12">
      <c r="B3" s="3251" t="s">
        <v>3604</v>
      </c>
      <c r="C3" s="3251"/>
      <c r="D3" s="3251"/>
      <c r="E3" s="3251"/>
      <c r="F3" s="3251"/>
      <c r="H3" t="s">
        <v>3603</v>
      </c>
    </row>
    <row r="4" spans="1:12">
      <c r="B4" s="254" t="s">
        <v>3553</v>
      </c>
      <c r="C4" s="254"/>
      <c r="D4" s="254"/>
      <c r="E4" s="254" t="s">
        <v>3568</v>
      </c>
      <c r="F4" s="254"/>
      <c r="H4" s="254" t="s">
        <v>4158</v>
      </c>
    </row>
    <row r="5" spans="1:12">
      <c r="C5"/>
      <c r="H5" s="3199" t="s">
        <v>3587</v>
      </c>
      <c r="I5" s="3199"/>
    </row>
    <row r="6" spans="1:12">
      <c r="A6" t="s">
        <v>3576</v>
      </c>
      <c r="B6" t="s">
        <v>3577</v>
      </c>
      <c r="C6" s="1881">
        <v>-331365</v>
      </c>
      <c r="E6" t="s">
        <v>3577</v>
      </c>
      <c r="F6" s="1881">
        <v>-331365</v>
      </c>
      <c r="H6" t="s">
        <v>3585</v>
      </c>
      <c r="I6" s="371">
        <f>Dep_Co!N26</f>
        <v>79464956.373423219</v>
      </c>
    </row>
    <row r="7" spans="1:12">
      <c r="F7" s="1881"/>
      <c r="H7" t="s">
        <v>3586</v>
      </c>
      <c r="I7" s="20">
        <f>Dep_IT!J23</f>
        <v>73045807.828813553</v>
      </c>
    </row>
    <row r="8" spans="1:12">
      <c r="B8" t="s">
        <v>3578</v>
      </c>
      <c r="C8" s="1881">
        <v>8322378</v>
      </c>
      <c r="E8" t="s">
        <v>3578</v>
      </c>
      <c r="F8" s="1881">
        <v>8322378</v>
      </c>
      <c r="I8" s="371">
        <f>I7-I6</f>
        <v>-6419148.5446096659</v>
      </c>
    </row>
    <row r="9" spans="1:12">
      <c r="B9" t="s">
        <v>3579</v>
      </c>
      <c r="C9" s="1881">
        <v>8099650</v>
      </c>
      <c r="E9" t="s">
        <v>3579</v>
      </c>
      <c r="F9" s="1881">
        <v>8099650</v>
      </c>
      <c r="I9" s="371">
        <f>-I8*25.168%</f>
        <v>1615571.3057073609</v>
      </c>
    </row>
    <row r="10" spans="1:12">
      <c r="F10" s="1881"/>
    </row>
    <row r="11" spans="1:12">
      <c r="B11" t="s">
        <v>3165</v>
      </c>
      <c r="C11" s="1881">
        <v>222728</v>
      </c>
      <c r="E11" t="s">
        <v>3165</v>
      </c>
      <c r="F11" s="1881">
        <v>222728</v>
      </c>
      <c r="K11" t="s">
        <v>4187</v>
      </c>
      <c r="L11" s="371">
        <f>I9</f>
        <v>1615571.3057073609</v>
      </c>
    </row>
    <row r="12" spans="1:12">
      <c r="F12" s="1881"/>
      <c r="K12" t="s">
        <v>4188</v>
      </c>
      <c r="L12" s="2147">
        <f>-Notes!J145</f>
        <v>873452.38214052026</v>
      </c>
    </row>
    <row r="13" spans="1:12">
      <c r="B13" t="s">
        <v>3580</v>
      </c>
      <c r="C13" s="1881">
        <v>57909.279999999999</v>
      </c>
      <c r="E13" t="s">
        <v>3580</v>
      </c>
      <c r="F13" s="1881">
        <v>57909.279999999999</v>
      </c>
      <c r="K13" t="s">
        <v>4189</v>
      </c>
      <c r="L13" s="2147">
        <f>Notes!J155</f>
        <v>-742110.61812685104</v>
      </c>
    </row>
    <row r="14" spans="1:12">
      <c r="F14" s="1881"/>
      <c r="L14" s="371"/>
    </row>
    <row r="15" spans="1:12">
      <c r="B15" t="s">
        <v>3581</v>
      </c>
      <c r="C15" s="1881">
        <v>-273455.71999999997</v>
      </c>
      <c r="E15" t="s">
        <v>3581</v>
      </c>
      <c r="F15" s="1881">
        <v>-273455.71999999997</v>
      </c>
    </row>
    <row r="18" spans="1:8">
      <c r="A18" t="s">
        <v>3582</v>
      </c>
      <c r="B18" t="s">
        <v>3577</v>
      </c>
      <c r="C18" s="1881">
        <v>-273455.71999999997</v>
      </c>
      <c r="E18" t="s">
        <v>3577</v>
      </c>
      <c r="F18" s="1881">
        <v>-273455.71999999997</v>
      </c>
    </row>
    <row r="19" spans="1:8">
      <c r="F19" s="1881"/>
    </row>
    <row r="20" spans="1:8">
      <c r="B20" t="s">
        <v>3578</v>
      </c>
      <c r="C20" s="1881">
        <v>3467811.9679089044</v>
      </c>
      <c r="E20" t="s">
        <v>3578</v>
      </c>
      <c r="F20" s="1881">
        <v>9394749.8969468046</v>
      </c>
    </row>
    <row r="21" spans="1:8">
      <c r="B21" t="s">
        <v>3579</v>
      </c>
      <c r="C21" s="1881">
        <v>8251961</v>
      </c>
      <c r="E21" t="s">
        <v>3579</v>
      </c>
      <c r="F21" s="1881">
        <v>8251961</v>
      </c>
    </row>
    <row r="22" spans="1:8">
      <c r="F22" s="1881"/>
    </row>
    <row r="23" spans="1:8">
      <c r="B23" t="s">
        <v>3165</v>
      </c>
      <c r="C23" s="1881">
        <v>-4784149.032091096</v>
      </c>
      <c r="E23" t="s">
        <v>3165</v>
      </c>
      <c r="F23" s="1881">
        <v>1142788.8969468046</v>
      </c>
    </row>
    <row r="24" spans="1:8">
      <c r="F24" s="1881"/>
    </row>
    <row r="25" spans="1:8">
      <c r="B25" t="s">
        <v>3580</v>
      </c>
      <c r="C25" s="1881">
        <v>-1243878.7483436849</v>
      </c>
      <c r="E25" t="s">
        <v>3580</v>
      </c>
      <c r="F25" s="1881">
        <v>297125.11320616922</v>
      </c>
    </row>
    <row r="26" spans="1:8">
      <c r="F26" s="1881"/>
    </row>
    <row r="27" spans="1:8">
      <c r="B27" t="s">
        <v>3581</v>
      </c>
      <c r="C27" s="1881">
        <v>-1517334.4683436849</v>
      </c>
      <c r="E27" t="s">
        <v>3581</v>
      </c>
      <c r="F27" s="1881">
        <v>23669.393206169247</v>
      </c>
      <c r="H27" s="371"/>
    </row>
    <row r="28" spans="1:8">
      <c r="F28" s="1881"/>
    </row>
    <row r="29" spans="1:8">
      <c r="F29" s="1881"/>
    </row>
    <row r="30" spans="1:8">
      <c r="A30" t="s">
        <v>3583</v>
      </c>
      <c r="B30" t="s">
        <v>3577</v>
      </c>
      <c r="C30" s="1881">
        <v>-1517334.4683436849</v>
      </c>
      <c r="E30" t="s">
        <v>3577</v>
      </c>
      <c r="F30" s="1881">
        <v>23669.393206169247</v>
      </c>
    </row>
    <row r="31" spans="1:8">
      <c r="F31" s="1881"/>
    </row>
    <row r="32" spans="1:8">
      <c r="B32" t="s">
        <v>3578</v>
      </c>
      <c r="C32" s="1881">
        <v>3900665.1686071744</v>
      </c>
      <c r="E32" t="s">
        <v>3578</v>
      </c>
      <c r="F32" s="1881">
        <v>9761460.7641878538</v>
      </c>
    </row>
    <row r="33" spans="2:8">
      <c r="B33" t="s">
        <v>3579</v>
      </c>
      <c r="C33" s="1881">
        <v>9178189</v>
      </c>
      <c r="E33" t="s">
        <v>3579</v>
      </c>
      <c r="F33" s="1881">
        <v>7780177</v>
      </c>
    </row>
    <row r="34" spans="2:8">
      <c r="F34" s="1881"/>
    </row>
    <row r="35" spans="2:8">
      <c r="B35" t="s">
        <v>3165</v>
      </c>
      <c r="C35" s="1881">
        <v>-5277523.8313928256</v>
      </c>
      <c r="E35" t="s">
        <v>3165</v>
      </c>
      <c r="F35" s="1881">
        <v>1981283.7641878538</v>
      </c>
    </row>
    <row r="36" spans="2:8">
      <c r="F36" s="1881"/>
    </row>
    <row r="37" spans="2:8">
      <c r="B37" t="s">
        <v>3580</v>
      </c>
      <c r="C37" s="1881">
        <v>-1372156.1961621346</v>
      </c>
      <c r="E37" t="s">
        <v>3580</v>
      </c>
      <c r="F37" s="1881">
        <v>498649.49777079909</v>
      </c>
    </row>
    <row r="39" spans="2:8">
      <c r="B39" t="s">
        <v>3581</v>
      </c>
      <c r="C39" s="1881">
        <v>-2889490.6645058198</v>
      </c>
      <c r="E39" t="s">
        <v>3581</v>
      </c>
      <c r="F39" s="1881">
        <v>522318.89097696834</v>
      </c>
      <c r="H39" s="371">
        <f>C39-F39</f>
        <v>-3411809.555482788</v>
      </c>
    </row>
  </sheetData>
  <mergeCells count="2">
    <mergeCell ref="B3:F3"/>
    <mergeCell ref="H5:I5"/>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1048350"/>
  <sheetViews>
    <sheetView zoomScaleNormal="100" workbookViewId="0">
      <selection activeCell="A5" sqref="A5:C5"/>
    </sheetView>
  </sheetViews>
  <sheetFormatPr defaultColWidth="9" defaultRowHeight="14.4"/>
  <cols>
    <col min="1" max="1" width="53.5546875" style="714" bestFit="1" customWidth="1"/>
    <col min="2" max="2" width="13.5546875" style="714" bestFit="1" customWidth="1"/>
    <col min="3" max="4" width="12.44140625" style="714" bestFit="1" customWidth="1"/>
    <col min="5" max="5" width="13.5546875" style="714" bestFit="1" customWidth="1"/>
    <col min="6" max="6" width="9" style="714"/>
    <col min="7" max="7" width="12.44140625" style="714" bestFit="1" customWidth="1"/>
    <col min="8" max="8" width="28.5546875" style="714" bestFit="1" customWidth="1"/>
    <col min="9" max="9" width="31.5546875" style="714" bestFit="1" customWidth="1"/>
    <col min="10" max="10" width="11" style="714" bestFit="1" customWidth="1"/>
    <col min="11" max="16384" width="9" style="714"/>
  </cols>
  <sheetData>
    <row r="1" spans="1:5" ht="15.6">
      <c r="A1" s="3259" t="s">
        <v>1661</v>
      </c>
      <c r="B1" s="3259"/>
      <c r="C1" s="3259"/>
      <c r="D1" s="1043"/>
      <c r="E1" s="1043"/>
    </row>
    <row r="2" spans="1:5">
      <c r="A2" s="3252" t="s">
        <v>1662</v>
      </c>
      <c r="B2" s="3252"/>
      <c r="C2" s="3252"/>
      <c r="D2" s="1043"/>
      <c r="E2" s="1043"/>
    </row>
    <row r="3" spans="1:5">
      <c r="A3" s="3252" t="s">
        <v>1663</v>
      </c>
      <c r="B3" s="3252"/>
      <c r="C3" s="3252"/>
      <c r="D3" s="1043"/>
      <c r="E3" s="1043"/>
    </row>
    <row r="4" spans="1:5">
      <c r="A4" s="3252" t="s">
        <v>1664</v>
      </c>
      <c r="B4" s="3252"/>
      <c r="C4" s="3252"/>
      <c r="D4" s="1043"/>
      <c r="E4" s="1043"/>
    </row>
    <row r="5" spans="1:5">
      <c r="A5" s="3260" t="s">
        <v>1665</v>
      </c>
      <c r="B5" s="3260"/>
      <c r="C5" s="3260"/>
      <c r="D5" s="1043"/>
      <c r="E5" s="1043"/>
    </row>
    <row r="6" spans="1:5" ht="15.6">
      <c r="A6" s="3261" t="s">
        <v>81</v>
      </c>
      <c r="B6" s="3261"/>
      <c r="C6" s="3261"/>
      <c r="D6" s="1043"/>
      <c r="E6" s="1043"/>
    </row>
    <row r="7" spans="1:5">
      <c r="A7" s="3252" t="s">
        <v>2517</v>
      </c>
      <c r="B7" s="3252"/>
      <c r="C7" s="3252"/>
      <c r="D7" s="1043"/>
      <c r="E7" s="1043"/>
    </row>
    <row r="8" spans="1:5">
      <c r="A8" s="1044" t="s">
        <v>82</v>
      </c>
      <c r="B8" s="3253" t="s">
        <v>1667</v>
      </c>
      <c r="C8" s="3254"/>
      <c r="D8" s="3254"/>
      <c r="E8" s="3254"/>
    </row>
    <row r="9" spans="1:5">
      <c r="A9" s="1045" t="s">
        <v>1</v>
      </c>
      <c r="B9" s="3255" t="s">
        <v>2517</v>
      </c>
      <c r="C9" s="3256"/>
      <c r="D9" s="3256"/>
      <c r="E9" s="3256"/>
    </row>
    <row r="10" spans="1:5">
      <c r="A10" s="1045" t="s">
        <v>82</v>
      </c>
      <c r="B10" s="1046" t="s">
        <v>1331</v>
      </c>
      <c r="C10" s="3257" t="s">
        <v>1332</v>
      </c>
      <c r="D10" s="3258"/>
      <c r="E10" s="1046" t="s">
        <v>1333</v>
      </c>
    </row>
    <row r="11" spans="1:5">
      <c r="A11" s="1047" t="s">
        <v>82</v>
      </c>
      <c r="B11" s="1048" t="s">
        <v>1196</v>
      </c>
      <c r="C11" s="1049" t="s">
        <v>66</v>
      </c>
      <c r="D11" s="1049" t="s">
        <v>67</v>
      </c>
      <c r="E11" s="1048" t="s">
        <v>1196</v>
      </c>
    </row>
    <row r="12" spans="1:5" s="515" customFormat="1">
      <c r="A12" s="959" t="s">
        <v>84</v>
      </c>
      <c r="B12" s="1050">
        <v>7147460</v>
      </c>
      <c r="C12" s="1051"/>
      <c r="D12" s="1051"/>
      <c r="E12" s="1050">
        <v>7147460</v>
      </c>
    </row>
    <row r="13" spans="1:5" s="515" customFormat="1">
      <c r="A13" s="950" t="s">
        <v>85</v>
      </c>
      <c r="B13" s="954">
        <v>7147460</v>
      </c>
      <c r="C13" s="953"/>
      <c r="D13" s="953"/>
      <c r="E13" s="954">
        <v>7147460</v>
      </c>
    </row>
    <row r="14" spans="1:5">
      <c r="A14" s="925" t="s">
        <v>86</v>
      </c>
      <c r="B14" s="926">
        <v>11138453.369999999</v>
      </c>
      <c r="C14" s="917">
        <v>178896914.84</v>
      </c>
      <c r="D14" s="917">
        <v>183414833.46000001</v>
      </c>
      <c r="E14" s="926">
        <v>15656371.99</v>
      </c>
    </row>
    <row r="15" spans="1:5">
      <c r="A15" s="923" t="s">
        <v>87</v>
      </c>
      <c r="B15" s="927"/>
      <c r="C15" s="928">
        <v>249101</v>
      </c>
      <c r="D15" s="928">
        <v>249101</v>
      </c>
      <c r="E15" s="927"/>
    </row>
    <row r="16" spans="1:5">
      <c r="A16" s="909" t="s">
        <v>2365</v>
      </c>
      <c r="B16" s="908"/>
      <c r="C16" s="214">
        <v>249101</v>
      </c>
      <c r="D16" s="214">
        <v>249101</v>
      </c>
      <c r="E16" s="908"/>
    </row>
    <row r="17" spans="1:11">
      <c r="A17" s="929" t="s">
        <v>89</v>
      </c>
      <c r="B17" s="930">
        <v>428896.77</v>
      </c>
      <c r="C17" s="931">
        <v>158657846.84</v>
      </c>
      <c r="D17" s="931">
        <v>174337703.46000001</v>
      </c>
      <c r="E17" s="932">
        <v>15250959.85</v>
      </c>
    </row>
    <row r="18" spans="1:11">
      <c r="A18" s="933" t="s">
        <v>1295</v>
      </c>
      <c r="B18" s="934">
        <v>6700224.9299999997</v>
      </c>
      <c r="C18" s="935">
        <v>44151065</v>
      </c>
      <c r="D18" s="935">
        <v>43991065</v>
      </c>
      <c r="E18" s="934">
        <v>6540224.9299999997</v>
      </c>
    </row>
    <row r="19" spans="1:11">
      <c r="A19" s="967" t="s">
        <v>2666</v>
      </c>
      <c r="B19" s="956">
        <v>1387288.93</v>
      </c>
      <c r="C19" s="962">
        <v>300000</v>
      </c>
      <c r="D19" s="962">
        <v>632560</v>
      </c>
      <c r="E19" s="956">
        <v>1719848.93</v>
      </c>
    </row>
    <row r="20" spans="1:11">
      <c r="A20" s="909" t="s">
        <v>2210</v>
      </c>
      <c r="B20" s="904"/>
      <c r="C20" s="213">
        <v>48200</v>
      </c>
      <c r="D20" s="213">
        <v>48200</v>
      </c>
      <c r="E20" s="904"/>
    </row>
    <row r="21" spans="1:11">
      <c r="A21" s="903" t="s">
        <v>2211</v>
      </c>
      <c r="B21" s="998">
        <v>2275</v>
      </c>
      <c r="C21" s="213">
        <v>30757</v>
      </c>
      <c r="D21" s="213">
        <v>33032</v>
      </c>
      <c r="E21" s="904"/>
      <c r="F21" s="714">
        <v>17</v>
      </c>
      <c r="G21" s="714" t="s">
        <v>2649</v>
      </c>
    </row>
    <row r="22" spans="1:11">
      <c r="A22" s="901" t="s">
        <v>1889</v>
      </c>
      <c r="B22" s="904"/>
      <c r="C22" s="213">
        <v>253452</v>
      </c>
      <c r="D22" s="213">
        <v>266732</v>
      </c>
      <c r="E22" s="902">
        <v>13280</v>
      </c>
    </row>
    <row r="23" spans="1:11">
      <c r="A23" s="903" t="s">
        <v>1294</v>
      </c>
      <c r="B23" s="904"/>
      <c r="C23" s="213">
        <v>24000</v>
      </c>
      <c r="D23" s="213">
        <v>24000</v>
      </c>
      <c r="E23" s="904"/>
      <c r="I23" s="714" t="s">
        <v>1158</v>
      </c>
      <c r="J23" s="714" t="s">
        <v>2645</v>
      </c>
    </row>
    <row r="24" spans="1:11">
      <c r="A24" s="901" t="s">
        <v>1890</v>
      </c>
      <c r="B24" s="998">
        <v>175000</v>
      </c>
      <c r="C24" s="213">
        <v>938858</v>
      </c>
      <c r="D24" s="213">
        <v>1013858</v>
      </c>
      <c r="E24" s="914">
        <v>100000</v>
      </c>
      <c r="F24" s="714">
        <v>17</v>
      </c>
      <c r="G24" s="714" t="s">
        <v>2649</v>
      </c>
      <c r="I24" s="851" t="s">
        <v>969</v>
      </c>
      <c r="J24" s="861">
        <v>229032</v>
      </c>
      <c r="K24" s="714" t="s">
        <v>2430</v>
      </c>
    </row>
    <row r="25" spans="1:11">
      <c r="A25" s="909" t="s">
        <v>1669</v>
      </c>
      <c r="B25" s="904"/>
      <c r="C25" s="213">
        <v>3200</v>
      </c>
      <c r="D25" s="213">
        <v>3200</v>
      </c>
      <c r="E25" s="904"/>
      <c r="I25" s="851" t="s">
        <v>1381</v>
      </c>
      <c r="J25" s="861">
        <v>3845</v>
      </c>
      <c r="K25" s="714" t="s">
        <v>2430</v>
      </c>
    </row>
    <row r="26" spans="1:11">
      <c r="A26" s="901" t="s">
        <v>1892</v>
      </c>
      <c r="B26" s="998">
        <v>7066</v>
      </c>
      <c r="C26" s="213">
        <v>430785</v>
      </c>
      <c r="D26" s="213">
        <v>545711</v>
      </c>
      <c r="E26" s="902">
        <v>107860</v>
      </c>
      <c r="F26" s="714">
        <v>17</v>
      </c>
      <c r="G26" s="714" t="s">
        <v>2649</v>
      </c>
      <c r="I26" s="851" t="s">
        <v>1893</v>
      </c>
      <c r="J26" s="846">
        <v>278400</v>
      </c>
      <c r="K26" s="250" t="s">
        <v>2430</v>
      </c>
    </row>
    <row r="27" spans="1:11">
      <c r="A27" s="909" t="s">
        <v>2518</v>
      </c>
      <c r="B27" s="904"/>
      <c r="C27" s="213">
        <v>3540</v>
      </c>
      <c r="D27" s="213">
        <v>3540</v>
      </c>
      <c r="E27" s="904"/>
      <c r="I27" s="840" t="s">
        <v>566</v>
      </c>
      <c r="J27" s="861">
        <v>12814</v>
      </c>
      <c r="K27" s="250" t="s">
        <v>2430</v>
      </c>
    </row>
    <row r="28" spans="1:11">
      <c r="A28" s="901" t="s">
        <v>1893</v>
      </c>
      <c r="B28" s="902">
        <v>278400</v>
      </c>
      <c r="C28" s="213">
        <v>283200</v>
      </c>
      <c r="D28" s="213">
        <v>4800</v>
      </c>
      <c r="E28" s="904"/>
      <c r="G28" s="714" t="s">
        <v>2644</v>
      </c>
      <c r="I28" s="851" t="s">
        <v>1383</v>
      </c>
      <c r="J28" s="861">
        <v>13405</v>
      </c>
      <c r="K28" s="250" t="s">
        <v>2430</v>
      </c>
    </row>
    <row r="29" spans="1:11">
      <c r="A29" s="936" t="s">
        <v>563</v>
      </c>
      <c r="B29" s="998">
        <v>76500</v>
      </c>
      <c r="C29" s="213">
        <v>191000</v>
      </c>
      <c r="D29" s="213">
        <v>410000</v>
      </c>
      <c r="E29" s="902">
        <v>142500</v>
      </c>
      <c r="F29" s="714">
        <v>17</v>
      </c>
      <c r="G29" s="714" t="s">
        <v>2649</v>
      </c>
    </row>
    <row r="30" spans="1:11">
      <c r="A30" s="901" t="s">
        <v>1894</v>
      </c>
      <c r="B30" s="904"/>
      <c r="C30" s="213">
        <v>30000</v>
      </c>
      <c r="D30" s="213">
        <v>30000</v>
      </c>
      <c r="E30" s="904"/>
    </row>
    <row r="31" spans="1:11">
      <c r="A31" s="901" t="s">
        <v>1292</v>
      </c>
      <c r="B31" s="998">
        <v>525000</v>
      </c>
      <c r="C31" s="908"/>
      <c r="D31" s="908"/>
      <c r="E31" s="914">
        <v>525000</v>
      </c>
      <c r="F31" s="714">
        <v>17</v>
      </c>
      <c r="G31" s="714" t="s">
        <v>2649</v>
      </c>
    </row>
    <row r="32" spans="1:11">
      <c r="A32" s="968" t="s">
        <v>564</v>
      </c>
      <c r="B32" s="954">
        <v>519857</v>
      </c>
      <c r="C32" s="952">
        <v>3904571</v>
      </c>
      <c r="D32" s="952">
        <v>3677400</v>
      </c>
      <c r="E32" s="954">
        <v>292686</v>
      </c>
      <c r="F32" s="714">
        <v>8</v>
      </c>
      <c r="G32" s="714" t="s">
        <v>2643</v>
      </c>
    </row>
    <row r="33" spans="1:7" s="958" customFormat="1">
      <c r="A33" s="964" t="s">
        <v>565</v>
      </c>
      <c r="B33" s="956">
        <v>378686</v>
      </c>
      <c r="C33" s="962">
        <v>4342206</v>
      </c>
      <c r="D33" s="962">
        <v>4334196</v>
      </c>
      <c r="E33" s="956">
        <v>370676</v>
      </c>
      <c r="F33" s="958">
        <v>8</v>
      </c>
    </row>
    <row r="34" spans="1:7">
      <c r="A34" s="909" t="s">
        <v>566</v>
      </c>
      <c r="B34" s="902">
        <v>12814</v>
      </c>
      <c r="C34" s="213">
        <v>53800</v>
      </c>
      <c r="D34" s="213">
        <v>45470</v>
      </c>
      <c r="E34" s="902">
        <v>4484</v>
      </c>
      <c r="G34" s="714" t="s">
        <v>2644</v>
      </c>
    </row>
    <row r="35" spans="1:7">
      <c r="A35" s="964" t="s">
        <v>567</v>
      </c>
      <c r="B35" s="956">
        <v>107692</v>
      </c>
      <c r="C35" s="962">
        <v>705995</v>
      </c>
      <c r="D35" s="962">
        <v>653644</v>
      </c>
      <c r="E35" s="956">
        <v>55341</v>
      </c>
    </row>
    <row r="36" spans="1:7">
      <c r="A36" s="901" t="s">
        <v>1897</v>
      </c>
      <c r="B36" s="904"/>
      <c r="C36" s="213">
        <v>19609</v>
      </c>
      <c r="D36" s="213">
        <v>19609</v>
      </c>
      <c r="E36" s="904"/>
    </row>
    <row r="37" spans="1:7">
      <c r="A37" s="901" t="s">
        <v>2519</v>
      </c>
      <c r="B37" s="904"/>
      <c r="C37" s="213">
        <v>53100</v>
      </c>
      <c r="D37" s="213">
        <v>53100</v>
      </c>
      <c r="E37" s="904"/>
    </row>
    <row r="38" spans="1:7">
      <c r="A38" s="967" t="s">
        <v>569</v>
      </c>
      <c r="B38" s="956">
        <v>4457488</v>
      </c>
      <c r="C38" s="962">
        <v>30723519</v>
      </c>
      <c r="D38" s="962">
        <v>29632802</v>
      </c>
      <c r="E38" s="956">
        <v>3366771</v>
      </c>
      <c r="F38" s="714">
        <v>8</v>
      </c>
      <c r="G38" s="714" t="s">
        <v>2643</v>
      </c>
    </row>
    <row r="39" spans="1:7">
      <c r="A39" s="909" t="s">
        <v>2520</v>
      </c>
      <c r="B39" s="904"/>
      <c r="C39" s="213">
        <v>18000</v>
      </c>
      <c r="D39" s="213">
        <v>18000</v>
      </c>
      <c r="E39" s="904"/>
    </row>
    <row r="40" spans="1:7">
      <c r="A40" s="901" t="s">
        <v>571</v>
      </c>
      <c r="B40" s="904"/>
      <c r="C40" s="213">
        <v>11328</v>
      </c>
      <c r="D40" s="213">
        <v>11328</v>
      </c>
      <c r="E40" s="904"/>
    </row>
    <row r="41" spans="1:7">
      <c r="A41" s="901" t="s">
        <v>1383</v>
      </c>
      <c r="B41" s="902">
        <v>13405</v>
      </c>
      <c r="C41" s="213">
        <v>95810</v>
      </c>
      <c r="D41" s="213">
        <v>95810</v>
      </c>
      <c r="E41" s="902">
        <v>13405</v>
      </c>
      <c r="G41" s="714" t="s">
        <v>2644</v>
      </c>
    </row>
    <row r="42" spans="1:7">
      <c r="A42" s="964" t="s">
        <v>68</v>
      </c>
      <c r="B42" s="956">
        <v>330435</v>
      </c>
      <c r="C42" s="962">
        <v>1616235</v>
      </c>
      <c r="D42" s="962">
        <v>2255613</v>
      </c>
      <c r="E42" s="956">
        <v>969813</v>
      </c>
      <c r="F42" s="714">
        <v>8</v>
      </c>
    </row>
    <row r="43" spans="1:7">
      <c r="A43" s="909" t="s">
        <v>976</v>
      </c>
      <c r="B43" s="904"/>
      <c r="C43" s="213">
        <v>22700</v>
      </c>
      <c r="D43" s="213">
        <v>22700</v>
      </c>
      <c r="E43" s="904"/>
    </row>
    <row r="44" spans="1:7">
      <c r="A44" s="909" t="s">
        <v>573</v>
      </c>
      <c r="B44" s="904"/>
      <c r="C44" s="213">
        <v>47200</v>
      </c>
      <c r="D44" s="213">
        <v>155760</v>
      </c>
      <c r="E44" s="902">
        <v>108560</v>
      </c>
    </row>
    <row r="45" spans="1:7">
      <c r="A45" s="933" t="s">
        <v>1291</v>
      </c>
      <c r="B45" s="937">
        <v>1123563.47</v>
      </c>
      <c r="C45" s="917">
        <v>48598739.460000001</v>
      </c>
      <c r="D45" s="917">
        <v>50370087.460000001</v>
      </c>
      <c r="E45" s="937">
        <v>2894911.47</v>
      </c>
    </row>
    <row r="46" spans="1:7">
      <c r="A46" s="901" t="s">
        <v>2224</v>
      </c>
      <c r="B46" s="998">
        <v>86140</v>
      </c>
      <c r="C46" s="908"/>
      <c r="D46" s="213">
        <v>86140</v>
      </c>
      <c r="E46" s="904"/>
    </row>
    <row r="47" spans="1:7">
      <c r="A47" s="901" t="s">
        <v>1290</v>
      </c>
      <c r="B47" s="902">
        <v>123357</v>
      </c>
      <c r="C47" s="213">
        <v>309336.44</v>
      </c>
      <c r="D47" s="213">
        <v>185979.44</v>
      </c>
      <c r="E47" s="904"/>
    </row>
    <row r="48" spans="1:7">
      <c r="A48" s="901" t="s">
        <v>1289</v>
      </c>
      <c r="B48" s="902">
        <v>35690.75</v>
      </c>
      <c r="C48" s="213">
        <v>215791.72</v>
      </c>
      <c r="D48" s="213">
        <v>221862.1</v>
      </c>
      <c r="E48" s="902">
        <v>41761.129999999997</v>
      </c>
    </row>
    <row r="49" spans="1:5">
      <c r="A49" s="909" t="s">
        <v>2521</v>
      </c>
      <c r="B49" s="904"/>
      <c r="C49" s="213">
        <v>20000</v>
      </c>
      <c r="D49" s="213">
        <v>20000</v>
      </c>
      <c r="E49" s="904"/>
    </row>
    <row r="50" spans="1:5">
      <c r="A50" s="909" t="s">
        <v>1906</v>
      </c>
      <c r="B50" s="902">
        <v>5127</v>
      </c>
      <c r="C50" s="213">
        <v>796769</v>
      </c>
      <c r="D50" s="213">
        <v>791642</v>
      </c>
      <c r="E50" s="904"/>
    </row>
    <row r="51" spans="1:5">
      <c r="A51" s="901" t="s">
        <v>1969</v>
      </c>
      <c r="B51" s="998">
        <v>3300</v>
      </c>
      <c r="C51" s="213">
        <v>18102.36</v>
      </c>
      <c r="D51" s="213">
        <v>14400</v>
      </c>
      <c r="E51" s="914">
        <v>7002.36</v>
      </c>
    </row>
    <row r="52" spans="1:5">
      <c r="A52" s="901" t="s">
        <v>2522</v>
      </c>
      <c r="B52" s="904"/>
      <c r="C52" s="213">
        <v>236910</v>
      </c>
      <c r="D52" s="213">
        <v>146910</v>
      </c>
      <c r="E52" s="914">
        <v>90000</v>
      </c>
    </row>
    <row r="53" spans="1:5">
      <c r="A53" s="901" t="s">
        <v>2523</v>
      </c>
      <c r="B53" s="904"/>
      <c r="C53" s="213">
        <v>97500</v>
      </c>
      <c r="D53" s="213">
        <v>97500</v>
      </c>
      <c r="E53" s="904"/>
    </row>
    <row r="54" spans="1:5">
      <c r="A54" s="901" t="s">
        <v>1909</v>
      </c>
      <c r="B54" s="904"/>
      <c r="C54" s="213">
        <v>130897</v>
      </c>
      <c r="D54" s="213">
        <v>156055</v>
      </c>
      <c r="E54" s="902">
        <v>25158</v>
      </c>
    </row>
    <row r="55" spans="1:5">
      <c r="A55" s="909" t="s">
        <v>2230</v>
      </c>
      <c r="B55" s="902">
        <v>30646</v>
      </c>
      <c r="C55" s="213">
        <v>109315</v>
      </c>
      <c r="D55" s="213">
        <v>109317.36</v>
      </c>
      <c r="E55" s="902">
        <v>30648.36</v>
      </c>
    </row>
    <row r="56" spans="1:5">
      <c r="A56" s="901" t="s">
        <v>2524</v>
      </c>
      <c r="B56" s="904"/>
      <c r="C56" s="213">
        <v>247800</v>
      </c>
      <c r="D56" s="213">
        <v>247800</v>
      </c>
      <c r="E56" s="904"/>
    </row>
    <row r="57" spans="1:5">
      <c r="A57" s="901" t="s">
        <v>2231</v>
      </c>
      <c r="B57" s="902">
        <v>61977</v>
      </c>
      <c r="C57" s="213">
        <v>6366867</v>
      </c>
      <c r="D57" s="213">
        <v>6304890</v>
      </c>
      <c r="E57" s="904"/>
    </row>
    <row r="58" spans="1:5">
      <c r="A58" s="901" t="s">
        <v>2525</v>
      </c>
      <c r="B58" s="904"/>
      <c r="C58" s="213">
        <v>10195</v>
      </c>
      <c r="D58" s="213">
        <v>10195</v>
      </c>
      <c r="E58" s="904"/>
    </row>
    <row r="59" spans="1:5">
      <c r="A59" s="901" t="s">
        <v>2526</v>
      </c>
      <c r="B59" s="904"/>
      <c r="C59" s="213">
        <v>114000</v>
      </c>
      <c r="D59" s="213">
        <v>114000</v>
      </c>
      <c r="E59" s="904"/>
    </row>
    <row r="60" spans="1:5">
      <c r="A60" s="901" t="s">
        <v>1911</v>
      </c>
      <c r="B60" s="998">
        <v>7727</v>
      </c>
      <c r="C60" s="908"/>
      <c r="D60" s="213">
        <v>7727</v>
      </c>
      <c r="E60" s="904"/>
    </row>
    <row r="61" spans="1:5">
      <c r="A61" s="909" t="s">
        <v>2527</v>
      </c>
      <c r="B61" s="904"/>
      <c r="C61" s="213">
        <v>133980</v>
      </c>
      <c r="D61" s="213">
        <v>346710</v>
      </c>
      <c r="E61" s="902">
        <v>212730</v>
      </c>
    </row>
    <row r="62" spans="1:5">
      <c r="A62" s="901" t="s">
        <v>2233</v>
      </c>
      <c r="B62" s="998">
        <v>2970</v>
      </c>
      <c r="C62" s="213">
        <v>16243</v>
      </c>
      <c r="D62" s="213">
        <v>19213</v>
      </c>
      <c r="E62" s="904"/>
    </row>
    <row r="63" spans="1:5">
      <c r="A63" s="901" t="s">
        <v>2234</v>
      </c>
      <c r="B63" s="902">
        <v>10030</v>
      </c>
      <c r="C63" s="213">
        <v>10030</v>
      </c>
      <c r="D63" s="908"/>
      <c r="E63" s="904"/>
    </row>
    <row r="64" spans="1:5">
      <c r="A64" s="901" t="s">
        <v>2528</v>
      </c>
      <c r="B64" s="904"/>
      <c r="C64" s="213">
        <v>500000</v>
      </c>
      <c r="D64" s="213">
        <v>1692946</v>
      </c>
      <c r="E64" s="902">
        <v>1192946</v>
      </c>
    </row>
    <row r="65" spans="1:5">
      <c r="A65" s="901" t="s">
        <v>1390</v>
      </c>
      <c r="B65" s="902">
        <v>189750</v>
      </c>
      <c r="C65" s="213">
        <v>960740.72</v>
      </c>
      <c r="D65" s="213">
        <v>869149</v>
      </c>
      <c r="E65" s="902">
        <v>98158.28</v>
      </c>
    </row>
    <row r="66" spans="1:5">
      <c r="A66" s="901" t="s">
        <v>1912</v>
      </c>
      <c r="B66" s="904"/>
      <c r="C66" s="908"/>
      <c r="D66" s="213">
        <v>10480</v>
      </c>
      <c r="E66" s="902">
        <v>10480</v>
      </c>
    </row>
    <row r="67" spans="1:5">
      <c r="A67" s="909" t="s">
        <v>1678</v>
      </c>
      <c r="B67" s="902">
        <v>27731</v>
      </c>
      <c r="C67" s="213">
        <v>252482</v>
      </c>
      <c r="D67" s="213">
        <v>224751</v>
      </c>
      <c r="E67" s="904"/>
    </row>
    <row r="68" spans="1:5">
      <c r="A68" s="901" t="s">
        <v>1913</v>
      </c>
      <c r="B68" s="904"/>
      <c r="C68" s="213">
        <v>70000</v>
      </c>
      <c r="D68" s="213">
        <v>70000</v>
      </c>
      <c r="E68" s="904"/>
    </row>
    <row r="69" spans="1:5">
      <c r="A69" s="901" t="s">
        <v>578</v>
      </c>
      <c r="B69" s="902">
        <v>107676</v>
      </c>
      <c r="C69" s="213">
        <v>107676</v>
      </c>
      <c r="D69" s="908"/>
      <c r="E69" s="904"/>
    </row>
    <row r="70" spans="1:5">
      <c r="A70" s="901" t="s">
        <v>2529</v>
      </c>
      <c r="B70" s="904"/>
      <c r="C70" s="213">
        <v>96465</v>
      </c>
      <c r="D70" s="213">
        <v>96465</v>
      </c>
      <c r="E70" s="904"/>
    </row>
    <row r="71" spans="1:5">
      <c r="A71" s="909" t="s">
        <v>579</v>
      </c>
      <c r="B71" s="902">
        <v>34119</v>
      </c>
      <c r="C71" s="213">
        <v>280641.44</v>
      </c>
      <c r="D71" s="213">
        <v>302429</v>
      </c>
      <c r="E71" s="902">
        <v>55906.559999999998</v>
      </c>
    </row>
    <row r="72" spans="1:5">
      <c r="A72" s="901" t="s">
        <v>581</v>
      </c>
      <c r="B72" s="904"/>
      <c r="C72" s="213">
        <v>158191</v>
      </c>
      <c r="D72" s="213">
        <v>158191</v>
      </c>
      <c r="E72" s="904"/>
    </row>
    <row r="73" spans="1:5">
      <c r="A73" s="909" t="s">
        <v>2237</v>
      </c>
      <c r="B73" s="998">
        <v>15000</v>
      </c>
      <c r="C73" s="908"/>
      <c r="D73" s="213">
        <v>15000</v>
      </c>
      <c r="E73" s="904"/>
    </row>
    <row r="74" spans="1:5">
      <c r="A74" s="909" t="s">
        <v>2530</v>
      </c>
      <c r="B74" s="904"/>
      <c r="C74" s="213">
        <v>1582179</v>
      </c>
      <c r="D74" s="213">
        <v>1133984</v>
      </c>
      <c r="E74" s="914">
        <v>448195</v>
      </c>
    </row>
    <row r="75" spans="1:5">
      <c r="A75" s="909" t="s">
        <v>2531</v>
      </c>
      <c r="B75" s="904"/>
      <c r="C75" s="213">
        <v>11827</v>
      </c>
      <c r="D75" s="213">
        <v>11827</v>
      </c>
      <c r="E75" s="904"/>
    </row>
    <row r="76" spans="1:5">
      <c r="A76" s="909" t="s">
        <v>2239</v>
      </c>
      <c r="B76" s="998">
        <v>15374</v>
      </c>
      <c r="C76" s="908"/>
      <c r="D76" s="213">
        <v>15374</v>
      </c>
      <c r="E76" s="904"/>
    </row>
    <row r="77" spans="1:5">
      <c r="A77" s="909" t="s">
        <v>259</v>
      </c>
      <c r="B77" s="902">
        <v>513450.5</v>
      </c>
      <c r="C77" s="213">
        <v>1100169.72</v>
      </c>
      <c r="D77" s="213">
        <v>1024195</v>
      </c>
      <c r="E77" s="902">
        <v>437475.78</v>
      </c>
    </row>
    <row r="78" spans="1:5">
      <c r="A78" s="936" t="s">
        <v>2532</v>
      </c>
      <c r="B78" s="904"/>
      <c r="C78" s="213">
        <v>555190</v>
      </c>
      <c r="D78" s="213">
        <v>555190</v>
      </c>
      <c r="E78" s="904"/>
    </row>
    <row r="79" spans="1:5">
      <c r="A79" s="901" t="s">
        <v>1919</v>
      </c>
      <c r="B79" s="904"/>
      <c r="C79" s="213">
        <v>164728</v>
      </c>
      <c r="D79" s="213">
        <v>164728</v>
      </c>
      <c r="E79" s="904"/>
    </row>
    <row r="80" spans="1:5">
      <c r="A80" s="901" t="s">
        <v>1920</v>
      </c>
      <c r="B80" s="902">
        <v>300</v>
      </c>
      <c r="C80" s="213">
        <v>120000</v>
      </c>
      <c r="D80" s="213">
        <v>119700</v>
      </c>
      <c r="E80" s="904"/>
    </row>
    <row r="81" spans="1:5">
      <c r="A81" s="901" t="s">
        <v>2533</v>
      </c>
      <c r="B81" s="904"/>
      <c r="C81" s="213">
        <v>28216</v>
      </c>
      <c r="D81" s="213">
        <v>49928</v>
      </c>
      <c r="E81" s="902">
        <v>21712</v>
      </c>
    </row>
    <row r="82" spans="1:5">
      <c r="A82" s="901" t="s">
        <v>2534</v>
      </c>
      <c r="B82" s="904"/>
      <c r="C82" s="213">
        <v>252426</v>
      </c>
      <c r="D82" s="213">
        <v>252426</v>
      </c>
      <c r="E82" s="904"/>
    </row>
    <row r="83" spans="1:5">
      <c r="A83" s="901" t="s">
        <v>257</v>
      </c>
      <c r="B83" s="902">
        <v>756181.5</v>
      </c>
      <c r="C83" s="213">
        <v>2050726.72</v>
      </c>
      <c r="D83" s="213">
        <v>1810261</v>
      </c>
      <c r="E83" s="902">
        <v>515715.78</v>
      </c>
    </row>
    <row r="84" spans="1:5">
      <c r="A84" s="901" t="s">
        <v>2535</v>
      </c>
      <c r="B84" s="904"/>
      <c r="C84" s="213">
        <v>448400</v>
      </c>
      <c r="D84" s="213">
        <v>448400</v>
      </c>
      <c r="E84" s="904"/>
    </row>
    <row r="85" spans="1:5">
      <c r="A85" s="901" t="s">
        <v>2241</v>
      </c>
      <c r="B85" s="998">
        <v>1947</v>
      </c>
      <c r="C85" s="213">
        <v>136880</v>
      </c>
      <c r="D85" s="213">
        <v>138827</v>
      </c>
      <c r="E85" s="904"/>
    </row>
    <row r="86" spans="1:5">
      <c r="A86" s="901" t="s">
        <v>2536</v>
      </c>
      <c r="B86" s="904"/>
      <c r="C86" s="213">
        <v>4133469</v>
      </c>
      <c r="D86" s="213">
        <v>4075115</v>
      </c>
      <c r="E86" s="914">
        <v>58354</v>
      </c>
    </row>
    <row r="87" spans="1:5">
      <c r="A87" s="901" t="s">
        <v>2537</v>
      </c>
      <c r="B87" s="904"/>
      <c r="C87" s="213">
        <v>217120</v>
      </c>
      <c r="D87" s="213">
        <v>217120</v>
      </c>
      <c r="E87" s="904"/>
    </row>
    <row r="88" spans="1:5">
      <c r="A88" s="909" t="s">
        <v>2538</v>
      </c>
      <c r="B88" s="904"/>
      <c r="C88" s="213">
        <v>61950</v>
      </c>
      <c r="D88" s="213">
        <v>61950</v>
      </c>
      <c r="E88" s="904"/>
    </row>
    <row r="89" spans="1:5">
      <c r="A89" s="901" t="s">
        <v>1925</v>
      </c>
      <c r="B89" s="904"/>
      <c r="C89" s="213">
        <v>9440</v>
      </c>
      <c r="D89" s="213">
        <v>9440</v>
      </c>
      <c r="E89" s="904"/>
    </row>
    <row r="90" spans="1:5">
      <c r="A90" s="901" t="s">
        <v>2243</v>
      </c>
      <c r="B90" s="904"/>
      <c r="C90" s="213">
        <v>1140888.96</v>
      </c>
      <c r="D90" s="213">
        <v>1140888.96</v>
      </c>
      <c r="E90" s="904"/>
    </row>
    <row r="91" spans="1:5">
      <c r="A91" s="901" t="s">
        <v>2244</v>
      </c>
      <c r="B91" s="998">
        <v>234800</v>
      </c>
      <c r="C91" s="213">
        <v>489130</v>
      </c>
      <c r="D91" s="213">
        <v>723930</v>
      </c>
      <c r="E91" s="904"/>
    </row>
    <row r="92" spans="1:5">
      <c r="A92" s="901" t="s">
        <v>2539</v>
      </c>
      <c r="B92" s="904"/>
      <c r="C92" s="213">
        <v>265000</v>
      </c>
      <c r="D92" s="213">
        <v>306790</v>
      </c>
      <c r="E92" s="902">
        <v>41790</v>
      </c>
    </row>
    <row r="93" spans="1:5">
      <c r="A93" s="901" t="s">
        <v>1927</v>
      </c>
      <c r="B93" s="902">
        <v>76900</v>
      </c>
      <c r="C93" s="213">
        <v>86400</v>
      </c>
      <c r="D93" s="213">
        <v>9500</v>
      </c>
      <c r="E93" s="904"/>
    </row>
    <row r="94" spans="1:5">
      <c r="A94" s="901" t="s">
        <v>1928</v>
      </c>
      <c r="B94" s="902">
        <v>920</v>
      </c>
      <c r="C94" s="213">
        <v>920</v>
      </c>
      <c r="D94" s="908"/>
      <c r="E94" s="904"/>
    </row>
    <row r="95" spans="1:5">
      <c r="A95" s="909" t="s">
        <v>2540</v>
      </c>
      <c r="B95" s="904"/>
      <c r="C95" s="213">
        <v>745579</v>
      </c>
      <c r="D95" s="213">
        <v>745579</v>
      </c>
      <c r="E95" s="904"/>
    </row>
    <row r="96" spans="1:5">
      <c r="A96" s="901" t="s">
        <v>2245</v>
      </c>
      <c r="B96" s="904"/>
      <c r="C96" s="213">
        <v>36118</v>
      </c>
      <c r="D96" s="213">
        <v>36118</v>
      </c>
      <c r="E96" s="904"/>
    </row>
    <row r="97" spans="1:5">
      <c r="A97" s="901" t="s">
        <v>2106</v>
      </c>
      <c r="B97" s="998">
        <v>19765</v>
      </c>
      <c r="C97" s="908"/>
      <c r="D97" s="213">
        <v>19765</v>
      </c>
      <c r="E97" s="904"/>
    </row>
    <row r="98" spans="1:5">
      <c r="A98" s="901" t="s">
        <v>2541</v>
      </c>
      <c r="B98" s="904"/>
      <c r="C98" s="213">
        <v>26845</v>
      </c>
      <c r="D98" s="213">
        <v>26845</v>
      </c>
      <c r="E98" s="904"/>
    </row>
    <row r="99" spans="1:5">
      <c r="A99" s="909" t="s">
        <v>2542</v>
      </c>
      <c r="B99" s="904"/>
      <c r="C99" s="213">
        <v>115000</v>
      </c>
      <c r="D99" s="213">
        <v>115000</v>
      </c>
      <c r="E99" s="904"/>
    </row>
    <row r="100" spans="1:5">
      <c r="A100" s="909" t="s">
        <v>586</v>
      </c>
      <c r="B100" s="998">
        <v>30368</v>
      </c>
      <c r="C100" s="213">
        <v>27333</v>
      </c>
      <c r="D100" s="213">
        <v>57701</v>
      </c>
      <c r="E100" s="904"/>
    </row>
    <row r="101" spans="1:5">
      <c r="A101" s="909" t="s">
        <v>2543</v>
      </c>
      <c r="B101" s="904"/>
      <c r="C101" s="213">
        <v>34490</v>
      </c>
      <c r="D101" s="213">
        <v>34490</v>
      </c>
      <c r="E101" s="904"/>
    </row>
    <row r="102" spans="1:5">
      <c r="A102" s="909" t="s">
        <v>1686</v>
      </c>
      <c r="B102" s="904"/>
      <c r="C102" s="213">
        <v>908104.4</v>
      </c>
      <c r="D102" s="213">
        <v>908104.4</v>
      </c>
      <c r="E102" s="904"/>
    </row>
    <row r="103" spans="1:5">
      <c r="A103" s="901" t="s">
        <v>2544</v>
      </c>
      <c r="B103" s="904"/>
      <c r="C103" s="213">
        <v>31211</v>
      </c>
      <c r="D103" s="213">
        <v>31211</v>
      </c>
      <c r="E103" s="904"/>
    </row>
    <row r="104" spans="1:5">
      <c r="A104" s="911" t="s">
        <v>587</v>
      </c>
      <c r="B104" s="902">
        <v>19148.349999999999</v>
      </c>
      <c r="C104" s="213">
        <v>19148.349999999999</v>
      </c>
      <c r="D104" s="908"/>
      <c r="E104" s="904"/>
    </row>
    <row r="105" spans="1:5">
      <c r="A105" s="901" t="s">
        <v>588</v>
      </c>
      <c r="B105" s="904"/>
      <c r="C105" s="213">
        <v>8676</v>
      </c>
      <c r="D105" s="213">
        <v>8676</v>
      </c>
      <c r="E105" s="904"/>
    </row>
    <row r="106" spans="1:5">
      <c r="A106" s="903" t="s">
        <v>1402</v>
      </c>
      <c r="B106" s="998">
        <v>262358</v>
      </c>
      <c r="C106" s="213">
        <v>562506</v>
      </c>
      <c r="D106" s="213">
        <v>821890</v>
      </c>
      <c r="E106" s="914">
        <v>2974</v>
      </c>
    </row>
    <row r="107" spans="1:5">
      <c r="A107" s="909" t="s">
        <v>1795</v>
      </c>
      <c r="B107" s="902">
        <v>182006</v>
      </c>
      <c r="C107" s="213">
        <v>247254.72</v>
      </c>
      <c r="D107" s="213">
        <v>124098.72</v>
      </c>
      <c r="E107" s="902">
        <v>58850</v>
      </c>
    </row>
    <row r="108" spans="1:5">
      <c r="A108" s="901" t="s">
        <v>2250</v>
      </c>
      <c r="B108" s="998">
        <v>520</v>
      </c>
      <c r="C108" s="908"/>
      <c r="D108" s="213">
        <v>520</v>
      </c>
      <c r="E108" s="904"/>
    </row>
    <row r="109" spans="1:5">
      <c r="A109" s="901" t="s">
        <v>2252</v>
      </c>
      <c r="B109" s="998">
        <v>10000</v>
      </c>
      <c r="C109" s="908"/>
      <c r="D109" s="908"/>
      <c r="E109" s="914">
        <v>10000</v>
      </c>
    </row>
    <row r="110" spans="1:5">
      <c r="A110" s="901" t="s">
        <v>2545</v>
      </c>
      <c r="B110" s="904"/>
      <c r="C110" s="213">
        <v>435260</v>
      </c>
      <c r="D110" s="213">
        <v>435260</v>
      </c>
      <c r="E110" s="904"/>
    </row>
    <row r="111" spans="1:5">
      <c r="A111" s="909" t="s">
        <v>2253</v>
      </c>
      <c r="B111" s="904"/>
      <c r="C111" s="213">
        <v>212754</v>
      </c>
      <c r="D111" s="213">
        <v>212754</v>
      </c>
      <c r="E111" s="904"/>
    </row>
    <row r="112" spans="1:5">
      <c r="A112" s="909" t="s">
        <v>1933</v>
      </c>
      <c r="B112" s="998">
        <v>11360</v>
      </c>
      <c r="C112" s="213">
        <v>15600</v>
      </c>
      <c r="D112" s="213">
        <v>26960</v>
      </c>
      <c r="E112" s="904"/>
    </row>
    <row r="113" spans="1:5">
      <c r="A113" s="909" t="s">
        <v>1934</v>
      </c>
      <c r="B113" s="998">
        <v>127499</v>
      </c>
      <c r="C113" s="908"/>
      <c r="D113" s="213">
        <v>127499</v>
      </c>
      <c r="E113" s="904"/>
    </row>
    <row r="114" spans="1:5">
      <c r="A114" s="901" t="s">
        <v>258</v>
      </c>
      <c r="B114" s="902">
        <v>196558</v>
      </c>
      <c r="C114" s="213">
        <v>831590.16</v>
      </c>
      <c r="D114" s="213">
        <v>635032.16</v>
      </c>
      <c r="E114" s="904"/>
    </row>
    <row r="115" spans="1:5">
      <c r="A115" s="909" t="s">
        <v>1936</v>
      </c>
      <c r="B115" s="902">
        <v>3200</v>
      </c>
      <c r="C115" s="213">
        <v>1199956</v>
      </c>
      <c r="D115" s="213">
        <v>1196756</v>
      </c>
      <c r="E115" s="904"/>
    </row>
    <row r="116" spans="1:5">
      <c r="A116" s="901" t="s">
        <v>2546</v>
      </c>
      <c r="B116" s="904"/>
      <c r="C116" s="213">
        <v>671017</v>
      </c>
      <c r="D116" s="213">
        <v>648666</v>
      </c>
      <c r="E116" s="914">
        <v>22351</v>
      </c>
    </row>
    <row r="117" spans="1:5">
      <c r="A117" s="901" t="s">
        <v>2547</v>
      </c>
      <c r="B117" s="904"/>
      <c r="C117" s="213">
        <v>7950</v>
      </c>
      <c r="D117" s="213">
        <v>7950</v>
      </c>
      <c r="E117" s="904"/>
    </row>
    <row r="118" spans="1:5">
      <c r="A118" s="901" t="s">
        <v>1285</v>
      </c>
      <c r="B118" s="904"/>
      <c r="C118" s="213">
        <v>209498</v>
      </c>
      <c r="D118" s="213">
        <v>209498</v>
      </c>
      <c r="E118" s="904"/>
    </row>
    <row r="119" spans="1:5">
      <c r="A119" s="901" t="s">
        <v>2548</v>
      </c>
      <c r="B119" s="904"/>
      <c r="C119" s="213">
        <v>1000000</v>
      </c>
      <c r="D119" s="213">
        <v>1044418</v>
      </c>
      <c r="E119" s="902">
        <v>44418</v>
      </c>
    </row>
    <row r="120" spans="1:5">
      <c r="A120" s="909" t="s">
        <v>2254</v>
      </c>
      <c r="B120" s="902">
        <v>313644</v>
      </c>
      <c r="C120" s="213">
        <v>313644</v>
      </c>
      <c r="D120" s="908"/>
      <c r="E120" s="904"/>
    </row>
    <row r="121" spans="1:5">
      <c r="A121" s="901" t="s">
        <v>1691</v>
      </c>
      <c r="B121" s="902">
        <v>58399</v>
      </c>
      <c r="C121" s="908"/>
      <c r="D121" s="908"/>
      <c r="E121" s="902">
        <v>58399</v>
      </c>
    </row>
    <row r="122" spans="1:5">
      <c r="A122" s="901" t="s">
        <v>2549</v>
      </c>
      <c r="B122" s="904"/>
      <c r="C122" s="213">
        <v>13452</v>
      </c>
      <c r="D122" s="213">
        <v>13452</v>
      </c>
      <c r="E122" s="904"/>
    </row>
    <row r="123" spans="1:5">
      <c r="A123" s="901" t="s">
        <v>2550</v>
      </c>
      <c r="B123" s="902">
        <v>54067.7</v>
      </c>
      <c r="C123" s="213">
        <v>55877.7</v>
      </c>
      <c r="D123" s="213">
        <v>1810</v>
      </c>
      <c r="E123" s="904"/>
    </row>
    <row r="124" spans="1:5">
      <c r="A124" s="901" t="s">
        <v>1407</v>
      </c>
      <c r="B124" s="998">
        <v>8581.6</v>
      </c>
      <c r="C124" s="213">
        <v>9395</v>
      </c>
      <c r="D124" s="213">
        <v>17976.599999999999</v>
      </c>
      <c r="E124" s="904"/>
    </row>
    <row r="125" spans="1:5">
      <c r="A125" s="909" t="s">
        <v>1942</v>
      </c>
      <c r="B125" s="998">
        <v>4648</v>
      </c>
      <c r="C125" s="213">
        <v>800000</v>
      </c>
      <c r="D125" s="213">
        <v>1395972</v>
      </c>
      <c r="E125" s="902">
        <v>591324</v>
      </c>
    </row>
    <row r="126" spans="1:5">
      <c r="A126" s="901" t="s">
        <v>2551</v>
      </c>
      <c r="B126" s="904"/>
      <c r="C126" s="213">
        <v>382071</v>
      </c>
      <c r="D126" s="213">
        <v>397941</v>
      </c>
      <c r="E126" s="902">
        <v>15870</v>
      </c>
    </row>
    <row r="127" spans="1:5">
      <c r="A127" s="901" t="s">
        <v>1943</v>
      </c>
      <c r="B127" s="998">
        <v>8296</v>
      </c>
      <c r="C127" s="908"/>
      <c r="D127" s="213">
        <v>8296</v>
      </c>
      <c r="E127" s="904"/>
    </row>
    <row r="128" spans="1:5">
      <c r="A128" s="901" t="s">
        <v>2552</v>
      </c>
      <c r="B128" s="904"/>
      <c r="C128" s="908"/>
      <c r="D128" s="213">
        <v>9820</v>
      </c>
      <c r="E128" s="902">
        <v>9820</v>
      </c>
    </row>
    <row r="129" spans="1:5">
      <c r="A129" s="901" t="s">
        <v>1944</v>
      </c>
      <c r="B129" s="902">
        <v>2124</v>
      </c>
      <c r="C129" s="213">
        <v>175000</v>
      </c>
      <c r="D129" s="908"/>
      <c r="E129" s="914">
        <v>172876</v>
      </c>
    </row>
    <row r="130" spans="1:5">
      <c r="A130" s="903" t="s">
        <v>2553</v>
      </c>
      <c r="B130" s="904"/>
      <c r="C130" s="213">
        <v>176705</v>
      </c>
      <c r="D130" s="213">
        <v>176705</v>
      </c>
      <c r="E130" s="904"/>
    </row>
    <row r="131" spans="1:5">
      <c r="A131" s="909" t="s">
        <v>2257</v>
      </c>
      <c r="B131" s="902">
        <v>31122</v>
      </c>
      <c r="C131" s="213">
        <v>31122</v>
      </c>
      <c r="D131" s="908"/>
      <c r="E131" s="904"/>
    </row>
    <row r="132" spans="1:5">
      <c r="A132" s="909" t="s">
        <v>1945</v>
      </c>
      <c r="B132" s="902">
        <v>57328</v>
      </c>
      <c r="C132" s="213">
        <v>57328</v>
      </c>
      <c r="D132" s="908"/>
      <c r="E132" s="904"/>
    </row>
    <row r="133" spans="1:5">
      <c r="A133" s="901" t="s">
        <v>1692</v>
      </c>
      <c r="B133" s="902">
        <v>20339</v>
      </c>
      <c r="C133" s="213">
        <v>90055.72</v>
      </c>
      <c r="D133" s="213">
        <v>80440.72</v>
      </c>
      <c r="E133" s="902">
        <v>10724</v>
      </c>
    </row>
    <row r="134" spans="1:5">
      <c r="A134" s="901" t="s">
        <v>2554</v>
      </c>
      <c r="B134" s="904"/>
      <c r="C134" s="213">
        <v>31920</v>
      </c>
      <c r="D134" s="213">
        <v>45970</v>
      </c>
      <c r="E134" s="902">
        <v>14050</v>
      </c>
    </row>
    <row r="135" spans="1:5">
      <c r="A135" s="901" t="s">
        <v>2555</v>
      </c>
      <c r="B135" s="904"/>
      <c r="C135" s="213">
        <v>25000</v>
      </c>
      <c r="D135" s="908"/>
      <c r="E135" s="914">
        <v>25000</v>
      </c>
    </row>
    <row r="136" spans="1:5">
      <c r="A136" s="901" t="s">
        <v>1693</v>
      </c>
      <c r="B136" s="902">
        <v>176638.82</v>
      </c>
      <c r="C136" s="213">
        <v>309099.44</v>
      </c>
      <c r="D136" s="213">
        <v>137045</v>
      </c>
      <c r="E136" s="902">
        <v>4584.38</v>
      </c>
    </row>
    <row r="137" spans="1:5">
      <c r="A137" s="901" t="s">
        <v>2260</v>
      </c>
      <c r="B137" s="904"/>
      <c r="C137" s="213">
        <v>519200</v>
      </c>
      <c r="D137" s="213">
        <v>519200</v>
      </c>
      <c r="E137" s="904"/>
    </row>
    <row r="138" spans="1:5">
      <c r="A138" s="901" t="s">
        <v>1946</v>
      </c>
      <c r="B138" s="998">
        <v>7000</v>
      </c>
      <c r="C138" s="908"/>
      <c r="D138" s="213">
        <v>7000</v>
      </c>
      <c r="E138" s="904"/>
    </row>
    <row r="139" spans="1:5">
      <c r="A139" s="901" t="s">
        <v>596</v>
      </c>
      <c r="B139" s="902">
        <v>73374</v>
      </c>
      <c r="C139" s="213">
        <v>90865.72</v>
      </c>
      <c r="D139" s="213">
        <v>38514</v>
      </c>
      <c r="E139" s="902">
        <v>21022.28</v>
      </c>
    </row>
    <row r="140" spans="1:5">
      <c r="A140" s="901" t="s">
        <v>1950</v>
      </c>
      <c r="B140" s="904"/>
      <c r="C140" s="213">
        <v>10620</v>
      </c>
      <c r="D140" s="213">
        <v>10620</v>
      </c>
      <c r="E140" s="904"/>
    </row>
    <row r="141" spans="1:5">
      <c r="A141" s="901" t="s">
        <v>2556</v>
      </c>
      <c r="B141" s="904"/>
      <c r="C141" s="213">
        <v>1158780</v>
      </c>
      <c r="D141" s="213">
        <v>1158780</v>
      </c>
      <c r="E141" s="904"/>
    </row>
    <row r="142" spans="1:5">
      <c r="A142" s="909" t="s">
        <v>2262</v>
      </c>
      <c r="B142" s="904"/>
      <c r="C142" s="213">
        <v>200150</v>
      </c>
      <c r="D142" s="213">
        <v>50150</v>
      </c>
      <c r="E142" s="914">
        <v>150000</v>
      </c>
    </row>
    <row r="143" spans="1:5">
      <c r="A143" s="901" t="s">
        <v>2557</v>
      </c>
      <c r="B143" s="904"/>
      <c r="C143" s="213">
        <v>145000</v>
      </c>
      <c r="D143" s="213">
        <v>145000</v>
      </c>
      <c r="E143" s="904"/>
    </row>
    <row r="144" spans="1:5">
      <c r="A144" s="901" t="s">
        <v>2264</v>
      </c>
      <c r="B144" s="998">
        <v>72570</v>
      </c>
      <c r="C144" s="213">
        <v>59684</v>
      </c>
      <c r="D144" s="213">
        <v>132254</v>
      </c>
      <c r="E144" s="904"/>
    </row>
    <row r="145" spans="1:5">
      <c r="A145" s="909" t="s">
        <v>1801</v>
      </c>
      <c r="B145" s="902">
        <v>21992</v>
      </c>
      <c r="C145" s="213">
        <v>43984</v>
      </c>
      <c r="D145" s="213">
        <v>21992</v>
      </c>
      <c r="E145" s="904"/>
    </row>
    <row r="146" spans="1:5">
      <c r="A146" s="901" t="s">
        <v>1954</v>
      </c>
      <c r="B146" s="998">
        <v>8710</v>
      </c>
      <c r="C146" s="213">
        <v>4390</v>
      </c>
      <c r="D146" s="213">
        <v>13100</v>
      </c>
      <c r="E146" s="904"/>
    </row>
    <row r="147" spans="1:5">
      <c r="A147" s="901" t="s">
        <v>2558</v>
      </c>
      <c r="B147" s="904"/>
      <c r="C147" s="213">
        <v>16430</v>
      </c>
      <c r="D147" s="213">
        <v>16430</v>
      </c>
      <c r="E147" s="904"/>
    </row>
    <row r="148" spans="1:5">
      <c r="A148" s="901" t="s">
        <v>2559</v>
      </c>
      <c r="B148" s="904"/>
      <c r="C148" s="213">
        <v>446262</v>
      </c>
      <c r="D148" s="213">
        <v>446262</v>
      </c>
      <c r="E148" s="904"/>
    </row>
    <row r="149" spans="1:5">
      <c r="A149" s="901" t="s">
        <v>2265</v>
      </c>
      <c r="B149" s="902">
        <v>37800</v>
      </c>
      <c r="C149" s="213">
        <v>306600</v>
      </c>
      <c r="D149" s="213">
        <v>268800</v>
      </c>
      <c r="E149" s="904"/>
    </row>
    <row r="150" spans="1:5">
      <c r="A150" s="901" t="s">
        <v>1412</v>
      </c>
      <c r="B150" s="904"/>
      <c r="C150" s="213">
        <v>461974</v>
      </c>
      <c r="D150" s="213">
        <v>461974</v>
      </c>
      <c r="E150" s="904"/>
    </row>
    <row r="151" spans="1:5">
      <c r="A151" s="901" t="s">
        <v>2560</v>
      </c>
      <c r="B151" s="904"/>
      <c r="C151" s="213">
        <v>452036</v>
      </c>
      <c r="D151" s="213">
        <v>452036</v>
      </c>
      <c r="E151" s="904"/>
    </row>
    <row r="152" spans="1:5">
      <c r="A152" s="901" t="s">
        <v>2561</v>
      </c>
      <c r="B152" s="904"/>
      <c r="C152" s="213">
        <v>269500</v>
      </c>
      <c r="D152" s="213">
        <v>269500</v>
      </c>
      <c r="E152" s="904"/>
    </row>
    <row r="153" spans="1:5">
      <c r="A153" s="901" t="s">
        <v>2562</v>
      </c>
      <c r="B153" s="904"/>
      <c r="C153" s="213">
        <v>42008</v>
      </c>
      <c r="D153" s="213">
        <v>55601</v>
      </c>
      <c r="E153" s="902">
        <v>13593</v>
      </c>
    </row>
    <row r="154" spans="1:5">
      <c r="A154" s="901" t="s">
        <v>2563</v>
      </c>
      <c r="B154" s="904"/>
      <c r="C154" s="213">
        <v>158760</v>
      </c>
      <c r="D154" s="213">
        <v>158760</v>
      </c>
      <c r="E154" s="904"/>
    </row>
    <row r="155" spans="1:5">
      <c r="A155" s="901" t="s">
        <v>2564</v>
      </c>
      <c r="B155" s="904"/>
      <c r="C155" s="213">
        <v>50800</v>
      </c>
      <c r="D155" s="213">
        <v>50800</v>
      </c>
      <c r="E155" s="904"/>
    </row>
    <row r="156" spans="1:5">
      <c r="A156" s="901" t="s">
        <v>2565</v>
      </c>
      <c r="B156" s="904"/>
      <c r="C156" s="213">
        <v>114000</v>
      </c>
      <c r="D156" s="213">
        <v>114000</v>
      </c>
      <c r="E156" s="904"/>
    </row>
    <row r="157" spans="1:5">
      <c r="A157" s="901" t="s">
        <v>1955</v>
      </c>
      <c r="B157" s="998">
        <v>742</v>
      </c>
      <c r="C157" s="213">
        <v>120360</v>
      </c>
      <c r="D157" s="213">
        <v>121102</v>
      </c>
      <c r="E157" s="904"/>
    </row>
    <row r="158" spans="1:5">
      <c r="A158" s="909" t="s">
        <v>2566</v>
      </c>
      <c r="B158" s="904"/>
      <c r="C158" s="213">
        <v>866369</v>
      </c>
      <c r="D158" s="213">
        <v>866369</v>
      </c>
      <c r="E158" s="904"/>
    </row>
    <row r="159" spans="1:5">
      <c r="A159" s="909" t="s">
        <v>2567</v>
      </c>
      <c r="B159" s="904"/>
      <c r="C159" s="213">
        <v>497299</v>
      </c>
      <c r="D159" s="213">
        <v>497299</v>
      </c>
      <c r="E159" s="904"/>
    </row>
    <row r="160" spans="1:5">
      <c r="A160" s="901" t="s">
        <v>1413</v>
      </c>
      <c r="B160" s="902">
        <v>1</v>
      </c>
      <c r="C160" s="213">
        <v>113779</v>
      </c>
      <c r="D160" s="213">
        <v>113778</v>
      </c>
      <c r="E160" s="904"/>
    </row>
    <row r="161" spans="1:5">
      <c r="A161" s="901" t="s">
        <v>605</v>
      </c>
      <c r="B161" s="998">
        <v>612518</v>
      </c>
      <c r="C161" s="908"/>
      <c r="D161" s="213">
        <v>612518</v>
      </c>
      <c r="E161" s="904"/>
    </row>
    <row r="162" spans="1:5">
      <c r="A162" s="901" t="s">
        <v>2568</v>
      </c>
      <c r="B162" s="904"/>
      <c r="C162" s="213">
        <v>25665</v>
      </c>
      <c r="D162" s="213">
        <v>25665</v>
      </c>
      <c r="E162" s="904"/>
    </row>
    <row r="163" spans="1:5">
      <c r="A163" s="901" t="s">
        <v>2267</v>
      </c>
      <c r="B163" s="998">
        <v>310639</v>
      </c>
      <c r="C163" s="908"/>
      <c r="D163" s="213">
        <v>310639</v>
      </c>
      <c r="E163" s="904"/>
    </row>
    <row r="164" spans="1:5">
      <c r="A164" s="901" t="s">
        <v>2268</v>
      </c>
      <c r="B164" s="904"/>
      <c r="C164" s="213">
        <v>3567000</v>
      </c>
      <c r="D164" s="213">
        <v>3567000</v>
      </c>
      <c r="E164" s="904"/>
    </row>
    <row r="165" spans="1:5">
      <c r="A165" s="901" t="s">
        <v>1961</v>
      </c>
      <c r="B165" s="902">
        <v>861.15</v>
      </c>
      <c r="C165" s="213">
        <v>861.15</v>
      </c>
      <c r="D165" s="908"/>
      <c r="E165" s="904"/>
    </row>
    <row r="166" spans="1:5">
      <c r="A166" s="903" t="s">
        <v>606</v>
      </c>
      <c r="B166" s="902">
        <v>315401</v>
      </c>
      <c r="C166" s="213">
        <v>841388.72</v>
      </c>
      <c r="D166" s="213">
        <v>860957</v>
      </c>
      <c r="E166" s="902">
        <v>334969.28000000003</v>
      </c>
    </row>
    <row r="167" spans="1:5">
      <c r="A167" s="909" t="s">
        <v>1962</v>
      </c>
      <c r="B167" s="998">
        <v>2</v>
      </c>
      <c r="C167" s="213">
        <v>234528</v>
      </c>
      <c r="D167" s="213">
        <v>234530</v>
      </c>
      <c r="E167" s="904"/>
    </row>
    <row r="168" spans="1:5">
      <c r="A168" s="909" t="s">
        <v>2269</v>
      </c>
      <c r="B168" s="902">
        <v>11328</v>
      </c>
      <c r="C168" s="213">
        <v>11328</v>
      </c>
      <c r="D168" s="908"/>
      <c r="E168" s="904"/>
    </row>
    <row r="169" spans="1:5">
      <c r="A169" s="901" t="s">
        <v>2569</v>
      </c>
      <c r="B169" s="904"/>
      <c r="C169" s="213">
        <v>61425</v>
      </c>
      <c r="D169" s="213">
        <v>61425</v>
      </c>
      <c r="E169" s="904"/>
    </row>
    <row r="170" spans="1:5">
      <c r="A170" s="901" t="s">
        <v>1414</v>
      </c>
      <c r="B170" s="998">
        <v>152500</v>
      </c>
      <c r="C170" s="213">
        <v>748000</v>
      </c>
      <c r="D170" s="213">
        <v>900500</v>
      </c>
      <c r="E170" s="904"/>
    </row>
    <row r="171" spans="1:5">
      <c r="A171" s="901" t="s">
        <v>1964</v>
      </c>
      <c r="B171" s="902">
        <v>16402.3</v>
      </c>
      <c r="C171" s="213">
        <v>16402.3</v>
      </c>
      <c r="D171" s="908"/>
      <c r="E171" s="904"/>
    </row>
    <row r="172" spans="1:5">
      <c r="A172" s="901" t="s">
        <v>2570</v>
      </c>
      <c r="B172" s="904"/>
      <c r="C172" s="213">
        <v>379010</v>
      </c>
      <c r="D172" s="213">
        <v>379010</v>
      </c>
      <c r="E172" s="904"/>
    </row>
    <row r="173" spans="1:5">
      <c r="A173" s="901" t="s">
        <v>2270</v>
      </c>
      <c r="B173" s="998">
        <v>421142</v>
      </c>
      <c r="C173" s="213">
        <v>795673</v>
      </c>
      <c r="D173" s="213">
        <v>1216815</v>
      </c>
      <c r="E173" s="904"/>
    </row>
    <row r="174" spans="1:5">
      <c r="A174" s="909" t="s">
        <v>1966</v>
      </c>
      <c r="B174" s="904"/>
      <c r="C174" s="213">
        <v>116571</v>
      </c>
      <c r="D174" s="213">
        <v>136129</v>
      </c>
      <c r="E174" s="902">
        <v>19558</v>
      </c>
    </row>
    <row r="175" spans="1:5">
      <c r="A175" s="909" t="s">
        <v>1968</v>
      </c>
      <c r="B175" s="904"/>
      <c r="C175" s="213">
        <v>175466</v>
      </c>
      <c r="D175" s="213">
        <v>175466</v>
      </c>
      <c r="E175" s="904"/>
    </row>
    <row r="176" spans="1:5">
      <c r="A176" s="901" t="s">
        <v>2571</v>
      </c>
      <c r="B176" s="904"/>
      <c r="C176" s="213">
        <v>39920</v>
      </c>
      <c r="D176" s="213">
        <v>39920</v>
      </c>
      <c r="E176" s="904"/>
    </row>
    <row r="177" spans="1:5">
      <c r="A177" s="901" t="s">
        <v>2572</v>
      </c>
      <c r="B177" s="904"/>
      <c r="C177" s="213">
        <v>84960</v>
      </c>
      <c r="D177" s="213">
        <v>84960</v>
      </c>
      <c r="E177" s="904"/>
    </row>
    <row r="178" spans="1:5">
      <c r="A178" s="901" t="s">
        <v>2273</v>
      </c>
      <c r="B178" s="904"/>
      <c r="C178" s="213">
        <v>1414721</v>
      </c>
      <c r="D178" s="213">
        <v>1414721</v>
      </c>
      <c r="E178" s="904"/>
    </row>
    <row r="179" spans="1:5">
      <c r="A179" s="901" t="s">
        <v>609</v>
      </c>
      <c r="B179" s="998">
        <v>5550</v>
      </c>
      <c r="C179" s="213">
        <v>5416</v>
      </c>
      <c r="D179" s="213">
        <v>10966</v>
      </c>
      <c r="E179" s="904"/>
    </row>
    <row r="180" spans="1:5">
      <c r="A180" s="933" t="s">
        <v>1284</v>
      </c>
      <c r="B180" s="999">
        <v>6441810.5700000003</v>
      </c>
      <c r="C180" s="917">
        <v>37040579.219999999</v>
      </c>
      <c r="D180" s="917">
        <v>43357120</v>
      </c>
      <c r="E180" s="938">
        <v>125269.79</v>
      </c>
    </row>
    <row r="181" spans="1:5">
      <c r="A181" s="903" t="s">
        <v>2573</v>
      </c>
      <c r="B181" s="904"/>
      <c r="C181" s="213">
        <v>66160</v>
      </c>
      <c r="D181" s="213">
        <v>66160</v>
      </c>
      <c r="E181" s="904"/>
    </row>
    <row r="182" spans="1:5">
      <c r="A182" s="901" t="s">
        <v>2278</v>
      </c>
      <c r="B182" s="902">
        <v>25201</v>
      </c>
      <c r="C182" s="213">
        <v>53705</v>
      </c>
      <c r="D182" s="213">
        <v>28504</v>
      </c>
      <c r="E182" s="904"/>
    </row>
    <row r="183" spans="1:5">
      <c r="A183" s="901" t="s">
        <v>2574</v>
      </c>
      <c r="B183" s="904"/>
      <c r="C183" s="213">
        <v>63652</v>
      </c>
      <c r="D183" s="213">
        <v>63652</v>
      </c>
      <c r="E183" s="904"/>
    </row>
    <row r="184" spans="1:5">
      <c r="A184" s="909" t="s">
        <v>1420</v>
      </c>
      <c r="B184" s="998">
        <v>22000</v>
      </c>
      <c r="C184" s="213">
        <v>33200</v>
      </c>
      <c r="D184" s="213">
        <v>55200</v>
      </c>
      <c r="E184" s="904"/>
    </row>
    <row r="185" spans="1:5">
      <c r="A185" s="909" t="s">
        <v>1421</v>
      </c>
      <c r="B185" s="998">
        <v>4282</v>
      </c>
      <c r="C185" s="213">
        <v>313436</v>
      </c>
      <c r="D185" s="213">
        <v>256531</v>
      </c>
      <c r="E185" s="914">
        <v>61187</v>
      </c>
    </row>
    <row r="186" spans="1:5">
      <c r="A186" s="901" t="s">
        <v>2575</v>
      </c>
      <c r="B186" s="904"/>
      <c r="C186" s="213">
        <v>67774</v>
      </c>
      <c r="D186" s="213">
        <v>75911</v>
      </c>
      <c r="E186" s="902">
        <v>8137</v>
      </c>
    </row>
    <row r="187" spans="1:5">
      <c r="A187" s="901" t="s">
        <v>1700</v>
      </c>
      <c r="B187" s="998">
        <v>51490</v>
      </c>
      <c r="C187" s="213">
        <v>1961652</v>
      </c>
      <c r="D187" s="213">
        <v>1745585</v>
      </c>
      <c r="E187" s="914">
        <v>267557</v>
      </c>
    </row>
    <row r="188" spans="1:5">
      <c r="A188" s="901" t="s">
        <v>2279</v>
      </c>
      <c r="B188" s="998">
        <v>50</v>
      </c>
      <c r="C188" s="908"/>
      <c r="D188" s="213">
        <v>50</v>
      </c>
      <c r="E188" s="904"/>
    </row>
    <row r="189" spans="1:5">
      <c r="A189" s="901" t="s">
        <v>2280</v>
      </c>
      <c r="B189" s="902">
        <v>3500</v>
      </c>
      <c r="C189" s="908"/>
      <c r="D189" s="908"/>
      <c r="E189" s="902">
        <v>3500</v>
      </c>
    </row>
    <row r="190" spans="1:5">
      <c r="A190" s="901" t="s">
        <v>2281</v>
      </c>
      <c r="B190" s="902">
        <v>3700</v>
      </c>
      <c r="C190" s="908"/>
      <c r="D190" s="908"/>
      <c r="E190" s="902">
        <v>3700</v>
      </c>
    </row>
    <row r="191" spans="1:5">
      <c r="A191" s="901" t="s">
        <v>617</v>
      </c>
      <c r="B191" s="998">
        <v>252828</v>
      </c>
      <c r="C191" s="908"/>
      <c r="D191" s="908"/>
      <c r="E191" s="914">
        <v>252828</v>
      </c>
    </row>
    <row r="192" spans="1:5">
      <c r="A192" s="901" t="s">
        <v>1423</v>
      </c>
      <c r="B192" s="902">
        <v>28377</v>
      </c>
      <c r="C192" s="908"/>
      <c r="D192" s="908"/>
      <c r="E192" s="902">
        <v>28377</v>
      </c>
    </row>
    <row r="193" spans="1:5">
      <c r="A193" s="909" t="s">
        <v>623</v>
      </c>
      <c r="B193" s="998">
        <v>2500</v>
      </c>
      <c r="C193" s="213">
        <v>93200</v>
      </c>
      <c r="D193" s="213">
        <v>95700</v>
      </c>
      <c r="E193" s="904"/>
    </row>
    <row r="194" spans="1:5">
      <c r="A194" s="901" t="s">
        <v>2283</v>
      </c>
      <c r="B194" s="902">
        <v>11500</v>
      </c>
      <c r="C194" s="908"/>
      <c r="D194" s="908"/>
      <c r="E194" s="902">
        <v>11500</v>
      </c>
    </row>
    <row r="195" spans="1:5">
      <c r="A195" s="901" t="s">
        <v>2285</v>
      </c>
      <c r="B195" s="998">
        <v>1850</v>
      </c>
      <c r="C195" s="908"/>
      <c r="D195" s="213">
        <v>1850</v>
      </c>
      <c r="E195" s="904"/>
    </row>
    <row r="196" spans="1:5">
      <c r="A196" s="901" t="s">
        <v>1972</v>
      </c>
      <c r="B196" s="902">
        <v>66140</v>
      </c>
      <c r="C196" s="908"/>
      <c r="D196" s="908"/>
      <c r="E196" s="902">
        <v>66140</v>
      </c>
    </row>
    <row r="197" spans="1:5">
      <c r="A197" s="901" t="s">
        <v>627</v>
      </c>
      <c r="B197" s="998">
        <v>9246</v>
      </c>
      <c r="C197" s="908"/>
      <c r="D197" s="213">
        <v>9246</v>
      </c>
      <c r="E197" s="904"/>
    </row>
    <row r="198" spans="1:5">
      <c r="A198" s="903" t="s">
        <v>1701</v>
      </c>
      <c r="B198" s="998">
        <v>14000</v>
      </c>
      <c r="C198" s="908"/>
      <c r="D198" s="213">
        <v>14000</v>
      </c>
      <c r="E198" s="904"/>
    </row>
    <row r="199" spans="1:5">
      <c r="A199" s="903" t="s">
        <v>2576</v>
      </c>
      <c r="B199" s="904"/>
      <c r="C199" s="213">
        <v>398200</v>
      </c>
      <c r="D199" s="213">
        <v>398200</v>
      </c>
      <c r="E199" s="904"/>
    </row>
    <row r="200" spans="1:5">
      <c r="A200" s="901" t="s">
        <v>1973</v>
      </c>
      <c r="B200" s="998">
        <v>988</v>
      </c>
      <c r="C200" s="908"/>
      <c r="D200" s="213">
        <v>988</v>
      </c>
      <c r="E200" s="904"/>
    </row>
    <row r="201" spans="1:5">
      <c r="A201" s="901" t="s">
        <v>2287</v>
      </c>
      <c r="B201" s="998">
        <v>163786</v>
      </c>
      <c r="C201" s="908"/>
      <c r="D201" s="213">
        <v>163786</v>
      </c>
      <c r="E201" s="904"/>
    </row>
    <row r="202" spans="1:5">
      <c r="A202" s="903" t="s">
        <v>2288</v>
      </c>
      <c r="B202" s="998">
        <v>2650000</v>
      </c>
      <c r="C202" s="213">
        <v>680748</v>
      </c>
      <c r="D202" s="213">
        <v>3284750</v>
      </c>
      <c r="E202" s="914">
        <v>45998</v>
      </c>
    </row>
    <row r="203" spans="1:5">
      <c r="A203" s="901" t="s">
        <v>632</v>
      </c>
      <c r="B203" s="998">
        <v>43406</v>
      </c>
      <c r="C203" s="213">
        <v>359345</v>
      </c>
      <c r="D203" s="213">
        <v>379295</v>
      </c>
      <c r="E203" s="914">
        <v>23456</v>
      </c>
    </row>
    <row r="204" spans="1:5">
      <c r="A204" s="901" t="s">
        <v>2577</v>
      </c>
      <c r="B204" s="904"/>
      <c r="C204" s="213">
        <v>176741</v>
      </c>
      <c r="D204" s="213">
        <v>176741</v>
      </c>
      <c r="E204" s="904"/>
    </row>
    <row r="205" spans="1:5">
      <c r="A205" s="901" t="s">
        <v>1702</v>
      </c>
      <c r="B205" s="998">
        <v>7200</v>
      </c>
      <c r="C205" s="908"/>
      <c r="D205" s="213">
        <v>7200</v>
      </c>
      <c r="E205" s="904"/>
    </row>
    <row r="206" spans="1:5">
      <c r="A206" s="901" t="s">
        <v>2290</v>
      </c>
      <c r="B206" s="902">
        <v>190</v>
      </c>
      <c r="C206" s="908"/>
      <c r="D206" s="908"/>
      <c r="E206" s="902">
        <v>190</v>
      </c>
    </row>
    <row r="207" spans="1:5">
      <c r="A207" s="909" t="s">
        <v>2578</v>
      </c>
      <c r="B207" s="904"/>
      <c r="C207" s="213">
        <v>3167358</v>
      </c>
      <c r="D207" s="213">
        <v>3308425</v>
      </c>
      <c r="E207" s="902">
        <v>141067</v>
      </c>
    </row>
    <row r="208" spans="1:5">
      <c r="A208" s="901" t="s">
        <v>1280</v>
      </c>
      <c r="B208" s="902">
        <v>1375</v>
      </c>
      <c r="C208" s="908"/>
      <c r="D208" s="908"/>
      <c r="E208" s="902">
        <v>1375</v>
      </c>
    </row>
    <row r="209" spans="1:5">
      <c r="A209" s="901" t="s">
        <v>2292</v>
      </c>
      <c r="B209" s="902">
        <v>5000</v>
      </c>
      <c r="C209" s="213">
        <v>53000</v>
      </c>
      <c r="D209" s="213">
        <v>57757</v>
      </c>
      <c r="E209" s="902">
        <v>9757</v>
      </c>
    </row>
    <row r="210" spans="1:5">
      <c r="A210" s="901" t="s">
        <v>2293</v>
      </c>
      <c r="B210" s="902">
        <v>114895</v>
      </c>
      <c r="C210" s="213">
        <v>201595</v>
      </c>
      <c r="D210" s="213">
        <v>104235</v>
      </c>
      <c r="E210" s="902">
        <v>17535</v>
      </c>
    </row>
    <row r="211" spans="1:5">
      <c r="A211" s="901" t="s">
        <v>637</v>
      </c>
      <c r="B211" s="998">
        <v>6976</v>
      </c>
      <c r="C211" s="213">
        <v>126786</v>
      </c>
      <c r="D211" s="213">
        <v>133762</v>
      </c>
      <c r="E211" s="904"/>
    </row>
    <row r="212" spans="1:5">
      <c r="A212" s="901" t="s">
        <v>1977</v>
      </c>
      <c r="B212" s="902">
        <v>96103</v>
      </c>
      <c r="C212" s="908"/>
      <c r="D212" s="908"/>
      <c r="E212" s="902">
        <v>96103</v>
      </c>
    </row>
    <row r="213" spans="1:5">
      <c r="A213" s="901" t="s">
        <v>645</v>
      </c>
      <c r="B213" s="998">
        <v>26876</v>
      </c>
      <c r="C213" s="213">
        <v>698047</v>
      </c>
      <c r="D213" s="213">
        <v>791449</v>
      </c>
      <c r="E213" s="902">
        <v>66526</v>
      </c>
    </row>
    <row r="214" spans="1:5">
      <c r="A214" s="901" t="s">
        <v>646</v>
      </c>
      <c r="B214" s="902">
        <v>7808</v>
      </c>
      <c r="C214" s="908"/>
      <c r="D214" s="908"/>
      <c r="E214" s="902">
        <v>7808</v>
      </c>
    </row>
    <row r="215" spans="1:5">
      <c r="A215" s="901" t="s">
        <v>2579</v>
      </c>
      <c r="B215" s="904"/>
      <c r="C215" s="213">
        <v>513278</v>
      </c>
      <c r="D215" s="213">
        <v>628899</v>
      </c>
      <c r="E215" s="902">
        <v>115621</v>
      </c>
    </row>
    <row r="216" spans="1:5">
      <c r="A216" s="901" t="s">
        <v>2295</v>
      </c>
      <c r="B216" s="902">
        <v>11302</v>
      </c>
      <c r="C216" s="213">
        <v>92139</v>
      </c>
      <c r="D216" s="213">
        <v>80837</v>
      </c>
      <c r="E216" s="904"/>
    </row>
    <row r="217" spans="1:5">
      <c r="A217" s="901" t="s">
        <v>2580</v>
      </c>
      <c r="B217" s="904"/>
      <c r="C217" s="213">
        <v>10000</v>
      </c>
      <c r="D217" s="908"/>
      <c r="E217" s="914">
        <v>10000</v>
      </c>
    </row>
    <row r="218" spans="1:5">
      <c r="A218" s="909" t="s">
        <v>2581</v>
      </c>
      <c r="B218" s="904"/>
      <c r="C218" s="213">
        <v>333668</v>
      </c>
      <c r="D218" s="213">
        <v>366800</v>
      </c>
      <c r="E218" s="902">
        <v>33132</v>
      </c>
    </row>
    <row r="219" spans="1:5">
      <c r="A219" s="901" t="s">
        <v>2582</v>
      </c>
      <c r="B219" s="904"/>
      <c r="C219" s="213">
        <v>38500</v>
      </c>
      <c r="D219" s="213">
        <v>38845</v>
      </c>
      <c r="E219" s="902">
        <v>345</v>
      </c>
    </row>
    <row r="220" spans="1:5">
      <c r="A220" s="901" t="s">
        <v>1703</v>
      </c>
      <c r="B220" s="998">
        <v>266710</v>
      </c>
      <c r="C220" s="213">
        <v>1863010</v>
      </c>
      <c r="D220" s="213">
        <v>2062878</v>
      </c>
      <c r="E220" s="914">
        <v>66842</v>
      </c>
    </row>
    <row r="221" spans="1:5">
      <c r="A221" s="901" t="s">
        <v>1445</v>
      </c>
      <c r="B221" s="902">
        <v>6330</v>
      </c>
      <c r="C221" s="908"/>
      <c r="D221" s="908"/>
      <c r="E221" s="902">
        <v>6330</v>
      </c>
    </row>
    <row r="222" spans="1:5">
      <c r="A222" s="909" t="s">
        <v>1705</v>
      </c>
      <c r="B222" s="902">
        <v>13426</v>
      </c>
      <c r="C222" s="908"/>
      <c r="D222" s="908"/>
      <c r="E222" s="902">
        <v>13426</v>
      </c>
    </row>
    <row r="223" spans="1:5">
      <c r="A223" s="901" t="s">
        <v>2583</v>
      </c>
      <c r="B223" s="904"/>
      <c r="C223" s="213">
        <v>77265</v>
      </c>
      <c r="D223" s="213">
        <v>77265</v>
      </c>
      <c r="E223" s="904"/>
    </row>
    <row r="224" spans="1:5">
      <c r="A224" s="901" t="s">
        <v>661</v>
      </c>
      <c r="B224" s="998">
        <v>6500</v>
      </c>
      <c r="C224" s="213">
        <v>390195</v>
      </c>
      <c r="D224" s="213">
        <v>396695</v>
      </c>
      <c r="E224" s="904"/>
    </row>
    <row r="225" spans="1:5">
      <c r="A225" s="901" t="s">
        <v>2584</v>
      </c>
      <c r="B225" s="904"/>
      <c r="C225" s="213">
        <v>27000</v>
      </c>
      <c r="D225" s="213">
        <v>27000</v>
      </c>
      <c r="E225" s="904"/>
    </row>
    <row r="226" spans="1:5">
      <c r="A226" s="901" t="s">
        <v>2585</v>
      </c>
      <c r="B226" s="904"/>
      <c r="C226" s="213">
        <v>238524</v>
      </c>
      <c r="D226" s="213">
        <v>238524</v>
      </c>
      <c r="E226" s="904"/>
    </row>
    <row r="227" spans="1:5">
      <c r="A227" s="901" t="s">
        <v>2299</v>
      </c>
      <c r="B227" s="902">
        <v>11192</v>
      </c>
      <c r="C227" s="213">
        <v>11192</v>
      </c>
      <c r="D227" s="908"/>
      <c r="E227" s="904"/>
    </row>
    <row r="228" spans="1:5">
      <c r="A228" s="901" t="s">
        <v>1706</v>
      </c>
      <c r="B228" s="998">
        <v>1410955.5</v>
      </c>
      <c r="C228" s="213">
        <v>5599967.3200000003</v>
      </c>
      <c r="D228" s="213">
        <v>6845075</v>
      </c>
      <c r="E228" s="914">
        <v>165847.82</v>
      </c>
    </row>
    <row r="229" spans="1:5">
      <c r="A229" s="901" t="s">
        <v>2586</v>
      </c>
      <c r="B229" s="904"/>
      <c r="C229" s="213">
        <v>130330</v>
      </c>
      <c r="D229" s="213">
        <v>130660</v>
      </c>
      <c r="E229" s="902">
        <v>330</v>
      </c>
    </row>
    <row r="230" spans="1:5">
      <c r="A230" s="909" t="s">
        <v>1982</v>
      </c>
      <c r="B230" s="998">
        <v>24550</v>
      </c>
      <c r="C230" s="213">
        <v>39000</v>
      </c>
      <c r="D230" s="213">
        <v>63550</v>
      </c>
      <c r="E230" s="904"/>
    </row>
    <row r="231" spans="1:5">
      <c r="A231" s="901" t="s">
        <v>2587</v>
      </c>
      <c r="B231" s="998">
        <v>32988</v>
      </c>
      <c r="C231" s="213">
        <v>755042</v>
      </c>
      <c r="D231" s="213">
        <v>865079</v>
      </c>
      <c r="E231" s="902">
        <v>77049</v>
      </c>
    </row>
    <row r="232" spans="1:5">
      <c r="A232" s="901" t="s">
        <v>2588</v>
      </c>
      <c r="B232" s="904"/>
      <c r="C232" s="213">
        <v>13695</v>
      </c>
      <c r="D232" s="908"/>
      <c r="E232" s="914">
        <v>13695</v>
      </c>
    </row>
    <row r="233" spans="1:5">
      <c r="A233" s="901" t="s">
        <v>668</v>
      </c>
      <c r="B233" s="904"/>
      <c r="C233" s="213">
        <v>284305</v>
      </c>
      <c r="D233" s="213">
        <v>292691</v>
      </c>
      <c r="E233" s="902">
        <v>8386</v>
      </c>
    </row>
    <row r="234" spans="1:5">
      <c r="A234" s="901" t="s">
        <v>1672</v>
      </c>
      <c r="B234" s="904"/>
      <c r="C234" s="213">
        <v>20000</v>
      </c>
      <c r="D234" s="213">
        <v>22000</v>
      </c>
      <c r="E234" s="902">
        <v>2000</v>
      </c>
    </row>
    <row r="235" spans="1:5">
      <c r="A235" s="901" t="s">
        <v>2589</v>
      </c>
      <c r="B235" s="904"/>
      <c r="C235" s="213">
        <v>65665</v>
      </c>
      <c r="D235" s="213">
        <v>65665</v>
      </c>
      <c r="E235" s="904"/>
    </row>
    <row r="236" spans="1:5">
      <c r="A236" s="901" t="s">
        <v>669</v>
      </c>
      <c r="B236" s="998">
        <v>52556</v>
      </c>
      <c r="C236" s="213">
        <v>1288426</v>
      </c>
      <c r="D236" s="213">
        <v>1369469</v>
      </c>
      <c r="E236" s="902">
        <v>28487</v>
      </c>
    </row>
    <row r="237" spans="1:5">
      <c r="A237" s="901" t="s">
        <v>2301</v>
      </c>
      <c r="B237" s="902">
        <v>11207</v>
      </c>
      <c r="C237" s="213">
        <v>396207</v>
      </c>
      <c r="D237" s="213">
        <v>385000</v>
      </c>
      <c r="E237" s="904"/>
    </row>
    <row r="238" spans="1:5">
      <c r="A238" s="901" t="s">
        <v>1279</v>
      </c>
      <c r="B238" s="998">
        <v>264568</v>
      </c>
      <c r="C238" s="908"/>
      <c r="D238" s="213">
        <v>264568</v>
      </c>
      <c r="E238" s="904"/>
    </row>
    <row r="239" spans="1:5">
      <c r="A239" s="901" t="s">
        <v>2303</v>
      </c>
      <c r="B239" s="998">
        <v>45530</v>
      </c>
      <c r="C239" s="213">
        <v>1386002</v>
      </c>
      <c r="D239" s="213">
        <v>1458335</v>
      </c>
      <c r="E239" s="902">
        <v>26803</v>
      </c>
    </row>
    <row r="240" spans="1:5">
      <c r="A240" s="901" t="s">
        <v>671</v>
      </c>
      <c r="B240" s="998">
        <v>10000</v>
      </c>
      <c r="C240" s="908"/>
      <c r="D240" s="213">
        <v>10000</v>
      </c>
      <c r="E240" s="904"/>
    </row>
    <row r="241" spans="1:5">
      <c r="A241" s="901" t="s">
        <v>1986</v>
      </c>
      <c r="B241" s="902">
        <v>19697</v>
      </c>
      <c r="C241" s="213">
        <v>86525</v>
      </c>
      <c r="D241" s="213">
        <v>66828</v>
      </c>
      <c r="E241" s="904"/>
    </row>
    <row r="242" spans="1:5">
      <c r="A242" s="901" t="s">
        <v>1025</v>
      </c>
      <c r="B242" s="998">
        <v>44685</v>
      </c>
      <c r="C242" s="213">
        <v>1016779</v>
      </c>
      <c r="D242" s="213">
        <v>996303</v>
      </c>
      <c r="E242" s="914">
        <v>65161</v>
      </c>
    </row>
    <row r="243" spans="1:5">
      <c r="A243" s="903" t="s">
        <v>1987</v>
      </c>
      <c r="B243" s="998">
        <v>68870</v>
      </c>
      <c r="C243" s="908"/>
      <c r="D243" s="213">
        <v>68870</v>
      </c>
      <c r="E243" s="904"/>
    </row>
    <row r="244" spans="1:5">
      <c r="A244" s="901" t="s">
        <v>2305</v>
      </c>
      <c r="B244" s="904"/>
      <c r="C244" s="213">
        <v>19390</v>
      </c>
      <c r="D244" s="213">
        <v>19390</v>
      </c>
      <c r="E244" s="904"/>
    </row>
    <row r="245" spans="1:5">
      <c r="A245" s="901" t="s">
        <v>1712</v>
      </c>
      <c r="B245" s="998">
        <v>62390</v>
      </c>
      <c r="C245" s="213">
        <v>3355003.9</v>
      </c>
      <c r="D245" s="213">
        <v>3517145</v>
      </c>
      <c r="E245" s="902">
        <v>99751.1</v>
      </c>
    </row>
    <row r="246" spans="1:5">
      <c r="A246" s="901" t="s">
        <v>2309</v>
      </c>
      <c r="B246" s="902">
        <v>150</v>
      </c>
      <c r="C246" s="908"/>
      <c r="D246" s="908"/>
      <c r="E246" s="902">
        <v>150</v>
      </c>
    </row>
    <row r="247" spans="1:5">
      <c r="A247" s="909" t="s">
        <v>685</v>
      </c>
      <c r="B247" s="998">
        <v>290000</v>
      </c>
      <c r="C247" s="908"/>
      <c r="D247" s="908"/>
      <c r="E247" s="914">
        <v>290000</v>
      </c>
    </row>
    <row r="248" spans="1:5">
      <c r="A248" s="901" t="s">
        <v>2310</v>
      </c>
      <c r="B248" s="998">
        <v>400000</v>
      </c>
      <c r="C248" s="213">
        <v>151500</v>
      </c>
      <c r="D248" s="213">
        <v>551500</v>
      </c>
      <c r="E248" s="904"/>
    </row>
    <row r="249" spans="1:5">
      <c r="A249" s="901" t="s">
        <v>2311</v>
      </c>
      <c r="B249" s="902">
        <v>330441</v>
      </c>
      <c r="C249" s="213">
        <v>4023637</v>
      </c>
      <c r="D249" s="213">
        <v>3702456</v>
      </c>
      <c r="E249" s="902">
        <v>9260</v>
      </c>
    </row>
    <row r="250" spans="1:5">
      <c r="A250" s="901" t="s">
        <v>2590</v>
      </c>
      <c r="B250" s="904"/>
      <c r="C250" s="213">
        <v>76155</v>
      </c>
      <c r="D250" s="213">
        <v>115475</v>
      </c>
      <c r="E250" s="902">
        <v>39320</v>
      </c>
    </row>
    <row r="251" spans="1:5">
      <c r="A251" s="901" t="s">
        <v>2591</v>
      </c>
      <c r="B251" s="904"/>
      <c r="C251" s="213">
        <v>278000</v>
      </c>
      <c r="D251" s="213">
        <v>278000</v>
      </c>
      <c r="E251" s="904"/>
    </row>
    <row r="252" spans="1:5">
      <c r="A252" s="901" t="s">
        <v>2312</v>
      </c>
      <c r="B252" s="902">
        <v>215</v>
      </c>
      <c r="C252" s="213">
        <v>28507</v>
      </c>
      <c r="D252" s="908"/>
      <c r="E252" s="914">
        <v>28292</v>
      </c>
    </row>
    <row r="253" spans="1:5">
      <c r="A253" s="901" t="s">
        <v>2313</v>
      </c>
      <c r="B253" s="998">
        <v>33000</v>
      </c>
      <c r="C253" s="213">
        <v>524250</v>
      </c>
      <c r="D253" s="213">
        <v>569590</v>
      </c>
      <c r="E253" s="902">
        <v>12340</v>
      </c>
    </row>
    <row r="254" spans="1:5">
      <c r="A254" s="901" t="s">
        <v>1031</v>
      </c>
      <c r="B254" s="998">
        <v>1236753</v>
      </c>
      <c r="C254" s="213">
        <v>5191265</v>
      </c>
      <c r="D254" s="213">
        <v>6364765</v>
      </c>
      <c r="E254" s="914">
        <v>63253</v>
      </c>
    </row>
    <row r="255" spans="1:5">
      <c r="A255" s="909" t="s">
        <v>1991</v>
      </c>
      <c r="B255" s="902">
        <v>23582</v>
      </c>
      <c r="C255" s="908"/>
      <c r="D255" s="908"/>
      <c r="E255" s="902">
        <v>23582</v>
      </c>
    </row>
    <row r="256" spans="1:5">
      <c r="A256" s="901" t="s">
        <v>2592</v>
      </c>
      <c r="B256" s="904"/>
      <c r="C256" s="213">
        <v>126558</v>
      </c>
      <c r="D256" s="213">
        <v>155760</v>
      </c>
      <c r="E256" s="902">
        <v>29202</v>
      </c>
    </row>
    <row r="257" spans="1:5">
      <c r="A257" s="901" t="s">
        <v>2593</v>
      </c>
      <c r="B257" s="904"/>
      <c r="C257" s="213">
        <v>75000</v>
      </c>
      <c r="D257" s="908"/>
      <c r="E257" s="914">
        <v>75000</v>
      </c>
    </row>
    <row r="258" spans="1:5">
      <c r="A258" s="901" t="s">
        <v>2315</v>
      </c>
      <c r="B258" s="998">
        <v>20000</v>
      </c>
      <c r="C258" s="908"/>
      <c r="D258" s="213">
        <v>20000</v>
      </c>
      <c r="E258" s="904"/>
    </row>
    <row r="259" spans="1:5">
      <c r="A259" s="901" t="s">
        <v>2316</v>
      </c>
      <c r="B259" s="998">
        <v>2800</v>
      </c>
      <c r="C259" s="908"/>
      <c r="D259" s="213">
        <v>2800</v>
      </c>
      <c r="E259" s="904"/>
    </row>
    <row r="260" spans="1:5">
      <c r="A260" s="901" t="s">
        <v>1032</v>
      </c>
      <c r="B260" s="902">
        <v>316617.93</v>
      </c>
      <c r="C260" s="908"/>
      <c r="D260" s="908"/>
      <c r="E260" s="902">
        <v>316617.93</v>
      </c>
    </row>
    <row r="261" spans="1:5">
      <c r="A261" s="909" t="s">
        <v>1994</v>
      </c>
      <c r="B261" s="998">
        <v>19426</v>
      </c>
      <c r="C261" s="908"/>
      <c r="D261" s="213">
        <v>19426</v>
      </c>
      <c r="E261" s="904"/>
    </row>
    <row r="262" spans="1:5">
      <c r="A262" s="933" t="s">
        <v>1274</v>
      </c>
      <c r="B262" s="999">
        <v>1810874.6</v>
      </c>
      <c r="C262" s="917">
        <v>28867463.16</v>
      </c>
      <c r="D262" s="917">
        <v>36619431</v>
      </c>
      <c r="E262" s="937">
        <v>5941093.2400000002</v>
      </c>
    </row>
    <row r="263" spans="1:5">
      <c r="A263" s="903" t="s">
        <v>2594</v>
      </c>
      <c r="B263" s="904"/>
      <c r="C263" s="213">
        <v>8100</v>
      </c>
      <c r="D263" s="908"/>
      <c r="E263" s="914">
        <v>8100</v>
      </c>
    </row>
    <row r="264" spans="1:5">
      <c r="A264" s="901" t="s">
        <v>2595</v>
      </c>
      <c r="B264" s="904"/>
      <c r="C264" s="908"/>
      <c r="D264" s="213">
        <v>118914</v>
      </c>
      <c r="E264" s="902">
        <v>118914</v>
      </c>
    </row>
    <row r="265" spans="1:5">
      <c r="A265" s="901" t="s">
        <v>1039</v>
      </c>
      <c r="B265" s="904"/>
      <c r="C265" s="213">
        <v>3150000</v>
      </c>
      <c r="D265" s="213">
        <v>3324995</v>
      </c>
      <c r="E265" s="902">
        <v>174995</v>
      </c>
    </row>
    <row r="266" spans="1:5">
      <c r="A266" s="901" t="s">
        <v>1997</v>
      </c>
      <c r="B266" s="998">
        <v>3500</v>
      </c>
      <c r="C266" s="908"/>
      <c r="D266" s="213">
        <v>3500</v>
      </c>
      <c r="E266" s="904"/>
    </row>
    <row r="267" spans="1:5">
      <c r="A267" s="901" t="s">
        <v>2596</v>
      </c>
      <c r="B267" s="904"/>
      <c r="C267" s="213">
        <v>336890</v>
      </c>
      <c r="D267" s="213">
        <v>336890</v>
      </c>
      <c r="E267" s="904"/>
    </row>
    <row r="268" spans="1:5">
      <c r="A268" s="901" t="s">
        <v>2597</v>
      </c>
      <c r="B268" s="904"/>
      <c r="C268" s="213">
        <v>1058950</v>
      </c>
      <c r="D268" s="213">
        <v>3473719</v>
      </c>
      <c r="E268" s="902">
        <v>2414769</v>
      </c>
    </row>
    <row r="269" spans="1:5">
      <c r="A269" s="936" t="s">
        <v>1716</v>
      </c>
      <c r="B269" s="998">
        <v>45026</v>
      </c>
      <c r="C269" s="213">
        <v>734750</v>
      </c>
      <c r="D269" s="213">
        <v>734764</v>
      </c>
      <c r="E269" s="914">
        <v>45012</v>
      </c>
    </row>
    <row r="270" spans="1:5">
      <c r="A270" s="901" t="s">
        <v>2321</v>
      </c>
      <c r="B270" s="902">
        <v>51675</v>
      </c>
      <c r="C270" s="908"/>
      <c r="D270" s="908"/>
      <c r="E270" s="902">
        <v>51675</v>
      </c>
    </row>
    <row r="271" spans="1:5">
      <c r="A271" s="901" t="s">
        <v>2598</v>
      </c>
      <c r="B271" s="904"/>
      <c r="C271" s="213">
        <v>261755</v>
      </c>
      <c r="D271" s="213">
        <v>242641</v>
      </c>
      <c r="E271" s="914">
        <v>19114</v>
      </c>
    </row>
    <row r="272" spans="1:5">
      <c r="A272" s="901" t="s">
        <v>2322</v>
      </c>
      <c r="B272" s="902">
        <v>64016</v>
      </c>
      <c r="C272" s="213">
        <v>64016</v>
      </c>
      <c r="D272" s="908"/>
      <c r="E272" s="904"/>
    </row>
    <row r="273" spans="1:5">
      <c r="A273" s="901" t="s">
        <v>707</v>
      </c>
      <c r="B273" s="902">
        <v>507450.2</v>
      </c>
      <c r="C273" s="213">
        <v>6134711.1600000001</v>
      </c>
      <c r="D273" s="213">
        <v>6077520</v>
      </c>
      <c r="E273" s="902">
        <v>450259.04</v>
      </c>
    </row>
    <row r="274" spans="1:5">
      <c r="A274" s="901" t="s">
        <v>1717</v>
      </c>
      <c r="B274" s="902">
        <v>47851.199999999997</v>
      </c>
      <c r="C274" s="213">
        <v>247660</v>
      </c>
      <c r="D274" s="213">
        <v>247660</v>
      </c>
      <c r="E274" s="902">
        <v>47851.199999999997</v>
      </c>
    </row>
    <row r="275" spans="1:5">
      <c r="A275" s="903" t="s">
        <v>2599</v>
      </c>
      <c r="B275" s="904"/>
      <c r="C275" s="213">
        <v>139000</v>
      </c>
      <c r="D275" s="213">
        <v>139000</v>
      </c>
      <c r="E275" s="904"/>
    </row>
    <row r="276" spans="1:5">
      <c r="A276" s="903" t="s">
        <v>2324</v>
      </c>
      <c r="B276" s="998">
        <v>6863</v>
      </c>
      <c r="C276" s="908"/>
      <c r="D276" s="213">
        <v>6863</v>
      </c>
      <c r="E276" s="904"/>
    </row>
    <row r="277" spans="1:5">
      <c r="A277" s="901" t="s">
        <v>2325</v>
      </c>
      <c r="B277" s="998">
        <v>2024127</v>
      </c>
      <c r="C277" s="213">
        <v>10014497</v>
      </c>
      <c r="D277" s="213">
        <v>14279356</v>
      </c>
      <c r="E277" s="902">
        <v>2240732</v>
      </c>
    </row>
    <row r="278" spans="1:5">
      <c r="A278" s="901" t="s">
        <v>2600</v>
      </c>
      <c r="B278" s="904"/>
      <c r="C278" s="213">
        <v>28327</v>
      </c>
      <c r="D278" s="213">
        <v>28327</v>
      </c>
      <c r="E278" s="904"/>
    </row>
    <row r="279" spans="1:5">
      <c r="A279" s="901" t="s">
        <v>2601</v>
      </c>
      <c r="B279" s="904"/>
      <c r="C279" s="213">
        <v>1550000</v>
      </c>
      <c r="D279" s="213">
        <v>1891508</v>
      </c>
      <c r="E279" s="902">
        <v>341508</v>
      </c>
    </row>
    <row r="280" spans="1:5">
      <c r="A280" s="903" t="s">
        <v>2328</v>
      </c>
      <c r="B280" s="998">
        <v>990000</v>
      </c>
      <c r="C280" s="213">
        <v>1280202</v>
      </c>
      <c r="D280" s="213">
        <v>2270202</v>
      </c>
      <c r="E280" s="904"/>
    </row>
    <row r="281" spans="1:5">
      <c r="A281" s="901" t="s">
        <v>2329</v>
      </c>
      <c r="B281" s="998">
        <v>50858</v>
      </c>
      <c r="C281" s="908"/>
      <c r="D281" s="213">
        <v>50858</v>
      </c>
      <c r="E281" s="904"/>
    </row>
    <row r="282" spans="1:5">
      <c r="A282" s="901" t="s">
        <v>2331</v>
      </c>
      <c r="B282" s="902">
        <v>36919</v>
      </c>
      <c r="C282" s="213">
        <v>37500</v>
      </c>
      <c r="D282" s="213">
        <v>40871</v>
      </c>
      <c r="E282" s="902">
        <v>40290</v>
      </c>
    </row>
    <row r="283" spans="1:5">
      <c r="A283" s="901" t="s">
        <v>2333</v>
      </c>
      <c r="B283" s="902">
        <v>506466</v>
      </c>
      <c r="C283" s="213">
        <v>1492307</v>
      </c>
      <c r="D283" s="213">
        <v>985841</v>
      </c>
      <c r="E283" s="904"/>
    </row>
    <row r="284" spans="1:5">
      <c r="A284" s="901" t="s">
        <v>2334</v>
      </c>
      <c r="B284" s="902">
        <v>94190</v>
      </c>
      <c r="C284" s="213">
        <v>81531</v>
      </c>
      <c r="D284" s="908"/>
      <c r="E284" s="902">
        <v>12659</v>
      </c>
    </row>
    <row r="285" spans="1:5">
      <c r="A285" s="901" t="s">
        <v>2602</v>
      </c>
      <c r="B285" s="904"/>
      <c r="C285" s="213">
        <v>315000</v>
      </c>
      <c r="D285" s="213">
        <v>315000</v>
      </c>
      <c r="E285" s="904"/>
    </row>
    <row r="286" spans="1:5">
      <c r="A286" s="909" t="s">
        <v>2603</v>
      </c>
      <c r="B286" s="904"/>
      <c r="C286" s="213">
        <v>173140</v>
      </c>
      <c r="D286" s="213">
        <v>173140</v>
      </c>
      <c r="E286" s="904"/>
    </row>
    <row r="287" spans="1:5">
      <c r="A287" s="903" t="s">
        <v>2604</v>
      </c>
      <c r="B287" s="904"/>
      <c r="C287" s="213">
        <v>997623</v>
      </c>
      <c r="D287" s="213">
        <v>1444165</v>
      </c>
      <c r="E287" s="902">
        <v>446542</v>
      </c>
    </row>
    <row r="288" spans="1:5">
      <c r="A288" s="901" t="s">
        <v>2338</v>
      </c>
      <c r="B288" s="998">
        <v>3000</v>
      </c>
      <c r="C288" s="908"/>
      <c r="D288" s="213">
        <v>3000</v>
      </c>
      <c r="E288" s="904"/>
    </row>
    <row r="289" spans="1:6">
      <c r="A289" s="909" t="s">
        <v>2339</v>
      </c>
      <c r="B289" s="902">
        <v>3932</v>
      </c>
      <c r="C289" s="213">
        <v>79079</v>
      </c>
      <c r="D289" s="213">
        <v>75147</v>
      </c>
      <c r="E289" s="904"/>
    </row>
    <row r="290" spans="1:6">
      <c r="A290" s="901" t="s">
        <v>2605</v>
      </c>
      <c r="B290" s="904"/>
      <c r="C290" s="213">
        <v>355550</v>
      </c>
      <c r="D290" s="213">
        <v>355550</v>
      </c>
      <c r="E290" s="904"/>
    </row>
    <row r="291" spans="1:6">
      <c r="A291" s="909" t="s">
        <v>2606</v>
      </c>
      <c r="B291" s="904"/>
      <c r="C291" s="213">
        <v>326875</v>
      </c>
      <c r="D291" s="908"/>
      <c r="E291" s="914">
        <v>326875</v>
      </c>
    </row>
    <row r="292" spans="1:6">
      <c r="A292" s="911" t="s">
        <v>1177</v>
      </c>
      <c r="B292" s="904"/>
      <c r="C292" s="213">
        <v>7147460</v>
      </c>
      <c r="D292" s="213">
        <v>7147460</v>
      </c>
      <c r="E292" s="904"/>
    </row>
    <row r="293" spans="1:6" s="958" customFormat="1">
      <c r="A293" s="955" t="s">
        <v>1062</v>
      </c>
      <c r="B293" s="956">
        <v>78862</v>
      </c>
      <c r="C293" s="957"/>
      <c r="D293" s="957"/>
      <c r="E293" s="956">
        <v>78862</v>
      </c>
      <c r="F293" s="958">
        <v>5</v>
      </c>
    </row>
    <row r="294" spans="1:6">
      <c r="A294" s="950" t="s">
        <v>2015</v>
      </c>
      <c r="B294" s="954">
        <v>11161938</v>
      </c>
      <c r="C294" s="952">
        <v>12842507</v>
      </c>
      <c r="D294" s="952">
        <v>1680569</v>
      </c>
      <c r="E294" s="983"/>
      <c r="F294" s="714">
        <v>9</v>
      </c>
    </row>
    <row r="295" spans="1:6" s="958" customFormat="1">
      <c r="A295" s="955" t="s">
        <v>91</v>
      </c>
      <c r="B295" s="956">
        <v>294347</v>
      </c>
      <c r="C295" s="957"/>
      <c r="D295" s="957"/>
      <c r="E295" s="956">
        <v>294347</v>
      </c>
      <c r="F295" s="958">
        <v>5</v>
      </c>
    </row>
    <row r="296" spans="1:6" s="958" customFormat="1">
      <c r="A296" s="955" t="s">
        <v>1063</v>
      </c>
      <c r="B296" s="956">
        <v>32203.14</v>
      </c>
      <c r="C296" s="957"/>
      <c r="D296" s="957"/>
      <c r="E296" s="956">
        <v>32203.14</v>
      </c>
      <c r="F296" s="958">
        <v>5</v>
      </c>
    </row>
    <row r="297" spans="1:6">
      <c r="A297" s="915" t="s">
        <v>39</v>
      </c>
      <c r="B297" s="916">
        <v>50511262.259999998</v>
      </c>
      <c r="C297" s="917">
        <v>4110866</v>
      </c>
      <c r="D297" s="917">
        <v>313644</v>
      </c>
      <c r="E297" s="916">
        <v>54308484.259999998</v>
      </c>
    </row>
    <row r="298" spans="1:6">
      <c r="A298" s="911" t="s">
        <v>92</v>
      </c>
      <c r="B298" s="914">
        <v>868251</v>
      </c>
      <c r="C298" s="908"/>
      <c r="D298" s="908"/>
      <c r="E298" s="914">
        <v>868251</v>
      </c>
    </row>
    <row r="299" spans="1:6">
      <c r="A299" s="911" t="s">
        <v>93</v>
      </c>
      <c r="B299" s="914">
        <v>627039.80000000005</v>
      </c>
      <c r="C299" s="213">
        <v>255089</v>
      </c>
      <c r="D299" s="908"/>
      <c r="E299" s="914">
        <v>882128.8</v>
      </c>
    </row>
    <row r="300" spans="1:6">
      <c r="A300" s="911" t="s">
        <v>94</v>
      </c>
      <c r="B300" s="914">
        <v>34086.35</v>
      </c>
      <c r="C300" s="908"/>
      <c r="D300" s="908"/>
      <c r="E300" s="914">
        <v>34086.35</v>
      </c>
    </row>
    <row r="301" spans="1:6">
      <c r="A301" s="911" t="s">
        <v>1267</v>
      </c>
      <c r="B301" s="914">
        <v>44957761.630000003</v>
      </c>
      <c r="C301" s="213">
        <v>3855777</v>
      </c>
      <c r="D301" s="213">
        <v>313644</v>
      </c>
      <c r="E301" s="914">
        <v>48499894.630000003</v>
      </c>
    </row>
    <row r="302" spans="1:6">
      <c r="A302" s="911" t="s">
        <v>1266</v>
      </c>
      <c r="B302" s="914">
        <v>4024123.48</v>
      </c>
      <c r="C302" s="908"/>
      <c r="D302" s="908"/>
      <c r="E302" s="914">
        <v>4024123.48</v>
      </c>
    </row>
    <row r="303" spans="1:6">
      <c r="A303" s="915" t="s">
        <v>96</v>
      </c>
      <c r="B303" s="916">
        <v>85488694.280000001</v>
      </c>
      <c r="C303" s="917">
        <v>860576753.42999995</v>
      </c>
      <c r="D303" s="917">
        <v>850683808.49000001</v>
      </c>
      <c r="E303" s="916">
        <v>95381639.219999999</v>
      </c>
    </row>
    <row r="304" spans="1:6" s="515" customFormat="1">
      <c r="A304" s="989" t="s">
        <v>1265</v>
      </c>
      <c r="B304" s="1010"/>
      <c r="C304" s="1010"/>
      <c r="D304" s="1010"/>
      <c r="E304" s="1010"/>
    </row>
    <row r="305" spans="1:7" s="515" customFormat="1">
      <c r="A305" s="981" t="s">
        <v>1719</v>
      </c>
      <c r="B305" s="953"/>
      <c r="C305" s="983"/>
      <c r="D305" s="983"/>
      <c r="E305" s="953"/>
    </row>
    <row r="306" spans="1:7">
      <c r="A306" s="923" t="s">
        <v>97</v>
      </c>
      <c r="B306" s="939">
        <v>22168775</v>
      </c>
      <c r="C306" s="940"/>
      <c r="D306" s="940"/>
      <c r="E306" s="939">
        <v>22168775</v>
      </c>
    </row>
    <row r="307" spans="1:7">
      <c r="A307" s="909" t="s">
        <v>2016</v>
      </c>
      <c r="B307" s="924">
        <v>1718775</v>
      </c>
      <c r="C307" s="904"/>
      <c r="D307" s="904"/>
      <c r="E307" s="924">
        <v>1718775</v>
      </c>
    </row>
    <row r="308" spans="1:7" s="515" customFormat="1">
      <c r="A308" s="950" t="s">
        <v>730</v>
      </c>
      <c r="B308" s="274">
        <v>20450000</v>
      </c>
      <c r="C308" s="983"/>
      <c r="D308" s="983"/>
      <c r="E308" s="274">
        <v>20450000</v>
      </c>
      <c r="F308" s="515">
        <v>16</v>
      </c>
      <c r="G308" s="515" t="s">
        <v>1654</v>
      </c>
    </row>
    <row r="309" spans="1:7">
      <c r="A309" s="919" t="s">
        <v>98</v>
      </c>
      <c r="B309" s="939">
        <v>44232310.450000003</v>
      </c>
      <c r="C309" s="941">
        <v>302416818.29000002</v>
      </c>
      <c r="D309" s="941">
        <v>287768668.12</v>
      </c>
      <c r="E309" s="939">
        <v>58880460.619999997</v>
      </c>
    </row>
    <row r="310" spans="1:7">
      <c r="A310" s="936" t="s">
        <v>2017</v>
      </c>
      <c r="B310" s="924">
        <v>1309800</v>
      </c>
      <c r="C310" s="904"/>
      <c r="D310" s="904"/>
      <c r="E310" s="924">
        <v>1309800</v>
      </c>
    </row>
    <row r="311" spans="1:7">
      <c r="A311" s="936" t="s">
        <v>732</v>
      </c>
      <c r="B311" s="924">
        <v>155431</v>
      </c>
      <c r="C311" s="904"/>
      <c r="D311" s="904"/>
      <c r="E311" s="924">
        <v>155431</v>
      </c>
    </row>
    <row r="312" spans="1:7">
      <c r="A312" s="936" t="s">
        <v>733</v>
      </c>
      <c r="B312" s="924">
        <v>236250</v>
      </c>
      <c r="C312" s="904"/>
      <c r="D312" s="904"/>
      <c r="E312" s="924">
        <v>236250</v>
      </c>
    </row>
    <row r="313" spans="1:7">
      <c r="A313" s="936" t="s">
        <v>734</v>
      </c>
      <c r="B313" s="924">
        <v>545590</v>
      </c>
      <c r="C313" s="904"/>
      <c r="D313" s="904"/>
      <c r="E313" s="924">
        <v>545590</v>
      </c>
    </row>
    <row r="314" spans="1:7">
      <c r="A314" s="909" t="s">
        <v>1263</v>
      </c>
      <c r="B314" s="924">
        <v>1020296</v>
      </c>
      <c r="C314" s="904"/>
      <c r="D314" s="904"/>
      <c r="E314" s="924">
        <v>1020296</v>
      </c>
    </row>
    <row r="315" spans="1:7">
      <c r="A315" s="909" t="s">
        <v>736</v>
      </c>
      <c r="B315" s="924">
        <v>1765600</v>
      </c>
      <c r="C315" s="904"/>
      <c r="D315" s="904"/>
      <c r="E315" s="924">
        <v>1765600</v>
      </c>
    </row>
    <row r="316" spans="1:7">
      <c r="A316" s="909" t="s">
        <v>737</v>
      </c>
      <c r="B316" s="924">
        <v>626800</v>
      </c>
      <c r="C316" s="904"/>
      <c r="D316" s="904"/>
      <c r="E316" s="924">
        <v>626800</v>
      </c>
    </row>
    <row r="317" spans="1:7">
      <c r="A317" s="936" t="s">
        <v>2019</v>
      </c>
      <c r="B317" s="924">
        <v>2756079.28</v>
      </c>
      <c r="C317" s="904"/>
      <c r="D317" s="214">
        <v>1500000</v>
      </c>
      <c r="E317" s="924">
        <v>1256079.28</v>
      </c>
    </row>
    <row r="318" spans="1:7">
      <c r="A318" s="936" t="s">
        <v>2020</v>
      </c>
      <c r="B318" s="924">
        <v>15442.74</v>
      </c>
      <c r="C318" s="904"/>
      <c r="D318" s="904"/>
      <c r="E318" s="924">
        <v>15442.74</v>
      </c>
    </row>
    <row r="319" spans="1:7">
      <c r="A319" s="909" t="s">
        <v>2021</v>
      </c>
      <c r="B319" s="924">
        <v>746352</v>
      </c>
      <c r="C319" s="904"/>
      <c r="D319" s="214">
        <v>746352</v>
      </c>
      <c r="E319" s="908"/>
    </row>
    <row r="320" spans="1:7">
      <c r="A320" s="909" t="s">
        <v>2022</v>
      </c>
      <c r="B320" s="924">
        <v>90615.34</v>
      </c>
      <c r="C320" s="904"/>
      <c r="D320" s="904"/>
      <c r="E320" s="924">
        <v>90615.34</v>
      </c>
    </row>
    <row r="321" spans="1:5">
      <c r="A321" s="936" t="s">
        <v>1335</v>
      </c>
      <c r="B321" s="924">
        <v>1132133.6599999999</v>
      </c>
      <c r="C321" s="904"/>
      <c r="D321" s="904"/>
      <c r="E321" s="924">
        <v>1132133.6599999999</v>
      </c>
    </row>
    <row r="322" spans="1:5">
      <c r="A322" s="909" t="s">
        <v>2342</v>
      </c>
      <c r="B322" s="924">
        <v>52490.6</v>
      </c>
      <c r="C322" s="904"/>
      <c r="D322" s="214">
        <v>52490.6</v>
      </c>
      <c r="E322" s="908"/>
    </row>
    <row r="323" spans="1:5">
      <c r="A323" s="909" t="s">
        <v>1064</v>
      </c>
      <c r="B323" s="924">
        <v>219102</v>
      </c>
      <c r="C323" s="904"/>
      <c r="D323" s="904"/>
      <c r="E323" s="924">
        <v>219102</v>
      </c>
    </row>
    <row r="324" spans="1:5">
      <c r="A324" s="909" t="s">
        <v>2343</v>
      </c>
      <c r="B324" s="924">
        <v>2525542</v>
      </c>
      <c r="C324" s="904"/>
      <c r="D324" s="214">
        <v>41164</v>
      </c>
      <c r="E324" s="924">
        <v>2484378</v>
      </c>
    </row>
    <row r="325" spans="1:5">
      <c r="A325" s="909" t="s">
        <v>1721</v>
      </c>
      <c r="B325" s="980">
        <v>237.34</v>
      </c>
      <c r="C325" s="214">
        <v>3400626.66</v>
      </c>
      <c r="D325" s="214">
        <v>2865157</v>
      </c>
      <c r="E325" s="924">
        <v>535232.31999999995</v>
      </c>
    </row>
    <row r="326" spans="1:5">
      <c r="A326" s="936" t="s">
        <v>2607</v>
      </c>
      <c r="B326" s="908"/>
      <c r="C326" s="214">
        <v>45232883.359999999</v>
      </c>
      <c r="D326" s="214">
        <v>45232883.359999999</v>
      </c>
      <c r="E326" s="908"/>
    </row>
    <row r="327" spans="1:5">
      <c r="A327" s="909" t="s">
        <v>2608</v>
      </c>
      <c r="B327" s="908"/>
      <c r="C327" s="214">
        <v>5048276</v>
      </c>
      <c r="D327" s="214">
        <v>1906206</v>
      </c>
      <c r="E327" s="924">
        <v>3142070</v>
      </c>
    </row>
    <row r="328" spans="1:5">
      <c r="A328" s="909" t="s">
        <v>2344</v>
      </c>
      <c r="B328" s="980">
        <v>3774</v>
      </c>
      <c r="C328" s="214">
        <v>4017203</v>
      </c>
      <c r="D328" s="214">
        <v>3899718</v>
      </c>
      <c r="E328" s="924">
        <v>113711</v>
      </c>
    </row>
    <row r="329" spans="1:5">
      <c r="A329" s="909" t="s">
        <v>2024</v>
      </c>
      <c r="B329" s="924">
        <v>4496413.9800000004</v>
      </c>
      <c r="C329" s="214">
        <v>790382.88</v>
      </c>
      <c r="D329" s="214">
        <v>55327</v>
      </c>
      <c r="E329" s="924">
        <v>5231469.8600000003</v>
      </c>
    </row>
    <row r="330" spans="1:5">
      <c r="A330" s="909" t="s">
        <v>2609</v>
      </c>
      <c r="B330" s="908"/>
      <c r="C330" s="214">
        <v>8228077.1600000001</v>
      </c>
      <c r="D330" s="214">
        <v>2028619</v>
      </c>
      <c r="E330" s="924">
        <v>6199458.1600000001</v>
      </c>
    </row>
    <row r="331" spans="1:5">
      <c r="A331" s="909" t="s">
        <v>2345</v>
      </c>
      <c r="B331" s="924">
        <v>110255.6</v>
      </c>
      <c r="C331" s="904"/>
      <c r="D331" s="214">
        <v>110255.6</v>
      </c>
      <c r="E331" s="908"/>
    </row>
    <row r="332" spans="1:5">
      <c r="A332" s="909" t="s">
        <v>750</v>
      </c>
      <c r="B332" s="924">
        <v>1262140</v>
      </c>
      <c r="C332" s="904"/>
      <c r="D332" s="904"/>
      <c r="E332" s="924">
        <v>1262140</v>
      </c>
    </row>
    <row r="333" spans="1:5">
      <c r="A333" s="909" t="s">
        <v>2610</v>
      </c>
      <c r="B333" s="908"/>
      <c r="C333" s="214">
        <v>10819779.48</v>
      </c>
      <c r="D333" s="214">
        <v>6382233.3399999999</v>
      </c>
      <c r="E333" s="924">
        <v>4437546.1399999997</v>
      </c>
    </row>
    <row r="334" spans="1:5">
      <c r="A334" s="909" t="s">
        <v>752</v>
      </c>
      <c r="B334" s="924">
        <v>200133</v>
      </c>
      <c r="C334" s="904"/>
      <c r="D334" s="214">
        <v>200133</v>
      </c>
      <c r="E334" s="908"/>
    </row>
    <row r="335" spans="1:5">
      <c r="A335" s="936" t="s">
        <v>753</v>
      </c>
      <c r="B335" s="924">
        <v>607145.86</v>
      </c>
      <c r="C335" s="904"/>
      <c r="D335" s="904"/>
      <c r="E335" s="924">
        <v>607145.86</v>
      </c>
    </row>
    <row r="336" spans="1:5">
      <c r="A336" s="909" t="s">
        <v>1723</v>
      </c>
      <c r="B336" s="924">
        <v>169068</v>
      </c>
      <c r="C336" s="904"/>
      <c r="D336" s="214">
        <v>169068</v>
      </c>
      <c r="E336" s="908"/>
    </row>
    <row r="337" spans="1:9">
      <c r="A337" s="909" t="s">
        <v>2611</v>
      </c>
      <c r="B337" s="908"/>
      <c r="C337" s="214">
        <v>2478000</v>
      </c>
      <c r="D337" s="214">
        <v>2478000</v>
      </c>
      <c r="E337" s="908"/>
      <c r="I337" s="250" t="s">
        <v>2433</v>
      </c>
    </row>
    <row r="338" spans="1:9">
      <c r="A338" s="909" t="s">
        <v>2612</v>
      </c>
      <c r="B338" s="908"/>
      <c r="C338" s="904"/>
      <c r="D338" s="214">
        <v>360000</v>
      </c>
      <c r="E338" s="980">
        <v>360000</v>
      </c>
      <c r="F338" s="714">
        <v>8</v>
      </c>
      <c r="G338" s="714" t="s">
        <v>2433</v>
      </c>
    </row>
    <row r="339" spans="1:9">
      <c r="A339" s="909" t="s">
        <v>2613</v>
      </c>
      <c r="B339" s="908"/>
      <c r="C339" s="214">
        <v>149999.24</v>
      </c>
      <c r="D339" s="214">
        <v>147750</v>
      </c>
      <c r="E339" s="924">
        <v>2249.2399999999998</v>
      </c>
    </row>
    <row r="340" spans="1:9">
      <c r="A340" s="909" t="s">
        <v>2026</v>
      </c>
      <c r="B340" s="924">
        <v>7749735.5</v>
      </c>
      <c r="C340" s="904"/>
      <c r="D340" s="214">
        <v>7700120.8399999999</v>
      </c>
      <c r="E340" s="924">
        <v>49614.66</v>
      </c>
    </row>
    <row r="341" spans="1:9" s="515" customFormat="1">
      <c r="A341" s="981" t="s">
        <v>757</v>
      </c>
      <c r="B341" s="982">
        <v>376638</v>
      </c>
      <c r="C341" s="983"/>
      <c r="D341" s="983"/>
      <c r="E341" s="982">
        <v>376638</v>
      </c>
      <c r="F341" s="515">
        <v>8</v>
      </c>
      <c r="G341" s="515" t="s">
        <v>2433</v>
      </c>
    </row>
    <row r="342" spans="1:9">
      <c r="A342" s="909" t="s">
        <v>2347</v>
      </c>
      <c r="B342" s="908"/>
      <c r="C342" s="214">
        <v>35756582.549999997</v>
      </c>
      <c r="D342" s="214">
        <v>35798024.380000003</v>
      </c>
      <c r="E342" s="980">
        <v>41441.83</v>
      </c>
      <c r="F342" s="714">
        <v>8</v>
      </c>
      <c r="G342" s="714" t="s">
        <v>2433</v>
      </c>
    </row>
    <row r="343" spans="1:9">
      <c r="A343" s="936" t="s">
        <v>2027</v>
      </c>
      <c r="B343" s="924">
        <v>192591.64</v>
      </c>
      <c r="C343" s="904"/>
      <c r="D343" s="904"/>
      <c r="E343" s="924">
        <v>192591.64</v>
      </c>
    </row>
    <row r="344" spans="1:9">
      <c r="A344" s="909" t="s">
        <v>2614</v>
      </c>
      <c r="B344" s="908"/>
      <c r="C344" s="214">
        <v>12160964.359999999</v>
      </c>
      <c r="D344" s="214">
        <v>6481152.3399999999</v>
      </c>
      <c r="E344" s="924">
        <v>5679812.0199999996</v>
      </c>
    </row>
    <row r="345" spans="1:9">
      <c r="A345" s="909" t="s">
        <v>1256</v>
      </c>
      <c r="B345" s="924">
        <v>328423.65999999997</v>
      </c>
      <c r="C345" s="904"/>
      <c r="D345" s="904"/>
      <c r="E345" s="924">
        <v>328423.65999999997</v>
      </c>
    </row>
    <row r="346" spans="1:9">
      <c r="A346" s="909" t="s">
        <v>2348</v>
      </c>
      <c r="B346" s="924">
        <v>233641</v>
      </c>
      <c r="C346" s="904"/>
      <c r="D346" s="214">
        <v>233641</v>
      </c>
      <c r="E346" s="908"/>
    </row>
    <row r="347" spans="1:9" s="515" customFormat="1">
      <c r="A347" s="981" t="s">
        <v>1490</v>
      </c>
      <c r="B347" s="982">
        <v>55773</v>
      </c>
      <c r="C347" s="983"/>
      <c r="D347" s="983"/>
      <c r="E347" s="982">
        <v>55773</v>
      </c>
      <c r="F347" s="515">
        <v>8</v>
      </c>
      <c r="G347" s="515" t="s">
        <v>2433</v>
      </c>
    </row>
    <row r="348" spans="1:9" s="515" customFormat="1">
      <c r="A348" s="984" t="s">
        <v>2349</v>
      </c>
      <c r="B348" s="982">
        <v>1500000</v>
      </c>
      <c r="C348" s="985">
        <v>7080000</v>
      </c>
      <c r="D348" s="985">
        <v>6994800</v>
      </c>
      <c r="E348" s="982">
        <v>1414800</v>
      </c>
      <c r="F348" s="515">
        <v>8</v>
      </c>
      <c r="G348" s="515" t="s">
        <v>2433</v>
      </c>
    </row>
    <row r="349" spans="1:9">
      <c r="A349" s="909" t="s">
        <v>2350</v>
      </c>
      <c r="B349" s="924">
        <v>176400</v>
      </c>
      <c r="C349" s="214">
        <v>1652000</v>
      </c>
      <c r="D349" s="214">
        <v>1828400</v>
      </c>
      <c r="E349" s="908"/>
    </row>
    <row r="350" spans="1:9">
      <c r="A350" s="909" t="s">
        <v>1492</v>
      </c>
      <c r="B350" s="924">
        <v>865531</v>
      </c>
      <c r="C350" s="904"/>
      <c r="D350" s="214">
        <v>865531</v>
      </c>
      <c r="E350" s="908"/>
    </row>
    <row r="351" spans="1:9">
      <c r="A351" s="936" t="s">
        <v>2351</v>
      </c>
      <c r="B351" s="924">
        <v>10101</v>
      </c>
      <c r="C351" s="214">
        <v>9189840</v>
      </c>
      <c r="D351" s="214">
        <v>8544643.4299999997</v>
      </c>
      <c r="E351" s="924">
        <v>655297.56999999995</v>
      </c>
    </row>
    <row r="352" spans="1:9">
      <c r="A352" s="909" t="s">
        <v>2615</v>
      </c>
      <c r="B352" s="908"/>
      <c r="C352" s="214">
        <v>13018371.24</v>
      </c>
      <c r="D352" s="214">
        <v>10460496</v>
      </c>
      <c r="E352" s="924">
        <v>2557875.2400000002</v>
      </c>
    </row>
    <row r="353" spans="1:9">
      <c r="A353" s="909" t="s">
        <v>2352</v>
      </c>
      <c r="B353" s="924">
        <v>1890540.36</v>
      </c>
      <c r="C353" s="214">
        <v>3129429.62</v>
      </c>
      <c r="D353" s="214">
        <v>4760787</v>
      </c>
      <c r="E353" s="924">
        <v>259182.98</v>
      </c>
    </row>
    <row r="354" spans="1:9">
      <c r="A354" s="909" t="s">
        <v>2616</v>
      </c>
      <c r="B354" s="908"/>
      <c r="C354" s="214">
        <v>14348800</v>
      </c>
      <c r="D354" s="214">
        <v>12578000</v>
      </c>
      <c r="E354" s="924">
        <v>1770800</v>
      </c>
    </row>
    <row r="355" spans="1:9">
      <c r="A355" s="909" t="s">
        <v>1728</v>
      </c>
      <c r="B355" s="924">
        <v>924102.08</v>
      </c>
      <c r="C355" s="904"/>
      <c r="D355" s="904"/>
      <c r="E355" s="924">
        <v>924102.08</v>
      </c>
    </row>
    <row r="356" spans="1:9">
      <c r="A356" s="909" t="s">
        <v>2353</v>
      </c>
      <c r="B356" s="924">
        <v>1408.83</v>
      </c>
      <c r="C356" s="214">
        <v>35949440.969999999</v>
      </c>
      <c r="D356" s="214">
        <v>34089196</v>
      </c>
      <c r="E356" s="924">
        <v>1861653.8</v>
      </c>
    </row>
    <row r="357" spans="1:9">
      <c r="A357" s="909" t="s">
        <v>2617</v>
      </c>
      <c r="B357" s="908"/>
      <c r="C357" s="214">
        <v>1855040</v>
      </c>
      <c r="D357" s="214">
        <v>350000</v>
      </c>
      <c r="E357" s="924">
        <v>1505040</v>
      </c>
    </row>
    <row r="358" spans="1:9">
      <c r="A358" s="909" t="s">
        <v>2354</v>
      </c>
      <c r="B358" s="908"/>
      <c r="C358" s="214">
        <v>3500000.36</v>
      </c>
      <c r="D358" s="214">
        <v>3500000.36</v>
      </c>
      <c r="E358" s="908"/>
      <c r="I358" s="714">
        <f>N359</f>
        <v>0</v>
      </c>
    </row>
    <row r="359" spans="1:9">
      <c r="A359" s="909" t="s">
        <v>2618</v>
      </c>
      <c r="B359" s="908"/>
      <c r="C359" s="214">
        <v>7721301.8200000003</v>
      </c>
      <c r="D359" s="214">
        <v>7066952</v>
      </c>
      <c r="E359" s="924">
        <v>654349.81999999995</v>
      </c>
      <c r="I359" s="868">
        <f>E338+E341+E342+E347+E348+E363+E364+E369+E373</f>
        <v>4021910.1100000003</v>
      </c>
    </row>
    <row r="360" spans="1:9">
      <c r="A360" s="909" t="s">
        <v>2619</v>
      </c>
      <c r="B360" s="908"/>
      <c r="C360" s="214">
        <v>7801968.8399999999</v>
      </c>
      <c r="D360" s="214">
        <v>3410275</v>
      </c>
      <c r="E360" s="924">
        <v>4391693.84</v>
      </c>
    </row>
    <row r="361" spans="1:9">
      <c r="A361" s="909" t="s">
        <v>2030</v>
      </c>
      <c r="B361" s="924">
        <v>217158.19</v>
      </c>
      <c r="C361" s="214">
        <v>2527810.2799999998</v>
      </c>
      <c r="D361" s="214">
        <v>2558029.0699999998</v>
      </c>
      <c r="E361" s="924">
        <v>186939.4</v>
      </c>
    </row>
    <row r="362" spans="1:9">
      <c r="A362" s="909" t="s">
        <v>2031</v>
      </c>
      <c r="B362" s="924">
        <v>3152137.75</v>
      </c>
      <c r="C362" s="214">
        <v>1227383.9099999999</v>
      </c>
      <c r="D362" s="214">
        <v>1619275.15</v>
      </c>
      <c r="E362" s="924">
        <v>2760246.51</v>
      </c>
    </row>
    <row r="363" spans="1:9" s="515" customFormat="1">
      <c r="A363" s="984" t="s">
        <v>1730</v>
      </c>
      <c r="B363" s="982">
        <v>755991.43</v>
      </c>
      <c r="C363" s="983"/>
      <c r="D363" s="983"/>
      <c r="E363" s="982">
        <v>755991.43</v>
      </c>
      <c r="F363" s="515">
        <v>8</v>
      </c>
      <c r="G363" s="515" t="s">
        <v>2433</v>
      </c>
    </row>
    <row r="364" spans="1:9" s="515" customFormat="1">
      <c r="A364" s="984" t="s">
        <v>2355</v>
      </c>
      <c r="B364" s="982">
        <v>110800.85</v>
      </c>
      <c r="C364" s="983"/>
      <c r="D364" s="985">
        <v>21465</v>
      </c>
      <c r="E364" s="982">
        <v>132265.85</v>
      </c>
      <c r="F364" s="515">
        <v>8</v>
      </c>
      <c r="G364" s="515" t="s">
        <v>2433</v>
      </c>
    </row>
    <row r="365" spans="1:9">
      <c r="A365" s="15" t="s">
        <v>2356</v>
      </c>
      <c r="B365" s="513">
        <v>294438.48</v>
      </c>
      <c r="C365" s="214">
        <v>33640958.659999996</v>
      </c>
      <c r="D365" s="214">
        <v>33346520.18</v>
      </c>
      <c r="E365" s="908"/>
    </row>
    <row r="366" spans="1:9">
      <c r="A366" s="909" t="s">
        <v>2357</v>
      </c>
      <c r="B366" s="924">
        <v>3383693</v>
      </c>
      <c r="C366" s="214">
        <v>3942380</v>
      </c>
      <c r="D366" s="214">
        <v>6491150</v>
      </c>
      <c r="E366" s="924">
        <v>834923</v>
      </c>
    </row>
    <row r="367" spans="1:9">
      <c r="A367" s="936" t="s">
        <v>778</v>
      </c>
      <c r="B367" s="924">
        <v>718081</v>
      </c>
      <c r="C367" s="904"/>
      <c r="D367" s="904"/>
      <c r="E367" s="924">
        <v>718081</v>
      </c>
    </row>
    <row r="368" spans="1:9">
      <c r="A368" s="909" t="s">
        <v>1255</v>
      </c>
      <c r="B368" s="924">
        <v>127610</v>
      </c>
      <c r="C368" s="904"/>
      <c r="D368" s="904"/>
      <c r="E368" s="924">
        <v>127610</v>
      </c>
      <c r="G368" s="868"/>
    </row>
    <row r="369" spans="1:7">
      <c r="A369" s="909" t="s">
        <v>1497</v>
      </c>
      <c r="B369" s="908"/>
      <c r="C369" s="904"/>
      <c r="D369" s="214">
        <v>485000</v>
      </c>
      <c r="E369" s="980">
        <v>485000</v>
      </c>
      <c r="F369" s="714">
        <v>8</v>
      </c>
      <c r="G369" s="714" t="s">
        <v>2433</v>
      </c>
    </row>
    <row r="370" spans="1:7">
      <c r="A370" s="909" t="s">
        <v>782</v>
      </c>
      <c r="B370" s="924">
        <v>836602</v>
      </c>
      <c r="C370" s="904"/>
      <c r="D370" s="214">
        <v>836602</v>
      </c>
      <c r="E370" s="908"/>
    </row>
    <row r="371" spans="1:7">
      <c r="A371" s="909" t="s">
        <v>1254</v>
      </c>
      <c r="B371" s="924">
        <v>1183593</v>
      </c>
      <c r="C371" s="904"/>
      <c r="D371" s="904"/>
      <c r="E371" s="924">
        <v>1183593</v>
      </c>
    </row>
    <row r="372" spans="1:7">
      <c r="A372" s="909" t="s">
        <v>2032</v>
      </c>
      <c r="B372" s="924">
        <v>965.5</v>
      </c>
      <c r="C372" s="214">
        <v>62345.5</v>
      </c>
      <c r="D372" s="214">
        <v>63311</v>
      </c>
      <c r="E372" s="908"/>
    </row>
    <row r="373" spans="1:7" customFormat="1">
      <c r="A373" s="15" t="s">
        <v>1499</v>
      </c>
      <c r="B373" s="513">
        <v>400000</v>
      </c>
      <c r="C373" s="96"/>
      <c r="D373" s="96"/>
      <c r="E373" s="513">
        <v>400000</v>
      </c>
      <c r="F373">
        <v>8</v>
      </c>
      <c r="G373" t="s">
        <v>2433</v>
      </c>
    </row>
    <row r="374" spans="1:7">
      <c r="A374" s="909" t="s">
        <v>2358</v>
      </c>
      <c r="B374" s="924">
        <v>195946.86</v>
      </c>
      <c r="C374" s="214">
        <v>1217801.3</v>
      </c>
      <c r="D374" s="214">
        <v>669121</v>
      </c>
      <c r="E374" s="924">
        <v>744627.16</v>
      </c>
    </row>
    <row r="375" spans="1:7">
      <c r="A375" s="936" t="s">
        <v>2359</v>
      </c>
      <c r="B375" s="924">
        <v>4487374.62</v>
      </c>
      <c r="C375" s="214">
        <v>16830986.280000001</v>
      </c>
      <c r="D375" s="214">
        <v>20027634.109999999</v>
      </c>
      <c r="E375" s="924">
        <v>1290726.79</v>
      </c>
    </row>
    <row r="376" spans="1:7">
      <c r="A376" s="909" t="s">
        <v>2360</v>
      </c>
      <c r="B376" s="908"/>
      <c r="C376" s="214">
        <v>7260000</v>
      </c>
      <c r="D376" s="214">
        <v>6435000</v>
      </c>
      <c r="E376" s="924">
        <v>825000</v>
      </c>
    </row>
    <row r="377" spans="1:7">
      <c r="A377" s="936" t="s">
        <v>2620</v>
      </c>
      <c r="B377" s="908"/>
      <c r="C377" s="214">
        <v>900000</v>
      </c>
      <c r="D377" s="214">
        <v>900000</v>
      </c>
      <c r="E377" s="908"/>
    </row>
    <row r="378" spans="1:7">
      <c r="A378" s="909" t="s">
        <v>1248</v>
      </c>
      <c r="B378" s="924">
        <v>517480</v>
      </c>
      <c r="C378" s="904"/>
      <c r="D378" s="904"/>
      <c r="E378" s="924">
        <v>517480</v>
      </c>
    </row>
    <row r="379" spans="1:7">
      <c r="A379" s="909" t="s">
        <v>1501</v>
      </c>
      <c r="B379" s="924">
        <v>494165.96</v>
      </c>
      <c r="C379" s="904"/>
      <c r="D379" s="904"/>
      <c r="E379" s="924">
        <v>494165.96</v>
      </c>
    </row>
    <row r="380" spans="1:7" customFormat="1">
      <c r="A380" s="15" t="s">
        <v>2361</v>
      </c>
      <c r="B380" s="513">
        <v>0.46</v>
      </c>
      <c r="C380" s="104">
        <v>1478184.82</v>
      </c>
      <c r="D380" s="104">
        <v>1478184.36</v>
      </c>
      <c r="E380" s="95"/>
    </row>
    <row r="381" spans="1:7" s="515" customFormat="1">
      <c r="A381" s="989" t="s">
        <v>1247</v>
      </c>
      <c r="B381" s="990">
        <v>9921</v>
      </c>
      <c r="C381" s="991">
        <v>54951112.07</v>
      </c>
      <c r="D381" s="991">
        <v>54757847.32</v>
      </c>
      <c r="E381" s="990">
        <v>203185.75</v>
      </c>
      <c r="F381" s="515">
        <v>16</v>
      </c>
    </row>
    <row r="382" spans="1:7" s="515" customFormat="1">
      <c r="A382" s="981" t="s">
        <v>260</v>
      </c>
      <c r="B382" s="274">
        <v>9921</v>
      </c>
      <c r="C382" s="985">
        <v>45168297.82</v>
      </c>
      <c r="D382" s="985">
        <v>45170313.82</v>
      </c>
      <c r="E382" s="274">
        <v>7905</v>
      </c>
      <c r="F382" s="515">
        <v>16</v>
      </c>
    </row>
    <row r="383" spans="1:7" s="515" customFormat="1">
      <c r="A383" s="981" t="s">
        <v>2621</v>
      </c>
      <c r="B383" s="953"/>
      <c r="C383" s="985">
        <v>9782814.25</v>
      </c>
      <c r="D383" s="985">
        <v>9587533.5</v>
      </c>
      <c r="E383" s="274">
        <v>195280.75</v>
      </c>
      <c r="F383" s="515">
        <v>16</v>
      </c>
    </row>
    <row r="384" spans="1:7" s="515" customFormat="1">
      <c r="A384" s="989" t="s">
        <v>70</v>
      </c>
      <c r="B384" s="990">
        <v>13466985.83</v>
      </c>
      <c r="C384" s="991">
        <v>497552202.06999999</v>
      </c>
      <c r="D384" s="991">
        <v>504163446.05000001</v>
      </c>
      <c r="E384" s="990">
        <v>6855741.8499999996</v>
      </c>
      <c r="F384" s="515">
        <v>16</v>
      </c>
    </row>
    <row r="385" spans="1:6" s="515" customFormat="1">
      <c r="A385" s="992" t="s">
        <v>804</v>
      </c>
      <c r="B385" s="993">
        <v>11420557.57</v>
      </c>
      <c r="C385" s="994">
        <v>478270469.06999999</v>
      </c>
      <c r="D385" s="994">
        <v>483341631.88999999</v>
      </c>
      <c r="E385" s="993">
        <v>6349394.75</v>
      </c>
      <c r="F385" s="515">
        <v>16</v>
      </c>
    </row>
    <row r="386" spans="1:6" s="515" customFormat="1">
      <c r="A386" s="995" t="s">
        <v>806</v>
      </c>
      <c r="B386" s="951">
        <v>12797.11</v>
      </c>
      <c r="C386" s="953"/>
      <c r="D386" s="953"/>
      <c r="E386" s="951">
        <v>12797.11</v>
      </c>
      <c r="F386" s="515">
        <v>16</v>
      </c>
    </row>
    <row r="387" spans="1:6" s="515" customFormat="1">
      <c r="A387" s="984" t="s">
        <v>807</v>
      </c>
      <c r="B387" s="951">
        <v>18733.169999999998</v>
      </c>
      <c r="C387" s="952">
        <v>6856859.2000000002</v>
      </c>
      <c r="D387" s="952">
        <v>6695265.8799999999</v>
      </c>
      <c r="E387" s="951">
        <v>180326.49</v>
      </c>
      <c r="F387" s="515">
        <v>16</v>
      </c>
    </row>
    <row r="388" spans="1:6" s="515" customFormat="1">
      <c r="A388" s="995" t="s">
        <v>808</v>
      </c>
      <c r="B388" s="951">
        <v>74155.850000000006</v>
      </c>
      <c r="C388" s="952">
        <v>2263052</v>
      </c>
      <c r="D388" s="952">
        <v>2200885</v>
      </c>
      <c r="E388" s="951">
        <v>136322.85</v>
      </c>
      <c r="F388" s="515">
        <v>16</v>
      </c>
    </row>
    <row r="389" spans="1:6" s="515" customFormat="1">
      <c r="A389" s="984" t="s">
        <v>261</v>
      </c>
      <c r="B389" s="951">
        <v>5174785.3600000003</v>
      </c>
      <c r="C389" s="952">
        <v>312404229.07999998</v>
      </c>
      <c r="D389" s="952">
        <v>316196415.23000002</v>
      </c>
      <c r="E389" s="951">
        <v>1382599.21</v>
      </c>
      <c r="F389" s="515">
        <v>16</v>
      </c>
    </row>
    <row r="390" spans="1:6" s="515" customFormat="1">
      <c r="A390" s="995" t="s">
        <v>811</v>
      </c>
      <c r="B390" s="951">
        <v>4266908.57</v>
      </c>
      <c r="C390" s="952">
        <v>85744832.109999999</v>
      </c>
      <c r="D390" s="952">
        <v>89295931.760000005</v>
      </c>
      <c r="E390" s="951">
        <v>715808.92</v>
      </c>
      <c r="F390" s="515">
        <v>16</v>
      </c>
    </row>
    <row r="391" spans="1:6" s="515" customFormat="1">
      <c r="A391" s="995" t="s">
        <v>812</v>
      </c>
      <c r="B391" s="951">
        <v>1698704.5</v>
      </c>
      <c r="C391" s="952">
        <v>44044028.32</v>
      </c>
      <c r="D391" s="952">
        <v>43432513.68</v>
      </c>
      <c r="E391" s="951">
        <v>2310219.14</v>
      </c>
      <c r="F391" s="515">
        <v>16</v>
      </c>
    </row>
    <row r="392" spans="1:6" s="515" customFormat="1">
      <c r="A392" s="995" t="s">
        <v>2622</v>
      </c>
      <c r="B392" s="983"/>
      <c r="C392" s="952">
        <v>11000</v>
      </c>
      <c r="D392" s="952">
        <v>108.4</v>
      </c>
      <c r="E392" s="951">
        <v>10891.6</v>
      </c>
      <c r="F392" s="515">
        <v>16</v>
      </c>
    </row>
    <row r="393" spans="1:6" s="515" customFormat="1">
      <c r="A393" s="995" t="s">
        <v>813</v>
      </c>
      <c r="B393" s="951">
        <v>21297.87</v>
      </c>
      <c r="C393" s="953"/>
      <c r="D393" s="953"/>
      <c r="E393" s="951">
        <v>21297.87</v>
      </c>
      <c r="F393" s="515">
        <v>16</v>
      </c>
    </row>
    <row r="394" spans="1:6" s="515" customFormat="1">
      <c r="A394" s="995" t="s">
        <v>2223</v>
      </c>
      <c r="B394" s="951">
        <v>139057.14000000001</v>
      </c>
      <c r="C394" s="952">
        <v>26946468.359999999</v>
      </c>
      <c r="D394" s="952">
        <v>25520511.940000001</v>
      </c>
      <c r="E394" s="951">
        <v>1565013.56</v>
      </c>
      <c r="F394" s="515">
        <v>16</v>
      </c>
    </row>
    <row r="395" spans="1:6" s="515" customFormat="1">
      <c r="A395" s="995" t="s">
        <v>814</v>
      </c>
      <c r="B395" s="951">
        <v>14118</v>
      </c>
      <c r="C395" s="953"/>
      <c r="D395" s="953"/>
      <c r="E395" s="951">
        <v>14118</v>
      </c>
      <c r="F395" s="515">
        <v>16</v>
      </c>
    </row>
    <row r="396" spans="1:6" s="515" customFormat="1">
      <c r="A396" s="992" t="s">
        <v>815</v>
      </c>
      <c r="B396" s="996">
        <v>2046428.26</v>
      </c>
      <c r="C396" s="948">
        <v>19281733</v>
      </c>
      <c r="D396" s="948">
        <v>20821814.16</v>
      </c>
      <c r="E396" s="996">
        <v>506347.1</v>
      </c>
      <c r="F396" s="515">
        <v>16</v>
      </c>
    </row>
    <row r="397" spans="1:6" s="515" customFormat="1">
      <c r="A397" s="984" t="s">
        <v>816</v>
      </c>
      <c r="B397" s="951">
        <v>11681.17</v>
      </c>
      <c r="C397" s="953"/>
      <c r="D397" s="953"/>
      <c r="E397" s="951">
        <v>11681.17</v>
      </c>
      <c r="F397" s="515">
        <v>16</v>
      </c>
    </row>
    <row r="398" spans="1:6" s="515" customFormat="1">
      <c r="A398" s="995" t="s">
        <v>817</v>
      </c>
      <c r="B398" s="951">
        <v>27862.32</v>
      </c>
      <c r="C398" s="953"/>
      <c r="D398" s="953"/>
      <c r="E398" s="951">
        <v>27862.32</v>
      </c>
      <c r="F398" s="515">
        <v>16</v>
      </c>
    </row>
    <row r="399" spans="1:6" s="515" customFormat="1">
      <c r="A399" s="995" t="s">
        <v>818</v>
      </c>
      <c r="B399" s="951">
        <v>1945541.63</v>
      </c>
      <c r="C399" s="952">
        <v>19281733</v>
      </c>
      <c r="D399" s="952">
        <v>20791814.16</v>
      </c>
      <c r="E399" s="951">
        <v>435460.47</v>
      </c>
      <c r="F399" s="515">
        <v>16</v>
      </c>
    </row>
    <row r="400" spans="1:6" s="515" customFormat="1">
      <c r="A400" s="995" t="s">
        <v>819</v>
      </c>
      <c r="B400" s="951">
        <v>50137.75</v>
      </c>
      <c r="C400" s="953"/>
      <c r="D400" s="952">
        <v>30000</v>
      </c>
      <c r="E400" s="951">
        <v>20137.75</v>
      </c>
      <c r="F400" s="515">
        <v>16</v>
      </c>
    </row>
    <row r="401" spans="1:8" s="515" customFormat="1">
      <c r="A401" s="984" t="s">
        <v>820</v>
      </c>
      <c r="B401" s="951">
        <v>11037.14</v>
      </c>
      <c r="C401" s="953"/>
      <c r="D401" s="953"/>
      <c r="E401" s="951">
        <v>11037.14</v>
      </c>
      <c r="F401" s="515">
        <v>16</v>
      </c>
    </row>
    <row r="402" spans="1:8" s="515" customFormat="1">
      <c r="A402" s="995" t="s">
        <v>821</v>
      </c>
      <c r="B402" s="951">
        <v>168.25</v>
      </c>
      <c r="C402" s="953"/>
      <c r="D402" s="953"/>
      <c r="E402" s="951">
        <v>168.25</v>
      </c>
      <c r="F402" s="515">
        <v>16</v>
      </c>
    </row>
    <row r="403" spans="1:8" s="515" customFormat="1">
      <c r="A403" s="950" t="s">
        <v>99</v>
      </c>
      <c r="B403" s="951">
        <v>5610702</v>
      </c>
      <c r="C403" s="952">
        <v>5656621</v>
      </c>
      <c r="D403" s="952">
        <v>3993847</v>
      </c>
      <c r="E403" s="951">
        <v>7273476</v>
      </c>
      <c r="F403" s="515">
        <v>18</v>
      </c>
    </row>
    <row r="404" spans="1:8" s="250" customFormat="1">
      <c r="A404" s="1035" t="s">
        <v>100</v>
      </c>
      <c r="B404" s="1036">
        <v>256291746.34999999</v>
      </c>
      <c r="C404" s="1037">
        <v>121211184.98999999</v>
      </c>
      <c r="D404" s="1037">
        <v>102886115.67</v>
      </c>
      <c r="E404" s="1036">
        <v>274616815.67000002</v>
      </c>
      <c r="H404" s="250" t="s">
        <v>2647</v>
      </c>
    </row>
    <row r="405" spans="1:8" s="250" customFormat="1">
      <c r="A405" s="1020" t="s">
        <v>822</v>
      </c>
      <c r="B405" s="1038">
        <v>201</v>
      </c>
      <c r="C405" s="1003"/>
      <c r="D405" s="1003"/>
      <c r="E405" s="1038">
        <v>201</v>
      </c>
    </row>
    <row r="406" spans="1:8" s="250" customFormat="1">
      <c r="A406" s="1020" t="s">
        <v>1246</v>
      </c>
      <c r="B406" s="1038">
        <v>34050</v>
      </c>
      <c r="C406" s="1003"/>
      <c r="D406" s="1003"/>
      <c r="E406" s="1038">
        <v>34050</v>
      </c>
    </row>
    <row r="407" spans="1:8" s="250" customFormat="1">
      <c r="A407" s="1020" t="s">
        <v>1245</v>
      </c>
      <c r="B407" s="1038">
        <v>1544</v>
      </c>
      <c r="C407" s="1003"/>
      <c r="D407" s="1003"/>
      <c r="E407" s="1038">
        <v>1544</v>
      </c>
    </row>
    <row r="408" spans="1:8" s="250" customFormat="1">
      <c r="A408" s="1020" t="s">
        <v>2038</v>
      </c>
      <c r="B408" s="998">
        <v>2500</v>
      </c>
      <c r="C408" s="1003"/>
      <c r="D408" s="1003"/>
      <c r="E408" s="998">
        <v>2500</v>
      </c>
    </row>
    <row r="409" spans="1:8" s="250" customFormat="1">
      <c r="A409" s="1020" t="s">
        <v>2040</v>
      </c>
      <c r="B409" s="998">
        <v>1300</v>
      </c>
      <c r="C409" s="1003"/>
      <c r="D409" s="1003"/>
      <c r="E409" s="998">
        <v>1300</v>
      </c>
    </row>
    <row r="410" spans="1:8" s="250" customFormat="1">
      <c r="A410" s="1020" t="s">
        <v>824</v>
      </c>
      <c r="B410" s="1038">
        <v>800</v>
      </c>
      <c r="C410" s="1003"/>
      <c r="D410" s="1003"/>
      <c r="E410" s="1038">
        <v>800</v>
      </c>
    </row>
    <row r="411" spans="1:8" s="250" customFormat="1">
      <c r="A411" s="1020" t="s">
        <v>825</v>
      </c>
      <c r="B411" s="998">
        <v>2727</v>
      </c>
      <c r="C411" s="1003"/>
      <c r="D411" s="1003"/>
      <c r="E411" s="998">
        <v>2727</v>
      </c>
    </row>
    <row r="412" spans="1:8" s="250" customFormat="1">
      <c r="A412" s="1020" t="s">
        <v>1078</v>
      </c>
      <c r="B412" s="998">
        <v>45000</v>
      </c>
      <c r="C412" s="1003"/>
      <c r="D412" s="1003"/>
      <c r="E412" s="998">
        <v>45000</v>
      </c>
    </row>
    <row r="413" spans="1:8" s="250" customFormat="1">
      <c r="A413" s="1020" t="s">
        <v>1733</v>
      </c>
      <c r="B413" s="998">
        <v>78066</v>
      </c>
      <c r="C413" s="1002">
        <v>984129</v>
      </c>
      <c r="D413" s="1002">
        <v>1062195</v>
      </c>
      <c r="E413" s="1001"/>
    </row>
    <row r="414" spans="1:8" s="250" customFormat="1">
      <c r="A414" s="1020" t="s">
        <v>2178</v>
      </c>
      <c r="B414" s="998">
        <v>215152</v>
      </c>
      <c r="C414" s="1002">
        <v>12526529.5</v>
      </c>
      <c r="D414" s="1002">
        <v>12162677</v>
      </c>
      <c r="E414" s="998">
        <v>579004.5</v>
      </c>
    </row>
    <row r="415" spans="1:8" s="250" customFormat="1">
      <c r="A415" s="1020" t="s">
        <v>830</v>
      </c>
      <c r="B415" s="998">
        <v>11460</v>
      </c>
      <c r="C415" s="1002">
        <v>4021287.36</v>
      </c>
      <c r="D415" s="1002">
        <v>4023337.11</v>
      </c>
      <c r="E415" s="998">
        <v>9410.25</v>
      </c>
    </row>
    <row r="416" spans="1:8" s="250" customFormat="1">
      <c r="A416" s="1020" t="s">
        <v>2179</v>
      </c>
      <c r="B416" s="998">
        <v>146476</v>
      </c>
      <c r="C416" s="1002">
        <v>996355</v>
      </c>
      <c r="D416" s="1002">
        <v>1142831</v>
      </c>
      <c r="E416" s="1001"/>
    </row>
    <row r="417" spans="1:5" s="250" customFormat="1">
      <c r="A417" s="1020" t="s">
        <v>2043</v>
      </c>
      <c r="B417" s="998">
        <v>63946</v>
      </c>
      <c r="C417" s="1003"/>
      <c r="D417" s="1002">
        <v>63946</v>
      </c>
      <c r="E417" s="1001"/>
    </row>
    <row r="418" spans="1:5" s="250" customFormat="1">
      <c r="A418" s="1020" t="s">
        <v>2180</v>
      </c>
      <c r="B418" s="998">
        <v>134338</v>
      </c>
      <c r="C418" s="1002">
        <v>2753459</v>
      </c>
      <c r="D418" s="1002">
        <v>2575479</v>
      </c>
      <c r="E418" s="998">
        <v>312318</v>
      </c>
    </row>
    <row r="419" spans="1:5" s="250" customFormat="1">
      <c r="A419" s="1020" t="s">
        <v>2623</v>
      </c>
      <c r="B419" s="1001"/>
      <c r="C419" s="1002">
        <v>2667522</v>
      </c>
      <c r="D419" s="1002">
        <v>2389158</v>
      </c>
      <c r="E419" s="998">
        <v>278364</v>
      </c>
    </row>
    <row r="420" spans="1:5" s="250" customFormat="1">
      <c r="A420" s="1020" t="s">
        <v>835</v>
      </c>
      <c r="B420" s="1038">
        <v>2000</v>
      </c>
      <c r="C420" s="1003"/>
      <c r="D420" s="1003"/>
      <c r="E420" s="1038">
        <v>2000</v>
      </c>
    </row>
    <row r="421" spans="1:5" s="250" customFormat="1">
      <c r="A421" s="1020" t="s">
        <v>2045</v>
      </c>
      <c r="B421" s="998">
        <v>46026</v>
      </c>
      <c r="C421" s="1002">
        <v>48440</v>
      </c>
      <c r="D421" s="1002">
        <v>94466</v>
      </c>
      <c r="E421" s="1001"/>
    </row>
    <row r="422" spans="1:5" s="250" customFormat="1">
      <c r="A422" s="1020" t="s">
        <v>1737</v>
      </c>
      <c r="B422" s="1038">
        <v>65855</v>
      </c>
      <c r="C422" s="1003"/>
      <c r="D422" s="1003"/>
      <c r="E422" s="1038">
        <v>65855</v>
      </c>
    </row>
    <row r="423" spans="1:5" s="250" customFormat="1">
      <c r="A423" s="1020" t="s">
        <v>2624</v>
      </c>
      <c r="B423" s="1001"/>
      <c r="C423" s="1002">
        <v>303000</v>
      </c>
      <c r="D423" s="1002">
        <v>153886</v>
      </c>
      <c r="E423" s="998">
        <v>149114</v>
      </c>
    </row>
    <row r="424" spans="1:5" s="250" customFormat="1">
      <c r="A424" s="1020" t="s">
        <v>2625</v>
      </c>
      <c r="B424" s="1001"/>
      <c r="C424" s="1002">
        <v>1654539</v>
      </c>
      <c r="D424" s="1002">
        <v>1558135</v>
      </c>
      <c r="E424" s="998">
        <v>96404</v>
      </c>
    </row>
    <row r="425" spans="1:5" s="250" customFormat="1">
      <c r="A425" s="1020" t="s">
        <v>2626</v>
      </c>
      <c r="B425" s="1001"/>
      <c r="C425" s="1002">
        <v>360696</v>
      </c>
      <c r="D425" s="1002">
        <v>279267</v>
      </c>
      <c r="E425" s="998">
        <v>81429</v>
      </c>
    </row>
    <row r="426" spans="1:5" s="250" customFormat="1">
      <c r="A426" s="1020" t="s">
        <v>2627</v>
      </c>
      <c r="B426" s="1001"/>
      <c r="C426" s="1002">
        <v>110000</v>
      </c>
      <c r="D426" s="1002">
        <v>24987</v>
      </c>
      <c r="E426" s="998">
        <v>85013</v>
      </c>
    </row>
    <row r="427" spans="1:5" s="250" customFormat="1">
      <c r="A427" s="1020" t="s">
        <v>2047</v>
      </c>
      <c r="B427" s="998">
        <v>20545</v>
      </c>
      <c r="C427" s="1002">
        <v>214573.69</v>
      </c>
      <c r="D427" s="1002">
        <v>56444</v>
      </c>
      <c r="E427" s="998">
        <v>178674.69</v>
      </c>
    </row>
    <row r="428" spans="1:5" s="250" customFormat="1">
      <c r="A428" s="1020" t="s">
        <v>2628</v>
      </c>
      <c r="B428" s="1001"/>
      <c r="C428" s="1002">
        <v>197448</v>
      </c>
      <c r="D428" s="1002">
        <v>170448</v>
      </c>
      <c r="E428" s="998">
        <v>27000</v>
      </c>
    </row>
    <row r="429" spans="1:5" s="250" customFormat="1">
      <c r="A429" s="1020" t="s">
        <v>2181</v>
      </c>
      <c r="B429" s="998">
        <v>343687</v>
      </c>
      <c r="C429" s="1002">
        <v>8471408.6099999994</v>
      </c>
      <c r="D429" s="1002">
        <v>8605732</v>
      </c>
      <c r="E429" s="998">
        <v>209363.61</v>
      </c>
    </row>
    <row r="430" spans="1:5" s="250" customFormat="1">
      <c r="A430" s="1020" t="s">
        <v>836</v>
      </c>
      <c r="B430" s="998">
        <v>88647</v>
      </c>
      <c r="C430" s="1003"/>
      <c r="D430" s="1003"/>
      <c r="E430" s="998">
        <v>88647</v>
      </c>
    </row>
    <row r="431" spans="1:5" s="250" customFormat="1">
      <c r="A431" s="1020" t="s">
        <v>1243</v>
      </c>
      <c r="B431" s="998">
        <v>32269</v>
      </c>
      <c r="C431" s="1003"/>
      <c r="D431" s="1003"/>
      <c r="E431" s="998">
        <v>32269</v>
      </c>
    </row>
    <row r="432" spans="1:5" s="250" customFormat="1">
      <c r="A432" s="1020" t="s">
        <v>2048</v>
      </c>
      <c r="B432" s="1038">
        <v>3000</v>
      </c>
      <c r="C432" s="1003"/>
      <c r="D432" s="1003"/>
      <c r="E432" s="1038">
        <v>3000</v>
      </c>
    </row>
    <row r="433" spans="1:5" s="250" customFormat="1">
      <c r="A433" s="1020" t="s">
        <v>837</v>
      </c>
      <c r="B433" s="998">
        <v>75</v>
      </c>
      <c r="C433" s="1003"/>
      <c r="D433" s="1003"/>
      <c r="E433" s="998">
        <v>75</v>
      </c>
    </row>
    <row r="434" spans="1:5" s="250" customFormat="1">
      <c r="A434" s="1020" t="s">
        <v>838</v>
      </c>
      <c r="B434" s="998">
        <v>5578</v>
      </c>
      <c r="C434" s="1003"/>
      <c r="D434" s="1003"/>
      <c r="E434" s="998">
        <v>5578</v>
      </c>
    </row>
    <row r="435" spans="1:5" s="250" customFormat="1">
      <c r="A435" s="1020" t="s">
        <v>839</v>
      </c>
      <c r="B435" s="998">
        <v>22244</v>
      </c>
      <c r="C435" s="1003"/>
      <c r="D435" s="1003"/>
      <c r="E435" s="998">
        <v>22244</v>
      </c>
    </row>
    <row r="436" spans="1:5" s="250" customFormat="1">
      <c r="A436" s="1020" t="s">
        <v>840</v>
      </c>
      <c r="B436" s="998">
        <v>18095</v>
      </c>
      <c r="C436" s="1003"/>
      <c r="D436" s="1003"/>
      <c r="E436" s="998">
        <v>18095</v>
      </c>
    </row>
    <row r="437" spans="1:5" s="250" customFormat="1">
      <c r="A437" s="1020" t="s">
        <v>841</v>
      </c>
      <c r="B437" s="998">
        <v>31056</v>
      </c>
      <c r="C437" s="1003"/>
      <c r="D437" s="1003"/>
      <c r="E437" s="998">
        <v>31056</v>
      </c>
    </row>
    <row r="438" spans="1:5" s="250" customFormat="1">
      <c r="A438" s="1020" t="s">
        <v>842</v>
      </c>
      <c r="B438" s="998">
        <v>27512</v>
      </c>
      <c r="C438" s="1003"/>
      <c r="D438" s="1003"/>
      <c r="E438" s="998">
        <v>27512</v>
      </c>
    </row>
    <row r="439" spans="1:5" s="250" customFormat="1">
      <c r="A439" s="1020" t="s">
        <v>843</v>
      </c>
      <c r="B439" s="1038">
        <v>2000</v>
      </c>
      <c r="C439" s="1003"/>
      <c r="D439" s="1003"/>
      <c r="E439" s="1038">
        <v>2000</v>
      </c>
    </row>
    <row r="440" spans="1:5" s="250" customFormat="1">
      <c r="A440" s="1020" t="s">
        <v>2629</v>
      </c>
      <c r="B440" s="1001"/>
      <c r="C440" s="1002">
        <v>6748414</v>
      </c>
      <c r="D440" s="1002">
        <v>5694062</v>
      </c>
      <c r="E440" s="998">
        <v>1054352</v>
      </c>
    </row>
    <row r="441" spans="1:5" s="250" customFormat="1">
      <c r="A441" s="1020" t="s">
        <v>2630</v>
      </c>
      <c r="B441" s="1001"/>
      <c r="C441" s="1002">
        <v>647500</v>
      </c>
      <c r="D441" s="1002">
        <v>279573</v>
      </c>
      <c r="E441" s="998">
        <v>367927</v>
      </c>
    </row>
    <row r="442" spans="1:5" s="250" customFormat="1">
      <c r="A442" s="1020" t="s">
        <v>844</v>
      </c>
      <c r="B442" s="1038">
        <v>2100</v>
      </c>
      <c r="C442" s="1003"/>
      <c r="D442" s="1003"/>
      <c r="E442" s="1038">
        <v>2100</v>
      </c>
    </row>
    <row r="443" spans="1:5" s="250" customFormat="1">
      <c r="A443" s="1020" t="s">
        <v>845</v>
      </c>
      <c r="B443" s="1038">
        <v>5745</v>
      </c>
      <c r="C443" s="1003"/>
      <c r="D443" s="1003"/>
      <c r="E443" s="1038">
        <v>5745</v>
      </c>
    </row>
    <row r="444" spans="1:5" s="250" customFormat="1">
      <c r="A444" s="1020" t="s">
        <v>846</v>
      </c>
      <c r="B444" s="998">
        <v>3188</v>
      </c>
      <c r="C444" s="1003"/>
      <c r="D444" s="1003"/>
      <c r="E444" s="998">
        <v>3188</v>
      </c>
    </row>
    <row r="445" spans="1:5" s="250" customFormat="1">
      <c r="A445" s="1020" t="s">
        <v>2182</v>
      </c>
      <c r="B445" s="998">
        <v>236233.55</v>
      </c>
      <c r="C445" s="1002">
        <v>1516772</v>
      </c>
      <c r="D445" s="1002">
        <v>1699280</v>
      </c>
      <c r="E445" s="998">
        <v>53725.55</v>
      </c>
    </row>
    <row r="446" spans="1:5" s="250" customFormat="1">
      <c r="A446" s="1020" t="s">
        <v>2631</v>
      </c>
      <c r="B446" s="1001"/>
      <c r="C446" s="1002">
        <v>924500</v>
      </c>
      <c r="D446" s="1002">
        <v>614507</v>
      </c>
      <c r="E446" s="998">
        <v>309993</v>
      </c>
    </row>
    <row r="447" spans="1:5" s="250" customFormat="1">
      <c r="A447" s="1020" t="s">
        <v>849</v>
      </c>
      <c r="B447" s="1038">
        <v>1000</v>
      </c>
      <c r="C447" s="1003"/>
      <c r="D447" s="1003"/>
      <c r="E447" s="1038">
        <v>1000</v>
      </c>
    </row>
    <row r="448" spans="1:5" s="250" customFormat="1">
      <c r="A448" s="1020" t="s">
        <v>850</v>
      </c>
      <c r="B448" s="998">
        <v>2950</v>
      </c>
      <c r="C448" s="1003"/>
      <c r="D448" s="1003"/>
      <c r="E448" s="998">
        <v>2950</v>
      </c>
    </row>
    <row r="449" spans="1:5" s="250" customFormat="1">
      <c r="A449" s="1020" t="s">
        <v>2183</v>
      </c>
      <c r="B449" s="998">
        <v>138071</v>
      </c>
      <c r="C449" s="1002">
        <v>2621972.25</v>
      </c>
      <c r="D449" s="1002">
        <v>2712564.25</v>
      </c>
      <c r="E449" s="998">
        <v>47479</v>
      </c>
    </row>
    <row r="450" spans="1:5" s="250" customFormat="1">
      <c r="A450" s="1020" t="s">
        <v>1739</v>
      </c>
      <c r="B450" s="998">
        <v>5501</v>
      </c>
      <c r="C450" s="1003"/>
      <c r="D450" s="1003"/>
      <c r="E450" s="998">
        <v>5501</v>
      </c>
    </row>
    <row r="451" spans="1:5" s="250" customFormat="1">
      <c r="A451" s="1020" t="s">
        <v>2184</v>
      </c>
      <c r="B451" s="998">
        <v>163549</v>
      </c>
      <c r="C451" s="1002">
        <v>4958594</v>
      </c>
      <c r="D451" s="1002">
        <v>4798607</v>
      </c>
      <c r="E451" s="998">
        <v>323536</v>
      </c>
    </row>
    <row r="452" spans="1:5" s="250" customFormat="1">
      <c r="A452" s="1020" t="s">
        <v>2185</v>
      </c>
      <c r="B452" s="998">
        <v>286775</v>
      </c>
      <c r="C452" s="1002">
        <v>1421085</v>
      </c>
      <c r="D452" s="1002">
        <v>1393885.7</v>
      </c>
      <c r="E452" s="998">
        <v>313974.3</v>
      </c>
    </row>
    <row r="453" spans="1:5" s="250" customFormat="1">
      <c r="A453" s="1020" t="s">
        <v>2186</v>
      </c>
      <c r="B453" s="998">
        <v>268050</v>
      </c>
      <c r="C453" s="1002">
        <v>7561281</v>
      </c>
      <c r="D453" s="1002">
        <v>7425096</v>
      </c>
      <c r="E453" s="998">
        <v>404235</v>
      </c>
    </row>
    <row r="454" spans="1:5" s="250" customFormat="1">
      <c r="A454" s="1020" t="s">
        <v>854</v>
      </c>
      <c r="B454" s="1038">
        <v>2494</v>
      </c>
      <c r="C454" s="1003"/>
      <c r="D454" s="1003"/>
      <c r="E454" s="1038">
        <v>2494</v>
      </c>
    </row>
    <row r="455" spans="1:5" s="250" customFormat="1">
      <c r="A455" s="1020" t="s">
        <v>2187</v>
      </c>
      <c r="B455" s="998">
        <v>42452</v>
      </c>
      <c r="C455" s="1002">
        <v>67422</v>
      </c>
      <c r="D455" s="1002">
        <v>95757</v>
      </c>
      <c r="E455" s="998">
        <v>14117</v>
      </c>
    </row>
    <row r="456" spans="1:5" s="250" customFormat="1">
      <c r="A456" s="1020" t="s">
        <v>1521</v>
      </c>
      <c r="B456" s="1038">
        <v>1577</v>
      </c>
      <c r="C456" s="1003"/>
      <c r="D456" s="1003"/>
      <c r="E456" s="1038">
        <v>1577</v>
      </c>
    </row>
    <row r="457" spans="1:5" s="250" customFormat="1">
      <c r="A457" s="1020" t="s">
        <v>2188</v>
      </c>
      <c r="B457" s="998">
        <v>316481.8</v>
      </c>
      <c r="C457" s="1002">
        <v>4111406.5</v>
      </c>
      <c r="D457" s="1002">
        <v>4039273</v>
      </c>
      <c r="E457" s="998">
        <v>388615.3</v>
      </c>
    </row>
    <row r="458" spans="1:5" s="250" customFormat="1">
      <c r="A458" s="1020" t="s">
        <v>2189</v>
      </c>
      <c r="B458" s="998">
        <v>625721</v>
      </c>
      <c r="C458" s="1002">
        <v>7343175.25</v>
      </c>
      <c r="D458" s="1002">
        <v>7779139</v>
      </c>
      <c r="E458" s="998">
        <v>189757.25</v>
      </c>
    </row>
    <row r="459" spans="1:5" s="250" customFormat="1">
      <c r="A459" s="1020" t="s">
        <v>2190</v>
      </c>
      <c r="B459" s="998">
        <v>5000</v>
      </c>
      <c r="C459" s="1002">
        <v>4988235</v>
      </c>
      <c r="D459" s="1002">
        <v>4953490</v>
      </c>
      <c r="E459" s="998">
        <v>39745</v>
      </c>
    </row>
    <row r="460" spans="1:5" s="250" customFormat="1">
      <c r="A460" s="1020" t="s">
        <v>2632</v>
      </c>
      <c r="B460" s="1001"/>
      <c r="C460" s="1002">
        <v>4449889</v>
      </c>
      <c r="D460" s="1002">
        <v>4288852</v>
      </c>
      <c r="E460" s="998">
        <v>161037</v>
      </c>
    </row>
    <row r="461" spans="1:5" s="250" customFormat="1">
      <c r="A461" s="1020" t="s">
        <v>1743</v>
      </c>
      <c r="B461" s="998">
        <v>3530</v>
      </c>
      <c r="C461" s="1003"/>
      <c r="D461" s="1003"/>
      <c r="E461" s="998">
        <v>3530</v>
      </c>
    </row>
    <row r="462" spans="1:5" s="250" customFormat="1">
      <c r="A462" s="1020" t="s">
        <v>2053</v>
      </c>
      <c r="B462" s="998">
        <v>334884</v>
      </c>
      <c r="C462" s="1002">
        <v>4468032.75</v>
      </c>
      <c r="D462" s="1002">
        <v>4742319</v>
      </c>
      <c r="E462" s="998">
        <v>60597.75</v>
      </c>
    </row>
    <row r="463" spans="1:5" s="250" customFormat="1">
      <c r="A463" s="1020" t="s">
        <v>2191</v>
      </c>
      <c r="B463" s="998">
        <v>437197</v>
      </c>
      <c r="C463" s="1002">
        <v>9034348.5</v>
      </c>
      <c r="D463" s="1002">
        <v>9400629.75</v>
      </c>
      <c r="E463" s="998">
        <v>70915.75</v>
      </c>
    </row>
    <row r="464" spans="1:5" s="250" customFormat="1">
      <c r="A464" s="1020" t="s">
        <v>855</v>
      </c>
      <c r="B464" s="998">
        <v>1314066.7</v>
      </c>
      <c r="C464" s="1002">
        <v>459937</v>
      </c>
      <c r="D464" s="1002">
        <v>401950</v>
      </c>
      <c r="E464" s="998">
        <v>1372053.7</v>
      </c>
    </row>
    <row r="465" spans="1:5" s="250" customFormat="1">
      <c r="A465" s="1020" t="s">
        <v>2192</v>
      </c>
      <c r="B465" s="1038">
        <v>160461</v>
      </c>
      <c r="C465" s="1002">
        <v>1207298</v>
      </c>
      <c r="D465" s="1002">
        <v>1046837</v>
      </c>
      <c r="E465" s="1001"/>
    </row>
    <row r="466" spans="1:5" s="250" customFormat="1">
      <c r="A466" s="1020" t="s">
        <v>1239</v>
      </c>
      <c r="B466" s="998">
        <v>1500</v>
      </c>
      <c r="C466" s="1003"/>
      <c r="D466" s="1003"/>
      <c r="E466" s="998">
        <v>1500</v>
      </c>
    </row>
    <row r="467" spans="1:5" s="250" customFormat="1">
      <c r="A467" s="1020" t="s">
        <v>256</v>
      </c>
      <c r="B467" s="998">
        <v>250414068.30000001</v>
      </c>
      <c r="C467" s="1002">
        <v>16522661.6</v>
      </c>
      <c r="D467" s="1002">
        <v>19671</v>
      </c>
      <c r="E467" s="998">
        <v>266917058.90000001</v>
      </c>
    </row>
    <row r="468" spans="1:5" s="250" customFormat="1">
      <c r="A468" s="1020" t="s">
        <v>859</v>
      </c>
      <c r="B468" s="998">
        <v>10812</v>
      </c>
      <c r="C468" s="1003"/>
      <c r="D468" s="1003"/>
      <c r="E468" s="998">
        <v>10812</v>
      </c>
    </row>
    <row r="469" spans="1:5" s="250" customFormat="1">
      <c r="A469" s="1020" t="s">
        <v>860</v>
      </c>
      <c r="B469" s="998">
        <v>6042</v>
      </c>
      <c r="C469" s="1003"/>
      <c r="D469" s="1003"/>
      <c r="E469" s="998">
        <v>6042</v>
      </c>
    </row>
    <row r="470" spans="1:5" s="250" customFormat="1">
      <c r="A470" s="1020" t="s">
        <v>861</v>
      </c>
      <c r="B470" s="1038">
        <v>6589</v>
      </c>
      <c r="C470" s="1003"/>
      <c r="D470" s="1003"/>
      <c r="E470" s="1038">
        <v>6589</v>
      </c>
    </row>
    <row r="471" spans="1:5" s="250" customFormat="1">
      <c r="A471" s="1020" t="s">
        <v>2193</v>
      </c>
      <c r="B471" s="998">
        <v>15189</v>
      </c>
      <c r="C471" s="1002">
        <v>606202.5</v>
      </c>
      <c r="D471" s="1002">
        <v>622691.5</v>
      </c>
      <c r="E471" s="1038">
        <v>1300</v>
      </c>
    </row>
    <row r="472" spans="1:5" s="250" customFormat="1">
      <c r="A472" s="1020" t="s">
        <v>1235</v>
      </c>
      <c r="B472" s="1038">
        <v>2987</v>
      </c>
      <c r="C472" s="1003"/>
      <c r="D472" s="1003"/>
      <c r="E472" s="1038">
        <v>2987</v>
      </c>
    </row>
    <row r="473" spans="1:5" s="250" customFormat="1">
      <c r="A473" s="1020" t="s">
        <v>864</v>
      </c>
      <c r="B473" s="998">
        <v>19090</v>
      </c>
      <c r="C473" s="1003"/>
      <c r="D473" s="1003"/>
      <c r="E473" s="998">
        <v>19090</v>
      </c>
    </row>
    <row r="474" spans="1:5" s="250" customFormat="1">
      <c r="A474" s="1020" t="s">
        <v>2194</v>
      </c>
      <c r="B474" s="998">
        <v>582048</v>
      </c>
      <c r="C474" s="1002">
        <v>6243071.4800000004</v>
      </c>
      <c r="D474" s="1002">
        <v>6514943.3600000003</v>
      </c>
      <c r="E474" s="998">
        <v>310176.12</v>
      </c>
    </row>
    <row r="475" spans="1:5" s="250" customFormat="1">
      <c r="A475" s="1020" t="s">
        <v>865</v>
      </c>
      <c r="B475" s="998">
        <v>6188</v>
      </c>
      <c r="C475" s="1003"/>
      <c r="D475" s="1003"/>
      <c r="E475" s="998">
        <v>6188</v>
      </c>
    </row>
    <row r="476" spans="1:5" s="250" customFormat="1">
      <c r="A476" s="1020" t="s">
        <v>866</v>
      </c>
      <c r="B476" s="998">
        <v>6576</v>
      </c>
      <c r="C476" s="1003"/>
      <c r="D476" s="1003"/>
      <c r="E476" s="998">
        <v>6576</v>
      </c>
    </row>
    <row r="477" spans="1:5" s="250" customFormat="1">
      <c r="A477" s="1020" t="s">
        <v>867</v>
      </c>
      <c r="B477" s="998">
        <v>486</v>
      </c>
      <c r="C477" s="1003"/>
      <c r="D477" s="1003"/>
      <c r="E477" s="998">
        <v>486</v>
      </c>
    </row>
    <row r="478" spans="1:5" s="250" customFormat="1">
      <c r="A478" s="1020" t="s">
        <v>868</v>
      </c>
      <c r="B478" s="998">
        <v>2101</v>
      </c>
      <c r="C478" s="1003"/>
      <c r="D478" s="1003"/>
      <c r="E478" s="998">
        <v>2101</v>
      </c>
    </row>
    <row r="479" spans="1:5" s="250" customFormat="1" ht="11.85" customHeight="1">
      <c r="A479" s="1020" t="s">
        <v>869</v>
      </c>
      <c r="B479" s="1038">
        <v>300</v>
      </c>
      <c r="C479" s="1003"/>
      <c r="D479" s="1003"/>
      <c r="E479" s="1038">
        <v>300</v>
      </c>
    </row>
    <row r="480" spans="1:5" s="515" customFormat="1">
      <c r="A480" s="946" t="s">
        <v>101</v>
      </c>
      <c r="B480" s="986">
        <v>1569066</v>
      </c>
      <c r="C480" s="948">
        <v>36441164.799999997</v>
      </c>
      <c r="D480" s="948">
        <v>36241194.799999997</v>
      </c>
      <c r="E480" s="986">
        <v>1769036</v>
      </c>
    </row>
    <row r="481" spans="1:7" s="515" customFormat="1">
      <c r="A481" s="950" t="s">
        <v>2195</v>
      </c>
      <c r="B481" s="951">
        <v>15500</v>
      </c>
      <c r="C481" s="953"/>
      <c r="D481" s="952">
        <v>5500</v>
      </c>
      <c r="E481" s="951">
        <v>10000</v>
      </c>
      <c r="F481" s="515">
        <v>13</v>
      </c>
      <c r="G481" s="515" t="s">
        <v>2646</v>
      </c>
    </row>
    <row r="482" spans="1:7" s="515" customFormat="1">
      <c r="A482" s="950" t="s">
        <v>870</v>
      </c>
      <c r="B482" s="951">
        <v>13943.5</v>
      </c>
      <c r="C482" s="952">
        <v>469350</v>
      </c>
      <c r="D482" s="952">
        <v>480679</v>
      </c>
      <c r="E482" s="951">
        <v>2614.5</v>
      </c>
      <c r="F482" s="515">
        <v>13</v>
      </c>
      <c r="G482" s="515" t="s">
        <v>2646</v>
      </c>
    </row>
    <row r="483" spans="1:7" s="515" customFormat="1">
      <c r="A483" s="950" t="s">
        <v>871</v>
      </c>
      <c r="B483" s="954">
        <v>92.5</v>
      </c>
      <c r="C483" s="953"/>
      <c r="D483" s="953"/>
      <c r="E483" s="954">
        <v>92.5</v>
      </c>
      <c r="F483" s="515">
        <v>13</v>
      </c>
      <c r="G483" s="515" t="s">
        <v>2646</v>
      </c>
    </row>
    <row r="484" spans="1:7" s="515" customFormat="1">
      <c r="A484" s="950" t="s">
        <v>872</v>
      </c>
      <c r="B484" s="951">
        <v>5000</v>
      </c>
      <c r="C484" s="953"/>
      <c r="D484" s="952">
        <v>5095</v>
      </c>
      <c r="E484" s="954">
        <v>95</v>
      </c>
      <c r="F484" s="515">
        <v>13</v>
      </c>
      <c r="G484" s="515" t="s">
        <v>2646</v>
      </c>
    </row>
    <row r="485" spans="1:7" s="515" customFormat="1">
      <c r="A485" s="950" t="s">
        <v>873</v>
      </c>
      <c r="B485" s="951">
        <v>16084</v>
      </c>
      <c r="C485" s="952">
        <v>5000</v>
      </c>
      <c r="D485" s="952">
        <v>1450</v>
      </c>
      <c r="E485" s="951">
        <v>19634</v>
      </c>
      <c r="F485" s="515">
        <v>13</v>
      </c>
      <c r="G485" s="515" t="s">
        <v>2646</v>
      </c>
    </row>
    <row r="486" spans="1:7" s="515" customFormat="1">
      <c r="A486" s="950" t="s">
        <v>2198</v>
      </c>
      <c r="B486" s="951">
        <v>3000</v>
      </c>
      <c r="C486" s="953"/>
      <c r="D486" s="953"/>
      <c r="E486" s="951">
        <v>3000</v>
      </c>
      <c r="F486" s="515">
        <v>13</v>
      </c>
      <c r="G486" s="515" t="s">
        <v>2646</v>
      </c>
    </row>
    <row r="487" spans="1:7" s="515" customFormat="1">
      <c r="A487" s="950" t="s">
        <v>874</v>
      </c>
      <c r="B487" s="951">
        <v>27136.2</v>
      </c>
      <c r="C487" s="952">
        <v>12000</v>
      </c>
      <c r="D487" s="952">
        <v>25493</v>
      </c>
      <c r="E487" s="951">
        <v>13643.2</v>
      </c>
      <c r="F487" s="515">
        <v>13</v>
      </c>
      <c r="G487" s="515" t="s">
        <v>2646</v>
      </c>
    </row>
    <row r="488" spans="1:7" s="515" customFormat="1">
      <c r="A488" s="950" t="s">
        <v>875</v>
      </c>
      <c r="B488" s="951">
        <v>908</v>
      </c>
      <c r="C488" s="953"/>
      <c r="D488" s="953"/>
      <c r="E488" s="951">
        <v>908</v>
      </c>
      <c r="F488" s="515">
        <v>13</v>
      </c>
      <c r="G488" s="515" t="s">
        <v>2646</v>
      </c>
    </row>
    <row r="489" spans="1:7" s="515" customFormat="1">
      <c r="A489" s="950" t="s">
        <v>2633</v>
      </c>
      <c r="B489" s="983"/>
      <c r="C489" s="952">
        <v>725</v>
      </c>
      <c r="D489" s="953"/>
      <c r="E489" s="951">
        <v>725</v>
      </c>
      <c r="F489" s="515">
        <v>13</v>
      </c>
      <c r="G489" s="515" t="s">
        <v>2646</v>
      </c>
    </row>
    <row r="490" spans="1:7" s="515" customFormat="1">
      <c r="A490" s="950" t="s">
        <v>1747</v>
      </c>
      <c r="B490" s="951">
        <v>31332</v>
      </c>
      <c r="C490" s="953"/>
      <c r="D490" s="953"/>
      <c r="E490" s="951">
        <v>31332</v>
      </c>
      <c r="F490" s="515">
        <v>13</v>
      </c>
      <c r="G490" s="515" t="s">
        <v>2646</v>
      </c>
    </row>
    <row r="491" spans="1:7" s="515" customFormat="1">
      <c r="A491" s="950" t="s">
        <v>876</v>
      </c>
      <c r="B491" s="951">
        <v>7628</v>
      </c>
      <c r="C491" s="953"/>
      <c r="D491" s="953"/>
      <c r="E491" s="951">
        <v>7628</v>
      </c>
      <c r="F491" s="515">
        <v>13</v>
      </c>
      <c r="G491" s="515" t="s">
        <v>2646</v>
      </c>
    </row>
    <row r="492" spans="1:7" s="515" customFormat="1">
      <c r="A492" s="950" t="s">
        <v>877</v>
      </c>
      <c r="B492" s="951">
        <v>171993</v>
      </c>
      <c r="C492" s="952">
        <v>12344</v>
      </c>
      <c r="D492" s="953"/>
      <c r="E492" s="951">
        <v>184337</v>
      </c>
      <c r="F492" s="515">
        <v>13</v>
      </c>
      <c r="G492" s="515" t="s">
        <v>2646</v>
      </c>
    </row>
    <row r="493" spans="1:7" s="515" customFormat="1">
      <c r="A493" s="950" t="s">
        <v>2062</v>
      </c>
      <c r="B493" s="954">
        <v>3000</v>
      </c>
      <c r="C493" s="953"/>
      <c r="D493" s="953"/>
      <c r="E493" s="954">
        <v>3000</v>
      </c>
      <c r="F493" s="515">
        <v>13</v>
      </c>
      <c r="G493" s="515" t="s">
        <v>2646</v>
      </c>
    </row>
    <row r="494" spans="1:7" s="515" customFormat="1">
      <c r="A494" s="950" t="s">
        <v>879</v>
      </c>
      <c r="B494" s="951">
        <v>4603</v>
      </c>
      <c r="C494" s="952">
        <v>74500</v>
      </c>
      <c r="D494" s="952">
        <v>7860</v>
      </c>
      <c r="E494" s="951">
        <v>71243</v>
      </c>
      <c r="F494" s="515">
        <v>13</v>
      </c>
      <c r="G494" s="515" t="s">
        <v>2646</v>
      </c>
    </row>
    <row r="495" spans="1:7" s="515" customFormat="1">
      <c r="A495" s="950" t="s">
        <v>2063</v>
      </c>
      <c r="B495" s="954">
        <v>6764</v>
      </c>
      <c r="C495" s="953"/>
      <c r="D495" s="953"/>
      <c r="E495" s="954">
        <v>6764</v>
      </c>
      <c r="F495" s="515">
        <v>13</v>
      </c>
      <c r="G495" s="515" t="s">
        <v>2646</v>
      </c>
    </row>
    <row r="496" spans="1:7" s="515" customFormat="1">
      <c r="A496" s="950" t="s">
        <v>1532</v>
      </c>
      <c r="B496" s="954">
        <v>1</v>
      </c>
      <c r="C496" s="953"/>
      <c r="D496" s="953"/>
      <c r="E496" s="954">
        <v>1</v>
      </c>
      <c r="F496" s="515">
        <v>13</v>
      </c>
      <c r="G496" s="515" t="s">
        <v>2646</v>
      </c>
    </row>
    <row r="497" spans="1:7" s="515" customFormat="1">
      <c r="A497" s="950" t="s">
        <v>880</v>
      </c>
      <c r="B497" s="951">
        <v>1917.5</v>
      </c>
      <c r="C497" s="952">
        <v>9000</v>
      </c>
      <c r="D497" s="952">
        <v>20048</v>
      </c>
      <c r="E497" s="954">
        <v>9130.5</v>
      </c>
      <c r="F497" s="515">
        <v>13</v>
      </c>
      <c r="G497" s="515" t="s">
        <v>2646</v>
      </c>
    </row>
    <row r="498" spans="1:7" s="515" customFormat="1">
      <c r="A498" s="950" t="s">
        <v>881</v>
      </c>
      <c r="B498" s="951">
        <v>8000</v>
      </c>
      <c r="C498" s="953"/>
      <c r="D498" s="952">
        <v>15468</v>
      </c>
      <c r="E498" s="954">
        <v>7468</v>
      </c>
      <c r="F498" s="515">
        <v>13</v>
      </c>
      <c r="G498" s="515" t="s">
        <v>2646</v>
      </c>
    </row>
    <row r="499" spans="1:7" s="515" customFormat="1">
      <c r="A499" s="950" t="s">
        <v>1533</v>
      </c>
      <c r="B499" s="951">
        <v>55137</v>
      </c>
      <c r="C499" s="952">
        <v>247000</v>
      </c>
      <c r="D499" s="952">
        <v>261013</v>
      </c>
      <c r="E499" s="951">
        <v>41124</v>
      </c>
      <c r="F499" s="515">
        <v>13</v>
      </c>
      <c r="G499" s="515" t="s">
        <v>2646</v>
      </c>
    </row>
    <row r="500" spans="1:7" s="515" customFormat="1">
      <c r="A500" s="950" t="s">
        <v>1534</v>
      </c>
      <c r="B500" s="951">
        <v>4415</v>
      </c>
      <c r="C500" s="953"/>
      <c r="D500" s="953"/>
      <c r="E500" s="951">
        <v>4415</v>
      </c>
      <c r="F500" s="515">
        <v>13</v>
      </c>
      <c r="G500" s="515" t="s">
        <v>2646</v>
      </c>
    </row>
    <row r="501" spans="1:7" s="515" customFormat="1">
      <c r="A501" s="950" t="s">
        <v>883</v>
      </c>
      <c r="B501" s="951">
        <v>6676</v>
      </c>
      <c r="C501" s="952">
        <v>44000</v>
      </c>
      <c r="D501" s="952">
        <v>56620</v>
      </c>
      <c r="E501" s="954">
        <v>5944</v>
      </c>
      <c r="F501" s="515">
        <v>13</v>
      </c>
      <c r="G501" s="515" t="s">
        <v>2646</v>
      </c>
    </row>
    <row r="502" spans="1:7" s="515" customFormat="1">
      <c r="A502" s="950" t="s">
        <v>884</v>
      </c>
      <c r="B502" s="951">
        <v>42488.3</v>
      </c>
      <c r="C502" s="952">
        <v>534584</v>
      </c>
      <c r="D502" s="952">
        <v>531028</v>
      </c>
      <c r="E502" s="951">
        <v>46044.3</v>
      </c>
      <c r="F502" s="515">
        <v>13</v>
      </c>
      <c r="G502" s="515" t="s">
        <v>2646</v>
      </c>
    </row>
    <row r="503" spans="1:7" s="515" customFormat="1">
      <c r="A503" s="950" t="s">
        <v>885</v>
      </c>
      <c r="B503" s="951">
        <v>600</v>
      </c>
      <c r="C503" s="953"/>
      <c r="D503" s="953"/>
      <c r="E503" s="951">
        <v>600</v>
      </c>
      <c r="F503" s="515">
        <v>13</v>
      </c>
      <c r="G503" s="515" t="s">
        <v>2646</v>
      </c>
    </row>
    <row r="504" spans="1:7" s="515" customFormat="1">
      <c r="A504" s="950" t="s">
        <v>2064</v>
      </c>
      <c r="B504" s="951">
        <v>1125489</v>
      </c>
      <c r="C504" s="952">
        <v>35032661.799999997</v>
      </c>
      <c r="D504" s="952">
        <v>34826400.799999997</v>
      </c>
      <c r="E504" s="951">
        <v>1331750</v>
      </c>
      <c r="F504" s="515">
        <v>13</v>
      </c>
      <c r="G504" s="515" t="s">
        <v>2646</v>
      </c>
    </row>
    <row r="505" spans="1:7" s="515" customFormat="1">
      <c r="A505" s="950" t="s">
        <v>1748</v>
      </c>
      <c r="B505" s="951">
        <v>18383</v>
      </c>
      <c r="C505" s="953"/>
      <c r="D505" s="953"/>
      <c r="E505" s="951">
        <v>18383</v>
      </c>
      <c r="F505" s="515">
        <v>13</v>
      </c>
      <c r="G505" s="515" t="s">
        <v>2646</v>
      </c>
    </row>
    <row r="506" spans="1:7" s="515" customFormat="1">
      <c r="A506" s="950" t="s">
        <v>2066</v>
      </c>
      <c r="B506" s="951">
        <v>5495</v>
      </c>
      <c r="C506" s="953"/>
      <c r="D506" s="953"/>
      <c r="E506" s="951">
        <v>5495</v>
      </c>
      <c r="F506" s="515">
        <v>13</v>
      </c>
      <c r="G506" s="515" t="s">
        <v>2646</v>
      </c>
    </row>
    <row r="507" spans="1:7" s="515" customFormat="1">
      <c r="A507" s="950" t="s">
        <v>1233</v>
      </c>
      <c r="B507" s="951">
        <v>3000</v>
      </c>
      <c r="C507" s="953"/>
      <c r="D507" s="952">
        <v>3000</v>
      </c>
      <c r="E507" s="983"/>
      <c r="F507" s="515">
        <v>13</v>
      </c>
      <c r="G507" s="515" t="s">
        <v>2646</v>
      </c>
    </row>
    <row r="508" spans="1:7" s="515" customFormat="1">
      <c r="A508" s="950" t="s">
        <v>1749</v>
      </c>
      <c r="B508" s="951">
        <v>3000</v>
      </c>
      <c r="C508" s="953"/>
      <c r="D508" s="953"/>
      <c r="E508" s="951">
        <v>3000</v>
      </c>
      <c r="F508" s="515">
        <v>13</v>
      </c>
      <c r="G508" s="515" t="s">
        <v>2646</v>
      </c>
    </row>
    <row r="509" spans="1:7" s="515" customFormat="1">
      <c r="A509" s="950" t="s">
        <v>1093</v>
      </c>
      <c r="B509" s="951">
        <v>1000</v>
      </c>
      <c r="C509" s="953"/>
      <c r="D509" s="952">
        <v>1000</v>
      </c>
      <c r="E509" s="983"/>
      <c r="F509" s="515">
        <v>13</v>
      </c>
      <c r="G509" s="515" t="s">
        <v>2646</v>
      </c>
    </row>
    <row r="510" spans="1:7" s="515" customFormat="1">
      <c r="A510" s="950" t="s">
        <v>887</v>
      </c>
      <c r="B510" s="951">
        <v>500</v>
      </c>
      <c r="C510" s="953"/>
      <c r="D510" s="953"/>
      <c r="E510" s="951">
        <v>500</v>
      </c>
      <c r="F510" s="515">
        <v>13</v>
      </c>
      <c r="G510" s="515" t="s">
        <v>2646</v>
      </c>
    </row>
    <row r="511" spans="1:7" s="515" customFormat="1">
      <c r="A511" s="950" t="s">
        <v>888</v>
      </c>
      <c r="B511" s="951">
        <v>750</v>
      </c>
      <c r="C511" s="953"/>
      <c r="D511" s="953"/>
      <c r="E511" s="951">
        <v>750</v>
      </c>
      <c r="F511" s="515">
        <v>13</v>
      </c>
      <c r="G511" s="515" t="s">
        <v>2646</v>
      </c>
    </row>
    <row r="512" spans="1:7" s="515" customFormat="1">
      <c r="A512" s="950" t="s">
        <v>1750</v>
      </c>
      <c r="B512" s="951">
        <v>4405</v>
      </c>
      <c r="C512" s="953"/>
      <c r="D512" s="953"/>
      <c r="E512" s="951">
        <v>4405</v>
      </c>
      <c r="F512" s="515">
        <v>13</v>
      </c>
      <c r="G512" s="515" t="s">
        <v>2646</v>
      </c>
    </row>
    <row r="513" spans="1:7" s="515" customFormat="1">
      <c r="A513" s="950" t="s">
        <v>2067</v>
      </c>
      <c r="B513" s="951">
        <v>540</v>
      </c>
      <c r="C513" s="953"/>
      <c r="D513" s="952">
        <v>540</v>
      </c>
      <c r="E513" s="983"/>
      <c r="F513" s="515">
        <v>13</v>
      </c>
      <c r="G513" s="515" t="s">
        <v>2646</v>
      </c>
    </row>
    <row r="514" spans="1:7">
      <c r="A514" s="946" t="s">
        <v>102</v>
      </c>
      <c r="B514" s="987"/>
      <c r="C514" s="949"/>
      <c r="D514" s="948">
        <v>256460363.21000001</v>
      </c>
      <c r="E514" s="947">
        <v>256460363.21000001</v>
      </c>
    </row>
    <row r="515" spans="1:7">
      <c r="A515" s="950" t="s">
        <v>103</v>
      </c>
      <c r="B515" s="983"/>
      <c r="C515" s="953"/>
      <c r="D515" s="952">
        <v>256460363.21000001</v>
      </c>
      <c r="E515" s="954">
        <v>256460363.21000001</v>
      </c>
      <c r="F515" s="714">
        <v>19</v>
      </c>
    </row>
    <row r="516" spans="1:7" s="515" customFormat="1">
      <c r="A516" s="946" t="s">
        <v>104</v>
      </c>
      <c r="B516" s="987"/>
      <c r="C516" s="948">
        <v>90546959.879999995</v>
      </c>
      <c r="D516" s="948">
        <v>17057328</v>
      </c>
      <c r="E516" s="986">
        <v>73489631.879999995</v>
      </c>
      <c r="F516" s="515">
        <v>21</v>
      </c>
      <c r="G516" s="515" t="s">
        <v>2650</v>
      </c>
    </row>
    <row r="517" spans="1:7" s="515" customFormat="1">
      <c r="A517" s="950" t="s">
        <v>105</v>
      </c>
      <c r="B517" s="983"/>
      <c r="C517" s="952">
        <v>963570</v>
      </c>
      <c r="D517" s="953"/>
      <c r="E517" s="951">
        <v>963570</v>
      </c>
      <c r="F517" s="515">
        <v>21</v>
      </c>
      <c r="G517" s="515" t="s">
        <v>2650</v>
      </c>
    </row>
    <row r="518" spans="1:7" s="515" customFormat="1">
      <c r="A518" s="950" t="s">
        <v>115</v>
      </c>
      <c r="B518" s="983"/>
      <c r="C518" s="952">
        <v>1103189</v>
      </c>
      <c r="D518" s="953"/>
      <c r="E518" s="951">
        <v>1103189</v>
      </c>
      <c r="F518" s="515">
        <v>21</v>
      </c>
      <c r="G518" s="515" t="s">
        <v>2650</v>
      </c>
    </row>
    <row r="519" spans="1:7" s="515" customFormat="1">
      <c r="A519" s="950" t="s">
        <v>116</v>
      </c>
      <c r="B519" s="983"/>
      <c r="C519" s="952">
        <v>3726896</v>
      </c>
      <c r="D519" s="953"/>
      <c r="E519" s="951">
        <v>3726896</v>
      </c>
      <c r="F519" s="515">
        <v>21</v>
      </c>
      <c r="G519" s="515" t="s">
        <v>2650</v>
      </c>
    </row>
    <row r="520" spans="1:7" s="515" customFormat="1">
      <c r="A520" s="950" t="s">
        <v>118</v>
      </c>
      <c r="B520" s="983"/>
      <c r="C520" s="952">
        <v>31385</v>
      </c>
      <c r="D520" s="953"/>
      <c r="E520" s="951">
        <v>31385</v>
      </c>
      <c r="F520" s="515">
        <v>21</v>
      </c>
      <c r="G520" s="515" t="s">
        <v>2650</v>
      </c>
    </row>
    <row r="521" spans="1:7" s="515" customFormat="1">
      <c r="A521" s="950" t="s">
        <v>106</v>
      </c>
      <c r="B521" s="983"/>
      <c r="C521" s="952">
        <v>777374</v>
      </c>
      <c r="D521" s="953"/>
      <c r="E521" s="951">
        <v>777374</v>
      </c>
      <c r="F521" s="515">
        <v>21</v>
      </c>
      <c r="G521" s="515" t="s">
        <v>2650</v>
      </c>
    </row>
    <row r="522" spans="1:7" s="515" customFormat="1">
      <c r="A522" s="950" t="s">
        <v>107</v>
      </c>
      <c r="B522" s="983"/>
      <c r="C522" s="952">
        <v>2012050</v>
      </c>
      <c r="D522" s="953"/>
      <c r="E522" s="951">
        <v>2012050</v>
      </c>
      <c r="F522" s="515">
        <v>21</v>
      </c>
      <c r="G522" s="515" t="s">
        <v>2650</v>
      </c>
    </row>
    <row r="523" spans="1:7" s="515" customFormat="1">
      <c r="A523" s="950" t="s">
        <v>1232</v>
      </c>
      <c r="B523" s="983"/>
      <c r="C523" s="952">
        <v>831045</v>
      </c>
      <c r="D523" s="953"/>
      <c r="E523" s="951">
        <v>831045</v>
      </c>
      <c r="F523" s="515">
        <v>21</v>
      </c>
      <c r="G523" s="515" t="s">
        <v>2650</v>
      </c>
    </row>
    <row r="524" spans="1:7" s="515" customFormat="1">
      <c r="A524" s="950" t="s">
        <v>108</v>
      </c>
      <c r="B524" s="983"/>
      <c r="C524" s="952">
        <v>724656</v>
      </c>
      <c r="D524" s="953"/>
      <c r="E524" s="951">
        <v>724656</v>
      </c>
      <c r="F524" s="515">
        <v>21</v>
      </c>
      <c r="G524" s="515" t="s">
        <v>2650</v>
      </c>
    </row>
    <row r="525" spans="1:7" s="515" customFormat="1">
      <c r="A525" s="950" t="s">
        <v>119</v>
      </c>
      <c r="B525" s="983"/>
      <c r="C525" s="952">
        <v>70873</v>
      </c>
      <c r="D525" s="953"/>
      <c r="E525" s="951">
        <v>70873</v>
      </c>
      <c r="F525" s="515">
        <v>21</v>
      </c>
      <c r="G525" s="515" t="s">
        <v>2650</v>
      </c>
    </row>
    <row r="526" spans="1:7" s="515" customFormat="1">
      <c r="A526" s="950" t="s">
        <v>120</v>
      </c>
      <c r="B526" s="983"/>
      <c r="C526" s="952">
        <v>4560684</v>
      </c>
      <c r="D526" s="953"/>
      <c r="E526" s="951">
        <v>4560684</v>
      </c>
      <c r="F526" s="515">
        <v>21</v>
      </c>
      <c r="G526" s="515" t="s">
        <v>2650</v>
      </c>
    </row>
    <row r="527" spans="1:7" s="515" customFormat="1">
      <c r="A527" s="950" t="s">
        <v>109</v>
      </c>
      <c r="B527" s="983"/>
      <c r="C527" s="952">
        <v>1658846</v>
      </c>
      <c r="D527" s="953"/>
      <c r="E527" s="951">
        <v>1658846</v>
      </c>
      <c r="F527" s="515">
        <v>21</v>
      </c>
      <c r="G527" s="515" t="s">
        <v>2650</v>
      </c>
    </row>
    <row r="528" spans="1:7" s="515" customFormat="1">
      <c r="A528" s="950" t="s">
        <v>1231</v>
      </c>
      <c r="B528" s="983"/>
      <c r="C528" s="952">
        <v>4410298.9400000004</v>
      </c>
      <c r="D528" s="953"/>
      <c r="E528" s="951">
        <v>4410298.9400000004</v>
      </c>
      <c r="F528" s="515">
        <v>21</v>
      </c>
      <c r="G528" s="515" t="s">
        <v>2650</v>
      </c>
    </row>
    <row r="529" spans="1:7" s="515" customFormat="1">
      <c r="A529" s="950" t="s">
        <v>1230</v>
      </c>
      <c r="B529" s="983"/>
      <c r="C529" s="952">
        <v>1191487.44</v>
      </c>
      <c r="D529" s="953"/>
      <c r="E529" s="951">
        <v>1191487.44</v>
      </c>
      <c r="F529" s="515">
        <v>21</v>
      </c>
      <c r="G529" s="515" t="s">
        <v>2650</v>
      </c>
    </row>
    <row r="530" spans="1:7" s="515" customFormat="1">
      <c r="A530" s="950" t="s">
        <v>110</v>
      </c>
      <c r="B530" s="983"/>
      <c r="C530" s="952">
        <v>8355016</v>
      </c>
      <c r="D530" s="953"/>
      <c r="E530" s="951">
        <v>8355016</v>
      </c>
      <c r="F530" s="515">
        <v>21</v>
      </c>
      <c r="G530" s="515" t="s">
        <v>2650</v>
      </c>
    </row>
    <row r="531" spans="1:7" s="515" customFormat="1">
      <c r="A531" s="950" t="s">
        <v>111</v>
      </c>
      <c r="B531" s="983"/>
      <c r="C531" s="952">
        <v>961150</v>
      </c>
      <c r="D531" s="953"/>
      <c r="E531" s="951">
        <v>961150</v>
      </c>
      <c r="F531" s="515">
        <v>21</v>
      </c>
      <c r="G531" s="515" t="s">
        <v>2650</v>
      </c>
    </row>
    <row r="532" spans="1:7" s="515" customFormat="1">
      <c r="A532" s="950" t="s">
        <v>1229</v>
      </c>
      <c r="B532" s="983"/>
      <c r="C532" s="952">
        <v>4390</v>
      </c>
      <c r="D532" s="953"/>
      <c r="E532" s="951">
        <v>4390</v>
      </c>
      <c r="F532" s="515">
        <v>21</v>
      </c>
      <c r="G532" s="515" t="s">
        <v>2650</v>
      </c>
    </row>
    <row r="533" spans="1:7" s="515" customFormat="1">
      <c r="A533" s="950" t="s">
        <v>1228</v>
      </c>
      <c r="B533" s="983"/>
      <c r="C533" s="952">
        <v>3689712.72</v>
      </c>
      <c r="D533" s="952">
        <v>57328</v>
      </c>
      <c r="E533" s="951">
        <v>3632384.72</v>
      </c>
      <c r="F533" s="515">
        <v>21</v>
      </c>
      <c r="G533" s="515" t="s">
        <v>2650</v>
      </c>
    </row>
    <row r="534" spans="1:7" s="515" customFormat="1">
      <c r="A534" s="950" t="s">
        <v>1227</v>
      </c>
      <c r="B534" s="983"/>
      <c r="C534" s="952">
        <v>279421</v>
      </c>
      <c r="D534" s="953"/>
      <c r="E534" s="951">
        <v>279421</v>
      </c>
      <c r="F534" s="515">
        <v>21</v>
      </c>
      <c r="G534" s="515" t="s">
        <v>2650</v>
      </c>
    </row>
    <row r="535" spans="1:7" s="515" customFormat="1">
      <c r="A535" s="950" t="s">
        <v>121</v>
      </c>
      <c r="B535" s="983"/>
      <c r="C535" s="952">
        <v>2753136.12</v>
      </c>
      <c r="D535" s="953"/>
      <c r="E535" s="951">
        <v>2753136.12</v>
      </c>
      <c r="F535" s="515">
        <v>21</v>
      </c>
      <c r="G535" s="515" t="s">
        <v>2650</v>
      </c>
    </row>
    <row r="536" spans="1:7" s="515" customFormat="1">
      <c r="A536" s="950" t="s">
        <v>1226</v>
      </c>
      <c r="B536" s="983"/>
      <c r="C536" s="952">
        <v>45922</v>
      </c>
      <c r="D536" s="953"/>
      <c r="E536" s="951">
        <v>45922</v>
      </c>
      <c r="F536" s="515">
        <v>21</v>
      </c>
      <c r="G536" s="515" t="s">
        <v>2650</v>
      </c>
    </row>
    <row r="537" spans="1:7" s="515" customFormat="1">
      <c r="A537" s="950" t="s">
        <v>1875</v>
      </c>
      <c r="B537" s="983"/>
      <c r="C537" s="953"/>
      <c r="D537" s="952">
        <v>17000000</v>
      </c>
      <c r="E537" s="954">
        <v>17000000</v>
      </c>
      <c r="F537" s="515">
        <v>21</v>
      </c>
      <c r="G537" s="515" t="s">
        <v>2650</v>
      </c>
    </row>
    <row r="538" spans="1:7" s="515" customFormat="1">
      <c r="A538" s="988" t="s">
        <v>112</v>
      </c>
      <c r="B538" s="983"/>
      <c r="C538" s="952">
        <v>23725733</v>
      </c>
      <c r="D538" s="953"/>
      <c r="E538" s="951">
        <v>23725733</v>
      </c>
      <c r="F538" s="515">
        <v>21</v>
      </c>
      <c r="G538" s="515" t="s">
        <v>2650</v>
      </c>
    </row>
    <row r="539" spans="1:7" s="515" customFormat="1">
      <c r="A539" s="950" t="s">
        <v>113</v>
      </c>
      <c r="B539" s="983"/>
      <c r="C539" s="952">
        <v>1702563.1</v>
      </c>
      <c r="D539" s="953"/>
      <c r="E539" s="951">
        <v>1702563.1</v>
      </c>
      <c r="F539" s="515">
        <v>21</v>
      </c>
      <c r="G539" s="515" t="s">
        <v>2650</v>
      </c>
    </row>
    <row r="540" spans="1:7" s="515" customFormat="1">
      <c r="A540" s="988" t="s">
        <v>122</v>
      </c>
      <c r="B540" s="983"/>
      <c r="C540" s="952">
        <v>4045906</v>
      </c>
      <c r="D540" s="953"/>
      <c r="E540" s="951">
        <v>4045906</v>
      </c>
      <c r="F540" s="515">
        <v>21</v>
      </c>
      <c r="G540" s="515" t="s">
        <v>2650</v>
      </c>
    </row>
    <row r="541" spans="1:7" s="515" customFormat="1">
      <c r="A541" s="950" t="s">
        <v>114</v>
      </c>
      <c r="B541" s="983"/>
      <c r="C541" s="952">
        <v>158686</v>
      </c>
      <c r="D541" s="953"/>
      <c r="E541" s="951">
        <v>158686</v>
      </c>
      <c r="F541" s="515">
        <v>21</v>
      </c>
      <c r="G541" s="515" t="s">
        <v>2650</v>
      </c>
    </row>
    <row r="542" spans="1:7" s="515" customFormat="1">
      <c r="A542" s="950" t="s">
        <v>123</v>
      </c>
      <c r="B542" s="983"/>
      <c r="C542" s="952">
        <v>17904971.559999999</v>
      </c>
      <c r="D542" s="953"/>
      <c r="E542" s="951">
        <v>17904971.559999999</v>
      </c>
      <c r="F542" s="515">
        <v>21</v>
      </c>
      <c r="G542" s="515" t="s">
        <v>2650</v>
      </c>
    </row>
    <row r="543" spans="1:7" s="515" customFormat="1">
      <c r="A543" s="950" t="s">
        <v>124</v>
      </c>
      <c r="B543" s="983"/>
      <c r="C543" s="952">
        <v>4857998</v>
      </c>
      <c r="D543" s="953"/>
      <c r="E543" s="951">
        <v>4857998</v>
      </c>
      <c r="F543" s="515">
        <v>21</v>
      </c>
      <c r="G543" s="515" t="s">
        <v>2650</v>
      </c>
    </row>
    <row r="544" spans="1:7" customFormat="1">
      <c r="A544" s="1" t="s">
        <v>160</v>
      </c>
      <c r="B544" s="109"/>
      <c r="C544" s="93">
        <v>121405701.42</v>
      </c>
      <c r="D544" s="93">
        <v>819110.77</v>
      </c>
      <c r="E544" s="270">
        <v>120586590.65000001</v>
      </c>
      <c r="F544">
        <v>21</v>
      </c>
    </row>
    <row r="545" spans="1:6" customFormat="1">
      <c r="A545" s="14" t="s">
        <v>161</v>
      </c>
      <c r="B545" s="111"/>
      <c r="C545" s="110">
        <v>88727492.140000001</v>
      </c>
      <c r="D545" s="110">
        <v>499910.77</v>
      </c>
      <c r="E545" s="271">
        <v>88227581.370000005</v>
      </c>
      <c r="F545">
        <v>21</v>
      </c>
    </row>
    <row r="546" spans="1:6" customFormat="1">
      <c r="A546" s="15" t="s">
        <v>1317</v>
      </c>
      <c r="B546" s="95"/>
      <c r="C546" s="104">
        <v>18332947</v>
      </c>
      <c r="D546" s="96"/>
      <c r="E546" s="198">
        <v>18332947</v>
      </c>
      <c r="F546">
        <v>21</v>
      </c>
    </row>
    <row r="547" spans="1:6" customFormat="1">
      <c r="A547" s="15" t="s">
        <v>173</v>
      </c>
      <c r="B547" s="95"/>
      <c r="C547" s="104">
        <v>3156606</v>
      </c>
      <c r="D547" s="96"/>
      <c r="E547" s="198">
        <v>3156606</v>
      </c>
      <c r="F547">
        <v>21</v>
      </c>
    </row>
    <row r="548" spans="1:6" customFormat="1">
      <c r="A548" s="15" t="s">
        <v>174</v>
      </c>
      <c r="B548" s="95"/>
      <c r="C548" s="104">
        <v>4584565</v>
      </c>
      <c r="D548" s="96"/>
      <c r="E548" s="198">
        <v>4584565</v>
      </c>
      <c r="F548">
        <v>21</v>
      </c>
    </row>
    <row r="549" spans="1:6" customFormat="1">
      <c r="A549" s="15" t="s">
        <v>1539</v>
      </c>
      <c r="B549" s="95"/>
      <c r="C549" s="104">
        <v>584590</v>
      </c>
      <c r="D549" s="96"/>
      <c r="E549" s="198">
        <v>584590</v>
      </c>
      <c r="F549">
        <v>21</v>
      </c>
    </row>
    <row r="550" spans="1:6" customFormat="1">
      <c r="A550" s="15" t="s">
        <v>1318</v>
      </c>
      <c r="B550" s="95"/>
      <c r="C550" s="104">
        <v>28477</v>
      </c>
      <c r="D550" s="96"/>
      <c r="E550" s="198">
        <v>28477</v>
      </c>
      <c r="F550">
        <v>21</v>
      </c>
    </row>
    <row r="551" spans="1:6" customFormat="1">
      <c r="A551" s="17" t="s">
        <v>1319</v>
      </c>
      <c r="B551" s="95"/>
      <c r="C551" s="104">
        <v>203591</v>
      </c>
      <c r="D551" s="96"/>
      <c r="E551" s="198">
        <v>203591</v>
      </c>
      <c r="F551">
        <v>21</v>
      </c>
    </row>
    <row r="552" spans="1:6" customFormat="1">
      <c r="A552" s="17" t="s">
        <v>1320</v>
      </c>
      <c r="B552" s="95"/>
      <c r="C552" s="104">
        <v>1286181</v>
      </c>
      <c r="D552" s="96"/>
      <c r="E552" s="198">
        <v>1286181</v>
      </c>
      <c r="F552">
        <v>21</v>
      </c>
    </row>
    <row r="553" spans="1:6" customFormat="1">
      <c r="A553" s="17" t="s">
        <v>892</v>
      </c>
      <c r="B553" s="95"/>
      <c r="C553" s="104">
        <v>389306</v>
      </c>
      <c r="D553" s="96"/>
      <c r="E553" s="198">
        <v>389306</v>
      </c>
      <c r="F553">
        <v>21</v>
      </c>
    </row>
    <row r="554" spans="1:6" customFormat="1">
      <c r="A554" s="15" t="s">
        <v>175</v>
      </c>
      <c r="B554" s="95"/>
      <c r="C554" s="104">
        <v>4629560</v>
      </c>
      <c r="D554" s="96"/>
      <c r="E554" s="198">
        <v>4629560</v>
      </c>
      <c r="F554">
        <v>21</v>
      </c>
    </row>
    <row r="555" spans="1:6" customFormat="1">
      <c r="A555" s="17" t="s">
        <v>1321</v>
      </c>
      <c r="B555" s="95"/>
      <c r="C555" s="104">
        <v>27205809.5</v>
      </c>
      <c r="D555" s="104">
        <v>460010.77</v>
      </c>
      <c r="E555" s="198">
        <v>26745798.73</v>
      </c>
      <c r="F555">
        <v>21</v>
      </c>
    </row>
    <row r="556" spans="1:6" customFormat="1">
      <c r="A556" s="17" t="s">
        <v>163</v>
      </c>
      <c r="B556" s="95"/>
      <c r="C556" s="104">
        <v>288430</v>
      </c>
      <c r="D556" s="96"/>
      <c r="E556" s="198">
        <v>288430</v>
      </c>
      <c r="F556">
        <v>21</v>
      </c>
    </row>
    <row r="557" spans="1:6" customFormat="1">
      <c r="A557" s="17" t="s">
        <v>164</v>
      </c>
      <c r="B557" s="95"/>
      <c r="C557" s="104">
        <v>207805</v>
      </c>
      <c r="D557" s="96"/>
      <c r="E557" s="198">
        <v>207805</v>
      </c>
      <c r="F557">
        <v>21</v>
      </c>
    </row>
    <row r="558" spans="1:6" customFormat="1">
      <c r="A558" s="17" t="s">
        <v>176</v>
      </c>
      <c r="B558" s="95"/>
      <c r="C558" s="104">
        <v>3346697.64</v>
      </c>
      <c r="D558" s="104">
        <v>10150</v>
      </c>
      <c r="E558" s="198">
        <v>3336547.64</v>
      </c>
      <c r="F558">
        <v>21</v>
      </c>
    </row>
    <row r="559" spans="1:6" customFormat="1">
      <c r="A559" s="17" t="s">
        <v>177</v>
      </c>
      <c r="B559" s="95"/>
      <c r="C559" s="104">
        <v>6250978.5</v>
      </c>
      <c r="D559" s="96"/>
      <c r="E559" s="198">
        <v>6250978.5</v>
      </c>
      <c r="F559">
        <v>21</v>
      </c>
    </row>
    <row r="560" spans="1:6" customFormat="1">
      <c r="A560" s="17" t="s">
        <v>1322</v>
      </c>
      <c r="B560" s="95"/>
      <c r="C560" s="104">
        <v>1378560</v>
      </c>
      <c r="D560" s="96"/>
      <c r="E560" s="198">
        <v>1378560</v>
      </c>
      <c r="F560">
        <v>21</v>
      </c>
    </row>
    <row r="561" spans="1:6" customFormat="1">
      <c r="A561" s="15" t="s">
        <v>168</v>
      </c>
      <c r="B561" s="95"/>
      <c r="C561" s="104">
        <v>3199750</v>
      </c>
      <c r="D561" s="96"/>
      <c r="E561" s="198">
        <v>3199750</v>
      </c>
      <c r="F561">
        <v>21</v>
      </c>
    </row>
    <row r="562" spans="1:6" customFormat="1">
      <c r="A562" s="15" t="s">
        <v>169</v>
      </c>
      <c r="B562" s="95"/>
      <c r="C562" s="104">
        <v>11800748.5</v>
      </c>
      <c r="D562" s="104">
        <v>29750</v>
      </c>
      <c r="E562" s="198">
        <v>11770998.5</v>
      </c>
      <c r="F562">
        <v>21</v>
      </c>
    </row>
    <row r="563" spans="1:6" customFormat="1">
      <c r="A563" s="15" t="s">
        <v>170</v>
      </c>
      <c r="B563" s="95"/>
      <c r="C563" s="104">
        <v>1481783</v>
      </c>
      <c r="D563" s="96"/>
      <c r="E563" s="198">
        <v>1481783</v>
      </c>
      <c r="F563">
        <v>21</v>
      </c>
    </row>
    <row r="564" spans="1:6" customFormat="1">
      <c r="A564" s="15" t="s">
        <v>171</v>
      </c>
      <c r="B564" s="95"/>
      <c r="C564" s="104">
        <v>245600</v>
      </c>
      <c r="D564" s="96"/>
      <c r="E564" s="198">
        <v>245600</v>
      </c>
      <c r="F564">
        <v>21</v>
      </c>
    </row>
    <row r="565" spans="1:6" customFormat="1">
      <c r="A565" s="15" t="s">
        <v>172</v>
      </c>
      <c r="B565" s="95"/>
      <c r="C565" s="104">
        <v>78707</v>
      </c>
      <c r="D565" s="96"/>
      <c r="E565" s="198">
        <v>78707</v>
      </c>
      <c r="F565">
        <v>21</v>
      </c>
    </row>
    <row r="566" spans="1:6" customFormat="1">
      <c r="A566" s="17" t="s">
        <v>2634</v>
      </c>
      <c r="B566" s="95"/>
      <c r="C566" s="104">
        <v>46800</v>
      </c>
      <c r="D566" s="96"/>
      <c r="E566" s="198">
        <v>46800</v>
      </c>
      <c r="F566">
        <v>21</v>
      </c>
    </row>
    <row r="567" spans="1:6" customFormat="1">
      <c r="A567" s="14" t="s">
        <v>178</v>
      </c>
      <c r="B567" s="114"/>
      <c r="C567" s="106">
        <v>32678209.280000001</v>
      </c>
      <c r="D567" s="106">
        <v>319200</v>
      </c>
      <c r="E567" s="272">
        <v>32359009.280000001</v>
      </c>
      <c r="F567">
        <v>21</v>
      </c>
    </row>
    <row r="568" spans="1:6" customFormat="1">
      <c r="A568" s="17" t="s">
        <v>1305</v>
      </c>
      <c r="B568" s="95"/>
      <c r="C568" s="104">
        <v>6000</v>
      </c>
      <c r="D568" s="96"/>
      <c r="E568" s="198">
        <v>6000</v>
      </c>
      <c r="F568">
        <v>21</v>
      </c>
    </row>
    <row r="569" spans="1:6" customFormat="1">
      <c r="A569" s="13" t="s">
        <v>179</v>
      </c>
      <c r="B569" s="95"/>
      <c r="C569" s="104">
        <v>402420</v>
      </c>
      <c r="D569" s="96"/>
      <c r="E569" s="198">
        <v>402420</v>
      </c>
      <c r="F569">
        <v>21</v>
      </c>
    </row>
    <row r="570" spans="1:6" customFormat="1">
      <c r="A570" s="15" t="s">
        <v>180</v>
      </c>
      <c r="B570" s="95"/>
      <c r="C570" s="104">
        <v>3143939.5</v>
      </c>
      <c r="D570" s="96"/>
      <c r="E570" s="198">
        <v>3143939.5</v>
      </c>
      <c r="F570">
        <v>21</v>
      </c>
    </row>
    <row r="571" spans="1:6" customFormat="1">
      <c r="A571" s="15" t="s">
        <v>1307</v>
      </c>
      <c r="B571" s="95"/>
      <c r="C571" s="104">
        <v>883244</v>
      </c>
      <c r="D571" s="96"/>
      <c r="E571" s="198">
        <v>883244</v>
      </c>
      <c r="F571">
        <v>21</v>
      </c>
    </row>
    <row r="572" spans="1:6" customFormat="1">
      <c r="A572" s="17" t="s">
        <v>181</v>
      </c>
      <c r="B572" s="95"/>
      <c r="C572" s="104">
        <v>1605144</v>
      </c>
      <c r="D572" s="96"/>
      <c r="E572" s="198">
        <v>1605144</v>
      </c>
      <c r="F572">
        <v>21</v>
      </c>
    </row>
    <row r="573" spans="1:6" customFormat="1">
      <c r="A573" s="17" t="s">
        <v>182</v>
      </c>
      <c r="B573" s="95"/>
      <c r="C573" s="104">
        <v>6508</v>
      </c>
      <c r="D573" s="96"/>
      <c r="E573" s="198">
        <v>6508</v>
      </c>
      <c r="F573">
        <v>21</v>
      </c>
    </row>
    <row r="574" spans="1:6" customFormat="1">
      <c r="A574" s="15" t="s">
        <v>1308</v>
      </c>
      <c r="B574" s="95"/>
      <c r="C574" s="104">
        <v>1416660</v>
      </c>
      <c r="D574" s="104">
        <v>283200</v>
      </c>
      <c r="E574" s="198">
        <v>1133460</v>
      </c>
      <c r="F574">
        <v>21</v>
      </c>
    </row>
    <row r="575" spans="1:6" customFormat="1">
      <c r="A575" s="15" t="s">
        <v>1309</v>
      </c>
      <c r="B575" s="95"/>
      <c r="C575" s="104">
        <v>668975</v>
      </c>
      <c r="D575" s="96"/>
      <c r="E575" s="198">
        <v>668975</v>
      </c>
      <c r="F575">
        <v>21</v>
      </c>
    </row>
    <row r="576" spans="1:6" customFormat="1">
      <c r="A576" s="15" t="s">
        <v>1847</v>
      </c>
      <c r="B576" s="95"/>
      <c r="C576" s="104">
        <v>10845</v>
      </c>
      <c r="D576" s="96"/>
      <c r="E576" s="198">
        <v>10845</v>
      </c>
      <c r="F576">
        <v>21</v>
      </c>
    </row>
    <row r="577" spans="1:6" customFormat="1">
      <c r="A577" s="15" t="s">
        <v>183</v>
      </c>
      <c r="B577" s="95"/>
      <c r="C577" s="104">
        <v>786036</v>
      </c>
      <c r="D577" s="96"/>
      <c r="E577" s="198">
        <v>786036</v>
      </c>
      <c r="F577">
        <v>21</v>
      </c>
    </row>
    <row r="578" spans="1:6" customFormat="1">
      <c r="A578" s="17" t="s">
        <v>184</v>
      </c>
      <c r="B578" s="95"/>
      <c r="C578" s="104">
        <v>548399.78</v>
      </c>
      <c r="D578" s="96"/>
      <c r="E578" s="198">
        <v>548399.78</v>
      </c>
      <c r="F578">
        <v>21</v>
      </c>
    </row>
    <row r="579" spans="1:6" customFormat="1">
      <c r="A579" s="15" t="s">
        <v>186</v>
      </c>
      <c r="B579" s="95"/>
      <c r="C579" s="104">
        <v>5687034</v>
      </c>
      <c r="D579" s="96"/>
      <c r="E579" s="198">
        <v>5687034</v>
      </c>
      <c r="F579">
        <v>21</v>
      </c>
    </row>
    <row r="580" spans="1:6" customFormat="1">
      <c r="A580" s="15" t="s">
        <v>1310</v>
      </c>
      <c r="B580" s="95"/>
      <c r="C580" s="104">
        <v>4638061</v>
      </c>
      <c r="D580" s="96"/>
      <c r="E580" s="198">
        <v>4638061</v>
      </c>
      <c r="F580">
        <v>21</v>
      </c>
    </row>
    <row r="581" spans="1:6" customFormat="1">
      <c r="A581" s="17" t="s">
        <v>187</v>
      </c>
      <c r="B581" s="95"/>
      <c r="C581" s="104">
        <v>3145278</v>
      </c>
      <c r="D581" s="96"/>
      <c r="E581" s="198">
        <v>3145278</v>
      </c>
      <c r="F581">
        <v>21</v>
      </c>
    </row>
    <row r="582" spans="1:6" customFormat="1">
      <c r="A582" s="17" t="s">
        <v>1311</v>
      </c>
      <c r="B582" s="95"/>
      <c r="C582" s="104">
        <v>1499279</v>
      </c>
      <c r="D582" s="96"/>
      <c r="E582" s="198">
        <v>1499279</v>
      </c>
      <c r="F582">
        <v>21</v>
      </c>
    </row>
    <row r="583" spans="1:6" customFormat="1">
      <c r="A583" s="15" t="s">
        <v>1312</v>
      </c>
      <c r="B583" s="95"/>
      <c r="C583" s="104">
        <v>3439248</v>
      </c>
      <c r="D583" s="96"/>
      <c r="E583" s="198">
        <v>3439248</v>
      </c>
      <c r="F583">
        <v>21</v>
      </c>
    </row>
    <row r="584" spans="1:6" customFormat="1">
      <c r="A584" s="15" t="s">
        <v>1313</v>
      </c>
      <c r="B584" s="95"/>
      <c r="C584" s="104">
        <v>456970</v>
      </c>
      <c r="D584" s="96"/>
      <c r="E584" s="198">
        <v>456970</v>
      </c>
      <c r="F584">
        <v>21</v>
      </c>
    </row>
    <row r="585" spans="1:6" customFormat="1" ht="15" customHeight="1">
      <c r="A585" s="15" t="s">
        <v>1314</v>
      </c>
      <c r="B585" s="95"/>
      <c r="C585" s="104">
        <v>4334168</v>
      </c>
      <c r="D585" s="104">
        <v>36000</v>
      </c>
      <c r="E585" s="198">
        <v>4298168</v>
      </c>
      <c r="F585">
        <v>21</v>
      </c>
    </row>
    <row r="586" spans="1:6" s="515" customFormat="1">
      <c r="A586" s="946" t="s">
        <v>189</v>
      </c>
      <c r="B586" s="987"/>
      <c r="C586" s="949"/>
      <c r="D586" s="948">
        <v>5656621</v>
      </c>
      <c r="E586" s="947">
        <v>5656621</v>
      </c>
    </row>
    <row r="587" spans="1:6" s="515" customFormat="1">
      <c r="A587" s="950" t="s">
        <v>190</v>
      </c>
      <c r="B587" s="983"/>
      <c r="C587" s="953"/>
      <c r="D587" s="952">
        <v>5656621</v>
      </c>
      <c r="E587" s="954">
        <v>5656621</v>
      </c>
      <c r="F587" s="515">
        <v>20</v>
      </c>
    </row>
    <row r="588" spans="1:6" customFormat="1" ht="16.350000000000001" customHeight="1">
      <c r="A588" s="1" t="s">
        <v>192</v>
      </c>
      <c r="B588" s="109"/>
      <c r="C588" s="93">
        <v>50912647.25</v>
      </c>
      <c r="D588" s="93">
        <v>1288143.54</v>
      </c>
      <c r="E588" s="270">
        <v>49624503.710000001</v>
      </c>
    </row>
    <row r="589" spans="1:6" s="515" customFormat="1">
      <c r="A589" s="989" t="s">
        <v>194</v>
      </c>
      <c r="B589" s="1010"/>
      <c r="C589" s="1011">
        <v>30414</v>
      </c>
      <c r="D589" s="1010"/>
      <c r="E589" s="1012">
        <v>30414</v>
      </c>
      <c r="F589" s="515">
        <v>24</v>
      </c>
    </row>
    <row r="590" spans="1:6" s="515" customFormat="1">
      <c r="A590" s="981" t="s">
        <v>194</v>
      </c>
      <c r="B590" s="953"/>
      <c r="C590" s="985">
        <v>30414</v>
      </c>
      <c r="D590" s="983"/>
      <c r="E590" s="274">
        <v>30414</v>
      </c>
      <c r="F590" s="515">
        <v>24</v>
      </c>
    </row>
    <row r="591" spans="1:6" s="515" customFormat="1">
      <c r="A591" s="950" t="s">
        <v>195</v>
      </c>
      <c r="B591" s="983"/>
      <c r="C591" s="952">
        <v>23373</v>
      </c>
      <c r="D591" s="953"/>
      <c r="E591" s="951">
        <v>23373</v>
      </c>
      <c r="F591" s="515">
        <v>24</v>
      </c>
    </row>
    <row r="592" spans="1:6">
      <c r="A592" s="13" t="s">
        <v>2635</v>
      </c>
      <c r="B592" s="904"/>
      <c r="C592" s="112">
        <v>59870</v>
      </c>
      <c r="D592" s="908"/>
      <c r="E592" s="267">
        <v>59870</v>
      </c>
    </row>
    <row r="593" spans="1:7" customFormat="1">
      <c r="A593" s="13" t="s">
        <v>1180</v>
      </c>
      <c r="B593" s="96"/>
      <c r="C593" s="112">
        <v>632560</v>
      </c>
      <c r="D593" s="95"/>
      <c r="E593" s="267">
        <v>632560</v>
      </c>
      <c r="F593">
        <v>24</v>
      </c>
    </row>
    <row r="594" spans="1:7" s="515" customFormat="1">
      <c r="A594" s="950" t="s">
        <v>210</v>
      </c>
      <c r="B594" s="983"/>
      <c r="C594" s="952">
        <v>111227.57</v>
      </c>
      <c r="D594" s="952">
        <v>120.56</v>
      </c>
      <c r="E594" s="951">
        <v>111107.01</v>
      </c>
      <c r="F594" s="515">
        <v>24</v>
      </c>
    </row>
    <row r="595" spans="1:7" customFormat="1">
      <c r="A595" s="16" t="s">
        <v>1541</v>
      </c>
      <c r="B595" s="96"/>
      <c r="C595" s="112">
        <v>9350</v>
      </c>
      <c r="D595" s="95"/>
      <c r="E595" s="267">
        <v>9350</v>
      </c>
      <c r="F595">
        <v>23</v>
      </c>
      <c r="G595" t="s">
        <v>2653</v>
      </c>
    </row>
    <row r="596" spans="1:7" s="515" customFormat="1">
      <c r="A596" s="950" t="s">
        <v>196</v>
      </c>
      <c r="B596" s="983"/>
      <c r="C596" s="952">
        <v>5720</v>
      </c>
      <c r="D596" s="953"/>
      <c r="E596" s="951">
        <v>5720</v>
      </c>
      <c r="F596" s="515">
        <v>24</v>
      </c>
    </row>
    <row r="597" spans="1:7" s="515" customFormat="1">
      <c r="A597" s="950" t="s">
        <v>1751</v>
      </c>
      <c r="B597" s="983"/>
      <c r="C597" s="952">
        <v>9255</v>
      </c>
      <c r="D597" s="953"/>
      <c r="E597" s="951">
        <v>9255</v>
      </c>
      <c r="F597" s="515">
        <v>24</v>
      </c>
      <c r="G597" s="515" t="s">
        <v>1172</v>
      </c>
    </row>
    <row r="598" spans="1:7" s="515" customFormat="1">
      <c r="A598" s="950" t="s">
        <v>197</v>
      </c>
      <c r="B598" s="983"/>
      <c r="C598" s="952">
        <v>3677400</v>
      </c>
      <c r="D598" s="953"/>
      <c r="E598" s="951">
        <v>3677400</v>
      </c>
      <c r="F598" s="515">
        <v>23</v>
      </c>
      <c r="G598" s="515" t="s">
        <v>2654</v>
      </c>
    </row>
    <row r="599" spans="1:7" customFormat="1">
      <c r="A599" s="13" t="s">
        <v>211</v>
      </c>
      <c r="B599" s="96"/>
      <c r="C599" s="112">
        <v>455351</v>
      </c>
      <c r="D599" s="95"/>
      <c r="E599" s="267">
        <v>455351</v>
      </c>
      <c r="F599" s="714">
        <v>24</v>
      </c>
    </row>
    <row r="600" spans="1:7" customFormat="1">
      <c r="A600" s="13" t="s">
        <v>198</v>
      </c>
      <c r="B600" s="96"/>
      <c r="C600" s="112">
        <v>1770</v>
      </c>
      <c r="D600" s="95"/>
      <c r="E600" s="267">
        <v>1770</v>
      </c>
      <c r="F600" s="515">
        <v>24</v>
      </c>
      <c r="G600" s="515" t="s">
        <v>2660</v>
      </c>
    </row>
    <row r="601" spans="1:7" customFormat="1" ht="16.2">
      <c r="A601" s="13" t="s">
        <v>212</v>
      </c>
      <c r="B601" s="96"/>
      <c r="C601" s="112">
        <v>179942</v>
      </c>
      <c r="D601" s="95"/>
      <c r="E601" s="267">
        <v>179942</v>
      </c>
      <c r="F601" s="515">
        <v>24</v>
      </c>
      <c r="G601" s="1009" t="s">
        <v>1877</v>
      </c>
    </row>
    <row r="602" spans="1:7" s="515" customFormat="1">
      <c r="A602" s="950" t="s">
        <v>199</v>
      </c>
      <c r="B602" s="983"/>
      <c r="C602" s="952">
        <v>204000</v>
      </c>
      <c r="D602" s="953"/>
      <c r="E602" s="951">
        <v>204000</v>
      </c>
      <c r="F602" s="515">
        <v>24</v>
      </c>
      <c r="G602" s="515" t="s">
        <v>927</v>
      </c>
    </row>
    <row r="603" spans="1:7" customFormat="1">
      <c r="A603" s="13" t="s">
        <v>1218</v>
      </c>
      <c r="B603" s="96"/>
      <c r="C603" s="112">
        <v>1601514.56</v>
      </c>
      <c r="D603" s="112">
        <v>113480.98</v>
      </c>
      <c r="E603" s="267">
        <v>1488033.58</v>
      </c>
      <c r="F603">
        <v>24</v>
      </c>
      <c r="G603" s="515" t="s">
        <v>1301</v>
      </c>
    </row>
    <row r="604" spans="1:7" customFormat="1">
      <c r="A604" s="13" t="s">
        <v>1114</v>
      </c>
      <c r="B604" s="96"/>
      <c r="C604" s="112">
        <v>35320</v>
      </c>
      <c r="D604" s="95"/>
      <c r="E604" s="267">
        <v>35320</v>
      </c>
      <c r="F604">
        <v>24</v>
      </c>
      <c r="G604" t="s">
        <v>2661</v>
      </c>
    </row>
    <row r="605" spans="1:7" customFormat="1" ht="16.2">
      <c r="A605" s="13" t="s">
        <v>1217</v>
      </c>
      <c r="B605" s="96"/>
      <c r="C605" s="112">
        <v>756720</v>
      </c>
      <c r="D605" s="95"/>
      <c r="E605" s="267">
        <v>756720</v>
      </c>
      <c r="G605" s="1009" t="s">
        <v>251</v>
      </c>
    </row>
    <row r="606" spans="1:7" customFormat="1" ht="12.6" customHeight="1">
      <c r="A606" s="13" t="s">
        <v>202</v>
      </c>
      <c r="B606" s="96"/>
      <c r="C606" s="112">
        <v>35143</v>
      </c>
      <c r="D606" s="95"/>
      <c r="E606" s="267">
        <v>35143</v>
      </c>
      <c r="F606">
        <v>24</v>
      </c>
      <c r="G606" t="s">
        <v>2662</v>
      </c>
    </row>
    <row r="607" spans="1:7" customFormat="1">
      <c r="A607" s="13" t="s">
        <v>2636</v>
      </c>
      <c r="B607" s="96"/>
      <c r="C607" s="112">
        <v>78386</v>
      </c>
      <c r="D607" s="95"/>
      <c r="E607" s="267">
        <v>78386</v>
      </c>
    </row>
    <row r="608" spans="1:7" customFormat="1">
      <c r="A608" s="13" t="s">
        <v>1216</v>
      </c>
      <c r="B608" s="96"/>
      <c r="C608" s="112">
        <v>63496</v>
      </c>
      <c r="D608" s="95"/>
      <c r="E608" s="267">
        <v>63496</v>
      </c>
    </row>
    <row r="609" spans="1:7" s="1014" customFormat="1">
      <c r="A609" s="1015" t="s">
        <v>213</v>
      </c>
      <c r="B609" s="1016"/>
      <c r="C609" s="1017">
        <v>331820</v>
      </c>
      <c r="D609" s="1018"/>
      <c r="E609" s="1019">
        <v>331820</v>
      </c>
    </row>
    <row r="610" spans="1:7" customFormat="1" ht="16.2">
      <c r="A610" s="13" t="s">
        <v>1215</v>
      </c>
      <c r="B610" s="96"/>
      <c r="C610" s="112">
        <v>509104.27</v>
      </c>
      <c r="D610" s="95"/>
      <c r="E610" s="267">
        <v>509104.27</v>
      </c>
      <c r="F610">
        <v>24</v>
      </c>
      <c r="G610" s="1009" t="s">
        <v>252</v>
      </c>
    </row>
    <row r="611" spans="1:7" customFormat="1">
      <c r="A611" s="13" t="s">
        <v>77</v>
      </c>
      <c r="B611" s="96"/>
      <c r="C611" s="112">
        <v>337211.25</v>
      </c>
      <c r="D611" s="95"/>
      <c r="E611" s="267">
        <v>337211.25</v>
      </c>
    </row>
    <row r="612" spans="1:7" customFormat="1">
      <c r="A612" s="13" t="s">
        <v>1214</v>
      </c>
      <c r="B612" s="96"/>
      <c r="C612" s="112">
        <v>1014587</v>
      </c>
      <c r="D612" s="112">
        <v>18000</v>
      </c>
      <c r="E612" s="267">
        <v>996587</v>
      </c>
      <c r="F612">
        <v>24</v>
      </c>
      <c r="G612" t="s">
        <v>2657</v>
      </c>
    </row>
    <row r="613" spans="1:7" s="515" customFormat="1">
      <c r="A613" s="950" t="s">
        <v>1542</v>
      </c>
      <c r="B613" s="983"/>
      <c r="C613" s="952">
        <v>7500</v>
      </c>
      <c r="D613" s="953"/>
      <c r="E613" s="951">
        <v>7500</v>
      </c>
      <c r="F613" s="515">
        <v>24</v>
      </c>
      <c r="G613" s="515" t="s">
        <v>2657</v>
      </c>
    </row>
    <row r="614" spans="1:7" s="515" customFormat="1">
      <c r="A614" s="988" t="s">
        <v>1213</v>
      </c>
      <c r="B614" s="983"/>
      <c r="C614" s="952">
        <v>1073659</v>
      </c>
      <c r="D614" s="953"/>
      <c r="E614" s="951">
        <v>1073659</v>
      </c>
      <c r="F614" s="515">
        <v>24</v>
      </c>
      <c r="G614" s="515" t="s">
        <v>2658</v>
      </c>
    </row>
    <row r="615" spans="1:7" s="515" customFormat="1">
      <c r="A615" s="950" t="s">
        <v>1212</v>
      </c>
      <c r="B615" s="983"/>
      <c r="C615" s="952">
        <v>5111588.5999999996</v>
      </c>
      <c r="D615" s="953"/>
      <c r="E615" s="951">
        <v>5111588.5999999996</v>
      </c>
      <c r="F615" s="515">
        <v>24</v>
      </c>
      <c r="G615" s="515" t="s">
        <v>2660</v>
      </c>
    </row>
    <row r="616" spans="1:7" s="958" customFormat="1">
      <c r="A616" s="955" t="s">
        <v>204</v>
      </c>
      <c r="B616" s="966"/>
      <c r="C616" s="962">
        <v>32169016</v>
      </c>
      <c r="D616" s="962">
        <v>1047946</v>
      </c>
      <c r="E616" s="963">
        <v>31121070</v>
      </c>
      <c r="F616" s="958">
        <v>23</v>
      </c>
      <c r="G616" s="958" t="s">
        <v>2653</v>
      </c>
    </row>
    <row r="617" spans="1:7" s="515" customFormat="1">
      <c r="A617" s="950" t="s">
        <v>1753</v>
      </c>
      <c r="B617" s="983"/>
      <c r="C617" s="952">
        <v>7755</v>
      </c>
      <c r="D617" s="953"/>
      <c r="E617" s="951">
        <v>7755</v>
      </c>
      <c r="F617" s="515">
        <v>24</v>
      </c>
      <c r="G617" s="515" t="s">
        <v>1172</v>
      </c>
    </row>
    <row r="618" spans="1:7" customFormat="1">
      <c r="A618" s="13" t="s">
        <v>2637</v>
      </c>
      <c r="B618" s="96"/>
      <c r="C618" s="112">
        <v>12096</v>
      </c>
      <c r="D618" s="112">
        <v>12096</v>
      </c>
      <c r="E618" s="96"/>
      <c r="F618" t="s">
        <v>2663</v>
      </c>
    </row>
    <row r="619" spans="1:7" s="958" customFormat="1">
      <c r="A619" s="955" t="s">
        <v>206</v>
      </c>
      <c r="B619" s="966"/>
      <c r="C619" s="962">
        <v>43709</v>
      </c>
      <c r="D619" s="957"/>
      <c r="E619" s="963">
        <v>43709</v>
      </c>
      <c r="F619" s="958">
        <v>23</v>
      </c>
      <c r="G619" s="958" t="s">
        <v>2652</v>
      </c>
    </row>
    <row r="620" spans="1:7" customFormat="1" ht="16.2">
      <c r="A620" s="13" t="s">
        <v>207</v>
      </c>
      <c r="B620" s="96"/>
      <c r="C620" s="112">
        <v>1565527</v>
      </c>
      <c r="D620" s="112">
        <v>11500</v>
      </c>
      <c r="E620" s="267">
        <v>1554027</v>
      </c>
      <c r="G620" s="1009" t="s">
        <v>251</v>
      </c>
    </row>
    <row r="621" spans="1:7" s="515" customFormat="1">
      <c r="A621" s="950" t="s">
        <v>208</v>
      </c>
      <c r="B621" s="983"/>
      <c r="C621" s="952">
        <v>758262</v>
      </c>
      <c r="D621" s="953"/>
      <c r="E621" s="951">
        <v>758262</v>
      </c>
      <c r="F621" s="515">
        <v>24</v>
      </c>
      <c r="G621" s="515" t="s">
        <v>2660</v>
      </c>
    </row>
    <row r="622" spans="1:7" customFormat="1">
      <c r="A622" s="13" t="s">
        <v>209</v>
      </c>
      <c r="B622" s="96"/>
      <c r="C622" s="95"/>
      <c r="D622" s="112">
        <v>85000</v>
      </c>
      <c r="E622" s="263">
        <v>85000</v>
      </c>
      <c r="F622">
        <v>24</v>
      </c>
      <c r="G622" t="s">
        <v>2661</v>
      </c>
    </row>
    <row r="623" spans="1:7" s="515" customFormat="1">
      <c r="A623" s="946" t="s">
        <v>125</v>
      </c>
      <c r="B623" s="947">
        <v>9477356.6199999992</v>
      </c>
      <c r="C623" s="948">
        <v>6967685.6600000001</v>
      </c>
      <c r="D623" s="948">
        <v>8460000</v>
      </c>
      <c r="E623" s="947">
        <v>10969670.960000001</v>
      </c>
      <c r="F623" s="515">
        <v>8</v>
      </c>
    </row>
    <row r="624" spans="1:7" s="515" customFormat="1">
      <c r="A624" s="950" t="s">
        <v>126</v>
      </c>
      <c r="B624" s="954">
        <v>30000</v>
      </c>
      <c r="C624" s="953"/>
      <c r="D624" s="953"/>
      <c r="E624" s="954">
        <v>30000</v>
      </c>
      <c r="F624" s="515">
        <v>8</v>
      </c>
    </row>
    <row r="625" spans="1:8" s="515" customFormat="1">
      <c r="A625" s="950" t="s">
        <v>127</v>
      </c>
      <c r="B625" s="954">
        <v>230500</v>
      </c>
      <c r="C625" s="953"/>
      <c r="D625" s="953"/>
      <c r="E625" s="954">
        <v>230500</v>
      </c>
      <c r="F625" s="515">
        <v>8</v>
      </c>
    </row>
    <row r="626" spans="1:8" s="515" customFormat="1" ht="12.6" customHeight="1">
      <c r="A626" s="950" t="s">
        <v>128</v>
      </c>
      <c r="B626" s="954">
        <v>9096856.6199999992</v>
      </c>
      <c r="C626" s="952">
        <v>6967685.6600000001</v>
      </c>
      <c r="D626" s="952">
        <v>8460000</v>
      </c>
      <c r="E626" s="954">
        <v>10589170.960000001</v>
      </c>
      <c r="F626" s="515">
        <v>8</v>
      </c>
    </row>
    <row r="627" spans="1:8" s="515" customFormat="1">
      <c r="A627" s="950" t="s">
        <v>129</v>
      </c>
      <c r="B627" s="954">
        <v>120000</v>
      </c>
      <c r="C627" s="953"/>
      <c r="D627" s="953"/>
      <c r="E627" s="954">
        <v>120000</v>
      </c>
      <c r="F627" s="515">
        <v>8</v>
      </c>
      <c r="H627" s="1007">
        <f>B635</f>
        <v>77854186</v>
      </c>
    </row>
    <row r="628" spans="1:8">
      <c r="A628" s="915" t="s">
        <v>130</v>
      </c>
      <c r="B628" s="926">
        <v>1517336.22</v>
      </c>
      <c r="C628" s="918"/>
      <c r="D628" s="918"/>
      <c r="E628" s="926">
        <v>1517336.22</v>
      </c>
    </row>
    <row r="629" spans="1:8">
      <c r="A629" s="911" t="s">
        <v>130</v>
      </c>
      <c r="B629" s="902">
        <v>1517336.22</v>
      </c>
      <c r="C629" s="908"/>
      <c r="D629" s="908"/>
      <c r="E629" s="902">
        <v>1517336.22</v>
      </c>
    </row>
    <row r="630" spans="1:8">
      <c r="A630" s="959" t="s">
        <v>131</v>
      </c>
      <c r="B630" s="960">
        <v>485936</v>
      </c>
      <c r="C630" s="961">
        <v>15275431.02</v>
      </c>
      <c r="D630" s="961">
        <v>19178781.02</v>
      </c>
      <c r="E630" s="960">
        <v>4389286</v>
      </c>
      <c r="F630" s="714">
        <v>6</v>
      </c>
    </row>
    <row r="631" spans="1:8">
      <c r="A631" s="955" t="s">
        <v>1225</v>
      </c>
      <c r="B631" s="956">
        <v>86755</v>
      </c>
      <c r="C631" s="962">
        <v>9430000</v>
      </c>
      <c r="D631" s="962">
        <v>13774350</v>
      </c>
      <c r="E631" s="956">
        <v>4431105</v>
      </c>
      <c r="F631" s="714">
        <v>6</v>
      </c>
    </row>
    <row r="632" spans="1:8" ht="15.6" customHeight="1">
      <c r="A632" s="955" t="s">
        <v>1536</v>
      </c>
      <c r="B632" s="956">
        <v>88373</v>
      </c>
      <c r="C632" s="962">
        <v>2885813.02</v>
      </c>
      <c r="D632" s="962">
        <v>2793313.02</v>
      </c>
      <c r="E632" s="963">
        <v>4127</v>
      </c>
      <c r="F632" s="714">
        <v>6</v>
      </c>
    </row>
    <row r="633" spans="1:8" ht="19.350000000000001" customHeight="1">
      <c r="A633" s="955" t="s">
        <v>1224</v>
      </c>
      <c r="B633" s="956">
        <v>310808</v>
      </c>
      <c r="C633" s="962">
        <v>2959618</v>
      </c>
      <c r="D633" s="962">
        <v>2611118</v>
      </c>
      <c r="E633" s="963">
        <v>37692</v>
      </c>
      <c r="F633" s="714">
        <v>6</v>
      </c>
    </row>
    <row r="634" spans="1:8" s="515" customFormat="1">
      <c r="A634" s="946" t="s">
        <v>132</v>
      </c>
      <c r="B634" s="986">
        <v>77854186</v>
      </c>
      <c r="C634" s="948">
        <v>14950000</v>
      </c>
      <c r="D634" s="948">
        <v>29670800</v>
      </c>
      <c r="E634" s="986">
        <v>63133386</v>
      </c>
      <c r="F634" s="515">
        <v>16</v>
      </c>
    </row>
    <row r="635" spans="1:8" s="515" customFormat="1" ht="14.1" customHeight="1">
      <c r="A635" s="950" t="s">
        <v>133</v>
      </c>
      <c r="B635" s="951">
        <v>77854186</v>
      </c>
      <c r="C635" s="952">
        <v>14950000</v>
      </c>
      <c r="D635" s="952">
        <v>29670800</v>
      </c>
      <c r="E635" s="951">
        <v>63133386</v>
      </c>
      <c r="F635" s="515">
        <v>16</v>
      </c>
      <c r="G635" s="515" t="s">
        <v>2648</v>
      </c>
    </row>
    <row r="636" spans="1:8">
      <c r="A636" s="959" t="s">
        <v>1754</v>
      </c>
      <c r="B636" s="960">
        <v>5285202.88</v>
      </c>
      <c r="C636" s="961">
        <v>43573695</v>
      </c>
      <c r="D636" s="961">
        <v>45801415.079999998</v>
      </c>
      <c r="E636" s="960">
        <v>7512922.96</v>
      </c>
      <c r="F636" s="714">
        <v>8</v>
      </c>
    </row>
    <row r="637" spans="1:8">
      <c r="A637" s="955" t="s">
        <v>1755</v>
      </c>
      <c r="B637" s="956">
        <v>3582847.06</v>
      </c>
      <c r="C637" s="962">
        <v>3616994</v>
      </c>
      <c r="D637" s="962">
        <v>3769618.95</v>
      </c>
      <c r="E637" s="956">
        <v>3735472.01</v>
      </c>
      <c r="F637" s="714">
        <v>8</v>
      </c>
    </row>
    <row r="638" spans="1:8">
      <c r="A638" s="955" t="s">
        <v>1756</v>
      </c>
      <c r="B638" s="956">
        <v>1546865.06</v>
      </c>
      <c r="C638" s="962">
        <v>3709274</v>
      </c>
      <c r="D638" s="962">
        <v>3769618.95</v>
      </c>
      <c r="E638" s="956">
        <v>1607210.01</v>
      </c>
      <c r="F638" s="714">
        <v>8</v>
      </c>
    </row>
    <row r="639" spans="1:8">
      <c r="A639" s="955" t="s">
        <v>1757</v>
      </c>
      <c r="B639" s="956">
        <v>393681.82</v>
      </c>
      <c r="C639" s="962">
        <v>286476</v>
      </c>
      <c r="D639" s="962">
        <v>238685.31</v>
      </c>
      <c r="E639" s="956">
        <v>345891.13</v>
      </c>
      <c r="F639" s="714">
        <v>8</v>
      </c>
    </row>
    <row r="640" spans="1:8">
      <c r="A640" s="955" t="s">
        <v>1758</v>
      </c>
      <c r="B640" s="956">
        <v>355212.82</v>
      </c>
      <c r="C640" s="962">
        <v>331234</v>
      </c>
      <c r="D640" s="962">
        <v>238685.31</v>
      </c>
      <c r="E640" s="956">
        <v>262664.13</v>
      </c>
      <c r="F640" s="714">
        <v>8</v>
      </c>
    </row>
    <row r="641" spans="1:8">
      <c r="A641" s="965" t="s">
        <v>1754</v>
      </c>
      <c r="B641" s="963">
        <v>24631236</v>
      </c>
      <c r="C641" s="962">
        <v>17000000</v>
      </c>
      <c r="D641" s="957"/>
      <c r="E641" s="963">
        <v>41631236</v>
      </c>
      <c r="F641" s="714">
        <v>8</v>
      </c>
    </row>
    <row r="642" spans="1:8">
      <c r="A642" s="955" t="s">
        <v>1759</v>
      </c>
      <c r="B642" s="956">
        <v>3238551.33</v>
      </c>
      <c r="C642" s="962">
        <v>1087294</v>
      </c>
      <c r="D642" s="962">
        <v>2613723.12</v>
      </c>
      <c r="E642" s="956">
        <v>4764980.45</v>
      </c>
      <c r="F642" s="714">
        <v>8</v>
      </c>
    </row>
    <row r="643" spans="1:8">
      <c r="A643" s="955" t="s">
        <v>1760</v>
      </c>
      <c r="B643" s="956">
        <v>3184911.65</v>
      </c>
      <c r="C643" s="962">
        <v>1196448</v>
      </c>
      <c r="D643" s="962">
        <v>2529123.12</v>
      </c>
      <c r="E643" s="956">
        <v>4517586.7699999996</v>
      </c>
      <c r="F643" s="714">
        <v>8</v>
      </c>
    </row>
    <row r="644" spans="1:8">
      <c r="A644" s="955" t="s">
        <v>1761</v>
      </c>
      <c r="B644" s="956">
        <v>94166.77</v>
      </c>
      <c r="C644" s="962">
        <v>1012292</v>
      </c>
      <c r="D644" s="962">
        <v>2509370.65</v>
      </c>
      <c r="E644" s="956">
        <v>1591245.42</v>
      </c>
      <c r="F644" s="714">
        <v>8</v>
      </c>
    </row>
    <row r="645" spans="1:8">
      <c r="A645" s="955" t="s">
        <v>1762</v>
      </c>
      <c r="B645" s="956">
        <v>70878.77</v>
      </c>
      <c r="C645" s="962">
        <v>854442</v>
      </c>
      <c r="D645" s="962">
        <v>2509370.65</v>
      </c>
      <c r="E645" s="956">
        <v>1725807.42</v>
      </c>
      <c r="F645" s="714">
        <v>8</v>
      </c>
    </row>
    <row r="646" spans="1:8">
      <c r="A646" s="955" t="s">
        <v>1763</v>
      </c>
      <c r="B646" s="956">
        <v>108033.25</v>
      </c>
      <c r="C646" s="962">
        <v>32111</v>
      </c>
      <c r="D646" s="962">
        <v>951237.42</v>
      </c>
      <c r="E646" s="956">
        <v>1027159.67</v>
      </c>
      <c r="F646" s="714">
        <v>8</v>
      </c>
    </row>
    <row r="647" spans="1:8">
      <c r="A647" s="955" t="s">
        <v>1764</v>
      </c>
      <c r="B647" s="956">
        <v>3616.25</v>
      </c>
      <c r="C647" s="962">
        <v>7554</v>
      </c>
      <c r="D647" s="962">
        <v>951237.42</v>
      </c>
      <c r="E647" s="956">
        <v>947299.67</v>
      </c>
      <c r="F647" s="714">
        <v>8</v>
      </c>
    </row>
    <row r="648" spans="1:8">
      <c r="A648" s="955" t="s">
        <v>1765</v>
      </c>
      <c r="B648" s="956">
        <v>279269.46999999997</v>
      </c>
      <c r="C648" s="957"/>
      <c r="D648" s="957"/>
      <c r="E648" s="956">
        <v>279269.46999999997</v>
      </c>
      <c r="F648" s="714">
        <v>8</v>
      </c>
    </row>
    <row r="649" spans="1:8">
      <c r="A649" s="955" t="s">
        <v>1766</v>
      </c>
      <c r="B649" s="956">
        <v>165466.47</v>
      </c>
      <c r="C649" s="957"/>
      <c r="D649" s="957"/>
      <c r="E649" s="956">
        <v>165466.47</v>
      </c>
      <c r="F649" s="714">
        <v>8</v>
      </c>
    </row>
    <row r="650" spans="1:8">
      <c r="A650" s="955" t="s">
        <v>1767</v>
      </c>
      <c r="B650" s="956">
        <v>271783.76</v>
      </c>
      <c r="C650" s="962">
        <v>1965139</v>
      </c>
      <c r="D650" s="962">
        <v>2565835.83</v>
      </c>
      <c r="E650" s="956">
        <v>872480.59</v>
      </c>
      <c r="F650" s="714">
        <v>8</v>
      </c>
    </row>
    <row r="651" spans="1:8">
      <c r="A651" s="955" t="s">
        <v>1768</v>
      </c>
      <c r="B651" s="956">
        <v>212497.76</v>
      </c>
      <c r="C651" s="962">
        <v>2156488</v>
      </c>
      <c r="D651" s="962">
        <v>2565835.83</v>
      </c>
      <c r="E651" s="956">
        <v>621845.59</v>
      </c>
      <c r="F651" s="714">
        <v>8</v>
      </c>
    </row>
    <row r="652" spans="1:8">
      <c r="A652" s="955" t="s">
        <v>2638</v>
      </c>
      <c r="B652" s="966"/>
      <c r="C652" s="962">
        <v>222248</v>
      </c>
      <c r="D652" s="962">
        <v>595065.42000000004</v>
      </c>
      <c r="E652" s="956">
        <v>372817.42</v>
      </c>
      <c r="F652" s="714">
        <v>8</v>
      </c>
    </row>
    <row r="653" spans="1:8">
      <c r="A653" s="955" t="s">
        <v>2639</v>
      </c>
      <c r="B653" s="966"/>
      <c r="C653" s="962">
        <v>75595</v>
      </c>
      <c r="D653" s="962">
        <v>595065.42000000004</v>
      </c>
      <c r="E653" s="956">
        <v>519470.42</v>
      </c>
      <c r="F653" s="714">
        <v>8</v>
      </c>
    </row>
    <row r="654" spans="1:8">
      <c r="A654" s="955" t="s">
        <v>1769</v>
      </c>
      <c r="B654" s="956">
        <v>350602.02</v>
      </c>
      <c r="C654" s="962">
        <v>248596</v>
      </c>
      <c r="D654" s="962">
        <v>205626.06</v>
      </c>
      <c r="E654" s="956">
        <v>307632.08</v>
      </c>
      <c r="F654" s="714">
        <v>8</v>
      </c>
    </row>
    <row r="655" spans="1:8">
      <c r="A655" s="955" t="s">
        <v>1770</v>
      </c>
      <c r="B655" s="956">
        <v>305820.02</v>
      </c>
      <c r="C655" s="962">
        <v>248596</v>
      </c>
      <c r="D655" s="962">
        <v>205626.06</v>
      </c>
      <c r="E655" s="956">
        <v>262850.08</v>
      </c>
      <c r="F655" s="714">
        <v>8</v>
      </c>
    </row>
    <row r="656" spans="1:8">
      <c r="A656" s="955" t="s">
        <v>1771</v>
      </c>
      <c r="B656" s="956">
        <v>1707380.86</v>
      </c>
      <c r="C656" s="962">
        <v>987985</v>
      </c>
      <c r="D656" s="962">
        <v>2727196.98</v>
      </c>
      <c r="E656" s="956">
        <v>3446592.84</v>
      </c>
      <c r="F656" s="714">
        <v>8</v>
      </c>
      <c r="H656" s="997">
        <f>B635+B669+B674+B675+B676+B677+B678+B679+B680+B681+B682+B685</f>
        <v>131347710.72</v>
      </c>
    </row>
    <row r="657" spans="1:8">
      <c r="A657" s="955" t="s">
        <v>1772</v>
      </c>
      <c r="B657" s="956">
        <v>1385019.86</v>
      </c>
      <c r="C657" s="962">
        <v>880036</v>
      </c>
      <c r="D657" s="962">
        <v>2727196.98</v>
      </c>
      <c r="E657" s="956">
        <v>3232180.84</v>
      </c>
      <c r="F657" s="714">
        <v>8</v>
      </c>
    </row>
    <row r="658" spans="1:8">
      <c r="A658" s="955" t="s">
        <v>1773</v>
      </c>
      <c r="B658" s="956">
        <v>5158071.92</v>
      </c>
      <c r="C658" s="962">
        <v>3215628.5</v>
      </c>
      <c r="D658" s="962">
        <v>6766647.7999999998</v>
      </c>
      <c r="E658" s="956">
        <v>8709091.2200000007</v>
      </c>
      <c r="F658" s="714">
        <v>8</v>
      </c>
    </row>
    <row r="659" spans="1:8">
      <c r="A659" s="955" t="s">
        <v>1774</v>
      </c>
      <c r="B659" s="956">
        <v>6025877.6799999997</v>
      </c>
      <c r="C659" s="962">
        <v>3405782.5</v>
      </c>
      <c r="D659" s="962">
        <v>6766647.7999999998</v>
      </c>
      <c r="E659" s="956">
        <v>9386742.9800000004</v>
      </c>
      <c r="F659" s="714">
        <v>8</v>
      </c>
      <c r="H659" s="997">
        <f>B681+B669</f>
        <v>50805586.719999999</v>
      </c>
    </row>
    <row r="660" spans="1:8">
      <c r="A660" s="955" t="s">
        <v>1775</v>
      </c>
      <c r="B660" s="956">
        <v>774386.64</v>
      </c>
      <c r="C660" s="962">
        <v>516741</v>
      </c>
      <c r="D660" s="957"/>
      <c r="E660" s="956">
        <v>257645.64</v>
      </c>
      <c r="F660" s="714">
        <v>8</v>
      </c>
    </row>
    <row r="661" spans="1:8">
      <c r="A661" s="955" t="s">
        <v>1776</v>
      </c>
      <c r="B661" s="956">
        <v>701497.64</v>
      </c>
      <c r="C661" s="962">
        <v>516741</v>
      </c>
      <c r="D661" s="957"/>
      <c r="E661" s="956">
        <v>184756.64</v>
      </c>
      <c r="F661" s="714">
        <v>8</v>
      </c>
    </row>
    <row r="662" spans="1:8">
      <c r="A662" s="915" t="s">
        <v>2640</v>
      </c>
      <c r="B662" s="943"/>
      <c r="C662" s="917">
        <v>1680569</v>
      </c>
      <c r="D662" s="918"/>
      <c r="E662" s="916">
        <v>1680569</v>
      </c>
      <c r="G662" s="868"/>
      <c r="H662" s="868"/>
    </row>
    <row r="663" spans="1:8">
      <c r="A663" s="911" t="s">
        <v>2641</v>
      </c>
      <c r="B663" s="904"/>
      <c r="C663" s="213">
        <v>1680569</v>
      </c>
      <c r="D663" s="908"/>
      <c r="E663" s="914">
        <v>1680569</v>
      </c>
    </row>
    <row r="664" spans="1:8">
      <c r="A664" s="946" t="s">
        <v>134</v>
      </c>
      <c r="B664" s="986">
        <v>117150</v>
      </c>
      <c r="C664" s="949"/>
      <c r="D664" s="949"/>
      <c r="E664" s="986">
        <v>117150</v>
      </c>
      <c r="F664" s="714">
        <v>11</v>
      </c>
    </row>
    <row r="665" spans="1:8">
      <c r="A665" s="950" t="s">
        <v>135</v>
      </c>
      <c r="B665" s="951">
        <v>116150</v>
      </c>
      <c r="C665" s="953"/>
      <c r="D665" s="953"/>
      <c r="E665" s="951">
        <v>116150</v>
      </c>
      <c r="F665" s="714">
        <v>11</v>
      </c>
    </row>
    <row r="666" spans="1:8">
      <c r="A666" s="950" t="s">
        <v>136</v>
      </c>
      <c r="B666" s="951">
        <v>1000</v>
      </c>
      <c r="C666" s="953"/>
      <c r="D666" s="953"/>
      <c r="E666" s="951">
        <v>1000</v>
      </c>
      <c r="F666" s="714">
        <v>11</v>
      </c>
    </row>
    <row r="667" spans="1:8" s="1014" customFormat="1">
      <c r="A667" s="1025" t="s">
        <v>137</v>
      </c>
      <c r="B667" s="525">
        <v>69208328.599999994</v>
      </c>
      <c r="C667" s="1027">
        <v>25061390.75</v>
      </c>
      <c r="D667" s="1027">
        <v>20826265</v>
      </c>
      <c r="E667" s="1026">
        <v>73443454.349999994</v>
      </c>
      <c r="H667" s="1014">
        <v>53847165.07</v>
      </c>
    </row>
    <row r="668" spans="1:8" s="1014" customFormat="1">
      <c r="A668" s="1021" t="s">
        <v>29</v>
      </c>
      <c r="B668" s="1028">
        <v>50792436.719999999</v>
      </c>
      <c r="C668" s="1029">
        <v>12767631.07</v>
      </c>
      <c r="D668" s="1029">
        <v>6091557</v>
      </c>
      <c r="E668" s="1028">
        <v>57468510.789999999</v>
      </c>
      <c r="F668" s="1014" t="s">
        <v>2664</v>
      </c>
    </row>
    <row r="669" spans="1:8" s="1014" customFormat="1">
      <c r="A669" s="1015" t="s">
        <v>906</v>
      </c>
      <c r="B669" s="1022">
        <v>50792436.719999999</v>
      </c>
      <c r="C669" s="1030">
        <v>12767631.07</v>
      </c>
      <c r="D669" s="1030">
        <v>6091557</v>
      </c>
      <c r="E669" s="1022">
        <v>57468510.789999999</v>
      </c>
      <c r="F669" s="1014" t="s">
        <v>2664</v>
      </c>
    </row>
    <row r="670" spans="1:8" s="1014" customFormat="1">
      <c r="A670" s="1021" t="s">
        <v>138</v>
      </c>
      <c r="B670" s="1023">
        <v>8943429.5299999993</v>
      </c>
      <c r="C670" s="1031">
        <v>4595275.68</v>
      </c>
      <c r="D670" s="1031">
        <v>6661367</v>
      </c>
      <c r="E670" s="1023">
        <v>6877338.21</v>
      </c>
      <c r="F670" s="1014" t="s">
        <v>2664</v>
      </c>
    </row>
    <row r="671" spans="1:8" s="1014" customFormat="1">
      <c r="A671" s="1015" t="s">
        <v>921</v>
      </c>
      <c r="B671" s="1022">
        <v>8943429.5299999993</v>
      </c>
      <c r="C671" s="1030">
        <v>4595275.68</v>
      </c>
      <c r="D671" s="1030">
        <v>6661367</v>
      </c>
      <c r="E671" s="1022">
        <v>6877338.21</v>
      </c>
      <c r="F671" s="1014" t="s">
        <v>2664</v>
      </c>
    </row>
    <row r="672" spans="1:8" s="1014" customFormat="1">
      <c r="A672" s="1015" t="s">
        <v>139</v>
      </c>
      <c r="B672" s="1019">
        <v>6136000</v>
      </c>
      <c r="C672" s="1017">
        <v>4654000</v>
      </c>
      <c r="D672" s="1017">
        <v>6136000</v>
      </c>
      <c r="E672" s="1019">
        <v>4654000</v>
      </c>
      <c r="F672" s="1014" t="s">
        <v>2664</v>
      </c>
    </row>
    <row r="673" spans="1:9" s="1014" customFormat="1">
      <c r="A673" s="1015" t="s">
        <v>2642</v>
      </c>
      <c r="B673" s="1019">
        <v>130000</v>
      </c>
      <c r="C673" s="1018"/>
      <c r="D673" s="1018"/>
      <c r="E673" s="1019">
        <v>130000</v>
      </c>
      <c r="F673" s="1014" t="s">
        <v>2664</v>
      </c>
    </row>
    <row r="674" spans="1:9" s="1014" customFormat="1">
      <c r="A674" s="1015" t="s">
        <v>140</v>
      </c>
      <c r="B674" s="1019">
        <v>40000</v>
      </c>
      <c r="C674" s="1018"/>
      <c r="D674" s="1018"/>
      <c r="E674" s="1019">
        <v>40000</v>
      </c>
      <c r="F674" s="1014" t="s">
        <v>2664</v>
      </c>
      <c r="H674" s="1032">
        <f>B669+B674+B675+B677+B678+B679+B680+B681+B682+B683+B685+H679</f>
        <v>53847165.07</v>
      </c>
      <c r="I674" s="1032">
        <f>H667-H674</f>
        <v>0</v>
      </c>
    </row>
    <row r="675" spans="1:9" s="1014" customFormat="1">
      <c r="A675" s="1015" t="s">
        <v>923</v>
      </c>
      <c r="B675" s="1019">
        <v>48000</v>
      </c>
      <c r="C675" s="1018"/>
      <c r="D675" s="1018"/>
      <c r="E675" s="1019">
        <v>48000</v>
      </c>
      <c r="F675" s="1014" t="s">
        <v>2664</v>
      </c>
      <c r="H675" s="1033"/>
    </row>
    <row r="676" spans="1:9" s="249" customFormat="1">
      <c r="A676" s="511" t="s">
        <v>141</v>
      </c>
      <c r="B676" s="582">
        <v>915700</v>
      </c>
      <c r="C676" s="231">
        <v>470000</v>
      </c>
      <c r="D676" s="1024"/>
      <c r="E676" s="582">
        <v>1385700</v>
      </c>
      <c r="F676" s="1014" t="s">
        <v>2664</v>
      </c>
      <c r="G676" s="1034" t="s">
        <v>2665</v>
      </c>
      <c r="H676" s="207">
        <f>SUM(E669:E685)</f>
        <v>80320792.559999987</v>
      </c>
    </row>
    <row r="677" spans="1:9" s="1014" customFormat="1">
      <c r="A677" s="1015" t="s">
        <v>142</v>
      </c>
      <c r="B677" s="1019">
        <v>9530</v>
      </c>
      <c r="C677" s="1018"/>
      <c r="D677" s="1018"/>
      <c r="E677" s="1019">
        <v>9530</v>
      </c>
      <c r="F677" s="1014" t="s">
        <v>2664</v>
      </c>
    </row>
    <row r="678" spans="1:9" s="1014" customFormat="1">
      <c r="A678" s="1015" t="s">
        <v>143</v>
      </c>
      <c r="B678" s="1019">
        <v>743926</v>
      </c>
      <c r="C678" s="1017">
        <v>407140</v>
      </c>
      <c r="D678" s="1017">
        <v>77500</v>
      </c>
      <c r="E678" s="1019">
        <v>1073566</v>
      </c>
      <c r="F678" s="1014" t="s">
        <v>2664</v>
      </c>
    </row>
    <row r="679" spans="1:9" s="1014" customFormat="1">
      <c r="A679" s="1015" t="s">
        <v>144</v>
      </c>
      <c r="B679" s="1019">
        <v>5500</v>
      </c>
      <c r="C679" s="1018"/>
      <c r="D679" s="1018"/>
      <c r="E679" s="1019">
        <v>5500</v>
      </c>
      <c r="F679" s="1014" t="s">
        <v>2664</v>
      </c>
      <c r="H679" s="1019">
        <v>940700</v>
      </c>
    </row>
    <row r="680" spans="1:9" s="1014" customFormat="1">
      <c r="A680" s="1015" t="s">
        <v>145</v>
      </c>
      <c r="B680" s="1019">
        <v>286113</v>
      </c>
      <c r="C680" s="1017">
        <v>29000</v>
      </c>
      <c r="D680" s="1018"/>
      <c r="E680" s="1019">
        <v>315113</v>
      </c>
      <c r="F680" s="1014" t="s">
        <v>2664</v>
      </c>
    </row>
    <row r="681" spans="1:9" s="1014" customFormat="1">
      <c r="A681" s="1015" t="s">
        <v>146</v>
      </c>
      <c r="B681" s="1019">
        <v>13150</v>
      </c>
      <c r="C681" s="1018"/>
      <c r="D681" s="1018"/>
      <c r="E681" s="1019">
        <v>13150</v>
      </c>
      <c r="F681" s="1014" t="s">
        <v>2664</v>
      </c>
      <c r="H681" s="1032"/>
    </row>
    <row r="682" spans="1:9" s="1014" customFormat="1">
      <c r="A682" s="1015" t="s">
        <v>147</v>
      </c>
      <c r="B682" s="1019">
        <v>610587</v>
      </c>
      <c r="C682" s="1017">
        <v>274900</v>
      </c>
      <c r="D682" s="1017">
        <v>209000</v>
      </c>
      <c r="E682" s="1019">
        <v>676487</v>
      </c>
      <c r="F682" s="1014" t="s">
        <v>2664</v>
      </c>
    </row>
    <row r="683" spans="1:9" s="1014" customFormat="1">
      <c r="A683" s="1015" t="s">
        <v>148</v>
      </c>
      <c r="B683" s="1019">
        <v>328640.34999999998</v>
      </c>
      <c r="C683" s="1018"/>
      <c r="D683" s="1017">
        <v>70040</v>
      </c>
      <c r="E683" s="1019">
        <v>258600.35</v>
      </c>
      <c r="F683" s="1014" t="s">
        <v>2664</v>
      </c>
    </row>
    <row r="684" spans="1:9" s="1014" customFormat="1">
      <c r="A684" s="1015" t="s">
        <v>149</v>
      </c>
      <c r="B684" s="1019">
        <v>176734</v>
      </c>
      <c r="C684" s="1017">
        <v>1863444</v>
      </c>
      <c r="D684" s="1017">
        <v>1580801</v>
      </c>
      <c r="E684" s="1019">
        <v>459377</v>
      </c>
      <c r="F684" s="1014" t="s">
        <v>2664</v>
      </c>
    </row>
    <row r="685" spans="1:9" s="1014" customFormat="1">
      <c r="A685" s="1015" t="s">
        <v>150</v>
      </c>
      <c r="B685" s="1019">
        <v>28582</v>
      </c>
      <c r="C685" s="1018"/>
      <c r="D685" s="1018"/>
      <c r="E685" s="1019">
        <v>28582</v>
      </c>
      <c r="F685" s="1014" t="s">
        <v>2664</v>
      </c>
    </row>
    <row r="686" spans="1:9">
      <c r="A686" s="946" t="s">
        <v>151</v>
      </c>
      <c r="B686" s="947">
        <v>265181020.06</v>
      </c>
      <c r="C686" s="948">
        <v>7147460</v>
      </c>
      <c r="D686" s="949"/>
      <c r="E686" s="926">
        <v>258033560.06</v>
      </c>
    </row>
    <row r="687" spans="1:9">
      <c r="A687" s="950" t="s">
        <v>152</v>
      </c>
      <c r="B687" s="951">
        <v>101851305</v>
      </c>
      <c r="C687" s="952">
        <v>7147460</v>
      </c>
      <c r="D687" s="953"/>
      <c r="E687" s="914">
        <v>108998765</v>
      </c>
      <c r="F687" s="714">
        <v>4</v>
      </c>
    </row>
    <row r="688" spans="1:9">
      <c r="A688" s="950" t="s">
        <v>153</v>
      </c>
      <c r="B688" s="951">
        <v>18382929</v>
      </c>
      <c r="C688" s="953"/>
      <c r="D688" s="953"/>
      <c r="E688" s="914">
        <v>18382929</v>
      </c>
      <c r="F688" s="714">
        <v>4</v>
      </c>
    </row>
    <row r="689" spans="1:6">
      <c r="A689" s="950" t="s">
        <v>154</v>
      </c>
      <c r="B689" s="954">
        <v>44374031.420000002</v>
      </c>
      <c r="C689" s="953"/>
      <c r="D689" s="953"/>
      <c r="E689" s="902">
        <v>44374031.420000002</v>
      </c>
      <c r="F689" s="714">
        <v>4</v>
      </c>
    </row>
    <row r="690" spans="1:6">
      <c r="A690" s="950" t="s">
        <v>155</v>
      </c>
      <c r="B690" s="954">
        <v>341041222.63999999</v>
      </c>
      <c r="C690" s="953"/>
      <c r="D690" s="953"/>
      <c r="E690" s="902">
        <v>341041222.63999999</v>
      </c>
      <c r="F690" s="714">
        <v>4</v>
      </c>
    </row>
    <row r="691" spans="1:6" s="515" customFormat="1">
      <c r="A691" s="946" t="s">
        <v>158</v>
      </c>
      <c r="B691" s="987"/>
      <c r="C691" s="948">
        <v>11200000</v>
      </c>
      <c r="D691" s="948">
        <v>25000000</v>
      </c>
      <c r="E691" s="947">
        <v>13800000</v>
      </c>
    </row>
    <row r="692" spans="1:6" s="515" customFormat="1">
      <c r="A692" s="988" t="s">
        <v>158</v>
      </c>
      <c r="B692" s="983"/>
      <c r="C692" s="952">
        <v>11200000</v>
      </c>
      <c r="D692" s="952">
        <v>25000000</v>
      </c>
      <c r="E692" s="954">
        <v>13800000</v>
      </c>
      <c r="F692" s="515" t="s">
        <v>2651</v>
      </c>
    </row>
    <row r="693" spans="1:6" s="515" customFormat="1">
      <c r="A693" s="946" t="s">
        <v>159</v>
      </c>
      <c r="B693" s="986">
        <v>11200000</v>
      </c>
      <c r="C693" s="948">
        <v>25000000</v>
      </c>
      <c r="D693" s="948">
        <v>11200000</v>
      </c>
      <c r="E693" s="986">
        <v>25000000</v>
      </c>
    </row>
    <row r="694" spans="1:6" s="515" customFormat="1">
      <c r="A694" s="950" t="s">
        <v>1223</v>
      </c>
      <c r="B694" s="951">
        <v>11200000</v>
      </c>
      <c r="C694" s="952">
        <v>25000000</v>
      </c>
      <c r="D694" s="952">
        <v>11200000</v>
      </c>
      <c r="E694" s="951">
        <v>25000000</v>
      </c>
      <c r="F694" s="515" t="s">
        <v>2651</v>
      </c>
    </row>
    <row r="695" spans="1:6">
      <c r="A695" s="212" t="s">
        <v>74</v>
      </c>
      <c r="B695" s="942">
        <v>252007668.34</v>
      </c>
      <c r="C695" s="904"/>
      <c r="D695" s="904"/>
      <c r="E695" s="942">
        <v>252007668.34</v>
      </c>
    </row>
    <row r="696" spans="1:6">
      <c r="A696" s="944" t="s">
        <v>75</v>
      </c>
      <c r="B696" s="945"/>
      <c r="C696" s="907">
        <v>1614958424.04</v>
      </c>
      <c r="D696" s="907">
        <v>1614958424.04</v>
      </c>
      <c r="E696" s="945"/>
    </row>
    <row r="1048350" spans="6:6">
      <c r="F1048350" s="714" t="s">
        <v>1158</v>
      </c>
    </row>
  </sheetData>
  <autoFilter ref="F17:G696" xr:uid="{00000000-0009-0000-0000-000028000000}"/>
  <mergeCells count="10">
    <mergeCell ref="A7:C7"/>
    <mergeCell ref="B8:E8"/>
    <mergeCell ref="B9:E9"/>
    <mergeCell ref="C10:D10"/>
    <mergeCell ref="A1:C1"/>
    <mergeCell ref="A2:C2"/>
    <mergeCell ref="A3:C3"/>
    <mergeCell ref="A4:C4"/>
    <mergeCell ref="A5:C5"/>
    <mergeCell ref="A6:C6"/>
  </mergeCells>
  <pageMargins left="0.7" right="0.7" top="0.75" bottom="0.75" header="0.3" footer="0.3"/>
  <pageSetup paperSize="9" orientation="portrait"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3:T56"/>
  <sheetViews>
    <sheetView zoomScaleNormal="100" workbookViewId="0">
      <pane ySplit="6" topLeftCell="A7" activePane="bottomLeft" state="frozen"/>
      <selection pane="bottomLeft" activeCell="C28" sqref="C28"/>
    </sheetView>
  </sheetViews>
  <sheetFormatPr defaultColWidth="8.5546875" defaultRowHeight="12"/>
  <cols>
    <col min="1" max="1" width="20.44140625" style="584" bestFit="1" customWidth="1"/>
    <col min="2" max="2" width="28.44140625" style="584" customWidth="1"/>
    <col min="3" max="3" width="18" style="585" bestFit="1" customWidth="1"/>
    <col min="4" max="4" width="10.44140625" style="584" customWidth="1"/>
    <col min="5" max="5" width="11.44140625" style="585" bestFit="1" customWidth="1"/>
    <col min="6" max="6" width="14.44140625" style="584" bestFit="1" customWidth="1"/>
    <col min="7" max="7" width="8.5546875" style="584" customWidth="1"/>
    <col min="8" max="8" width="11.5546875" style="584" customWidth="1"/>
    <col min="9" max="9" width="13.44140625" style="584" customWidth="1"/>
    <col min="10" max="10" width="14.44140625" style="584" bestFit="1" customWidth="1"/>
    <col min="11" max="11" width="15" style="585" customWidth="1"/>
    <col min="12" max="14" width="14.5546875" style="585" customWidth="1"/>
    <col min="15" max="16" width="8.5546875" style="584"/>
    <col min="17" max="17" width="34.44140625" style="584" bestFit="1" customWidth="1"/>
    <col min="18" max="19" width="0" style="584" hidden="1" customWidth="1"/>
    <col min="20" max="16384" width="8.5546875" style="584"/>
  </cols>
  <sheetData>
    <row r="3" spans="1:20">
      <c r="A3" s="3262" t="s">
        <v>2711</v>
      </c>
      <c r="B3" s="3262"/>
      <c r="C3" s="3262"/>
      <c r="D3" s="3262"/>
      <c r="E3" s="3262"/>
      <c r="F3" s="3262"/>
      <c r="G3" s="3262"/>
      <c r="H3" s="3262"/>
      <c r="I3" s="3262"/>
      <c r="J3" s="3262"/>
      <c r="K3" s="3262"/>
      <c r="L3" s="3262"/>
      <c r="M3" s="1056"/>
      <c r="N3" s="1056"/>
    </row>
    <row r="4" spans="1:20">
      <c r="A4" s="3263" t="s">
        <v>2389</v>
      </c>
      <c r="B4" s="3263"/>
      <c r="C4" s="3263"/>
      <c r="D4" s="3263"/>
      <c r="E4" s="3263"/>
      <c r="F4" s="3263"/>
      <c r="G4" s="3263"/>
      <c r="H4" s="3263"/>
      <c r="I4" s="3263"/>
      <c r="J4" s="3263"/>
      <c r="K4" s="3263"/>
      <c r="L4" s="3263"/>
      <c r="M4" s="1057"/>
      <c r="N4" s="1057"/>
    </row>
    <row r="5" spans="1:20">
      <c r="A5" s="1058">
        <v>44286</v>
      </c>
      <c r="B5" s="1059"/>
      <c r="C5" s="1060"/>
      <c r="D5" s="1059"/>
      <c r="E5" s="1060"/>
      <c r="F5" s="1061"/>
      <c r="G5" s="1059"/>
      <c r="H5" s="1059"/>
      <c r="I5" s="1061"/>
      <c r="J5" s="593"/>
      <c r="K5" s="594"/>
      <c r="L5" s="1062">
        <v>365</v>
      </c>
      <c r="M5" s="1063"/>
      <c r="N5" s="1063"/>
    </row>
    <row r="6" spans="1:20" ht="36">
      <c r="A6" s="1064" t="s">
        <v>2370</v>
      </c>
      <c r="B6" s="1064" t="s">
        <v>2371</v>
      </c>
      <c r="C6" s="1065" t="s">
        <v>2372</v>
      </c>
      <c r="D6" s="1064" t="s">
        <v>2373</v>
      </c>
      <c r="E6" s="1065" t="s">
        <v>2374</v>
      </c>
      <c r="F6" s="1066" t="s">
        <v>2375</v>
      </c>
      <c r="G6" s="1064" t="s">
        <v>2376</v>
      </c>
      <c r="H6" s="1064" t="s">
        <v>2377</v>
      </c>
      <c r="I6" s="1066" t="s">
        <v>2712</v>
      </c>
      <c r="J6" s="1066" t="s">
        <v>2713</v>
      </c>
      <c r="K6" s="1067" t="s">
        <v>2390</v>
      </c>
      <c r="L6" s="1067" t="s">
        <v>2378</v>
      </c>
      <c r="M6" s="1068"/>
      <c r="N6" s="1068"/>
    </row>
    <row r="7" spans="1:20">
      <c r="A7" s="1069" t="s">
        <v>2379</v>
      </c>
      <c r="B7" s="593"/>
      <c r="C7" s="604"/>
      <c r="D7" s="593"/>
      <c r="E7" s="604"/>
      <c r="F7" s="593"/>
      <c r="G7" s="593"/>
      <c r="H7" s="619"/>
      <c r="I7" s="1070"/>
      <c r="J7" s="622"/>
      <c r="K7" s="604"/>
      <c r="L7" s="604"/>
      <c r="M7" s="605"/>
      <c r="N7" s="605"/>
    </row>
    <row r="8" spans="1:20">
      <c r="A8" s="606">
        <v>43922</v>
      </c>
      <c r="B8" s="593" t="s">
        <v>2380</v>
      </c>
      <c r="C8" s="604">
        <v>34086.35</v>
      </c>
      <c r="D8" s="593">
        <v>10</v>
      </c>
      <c r="E8" s="604">
        <v>0</v>
      </c>
      <c r="F8" s="607">
        <f>+C8-E8</f>
        <v>34086.35</v>
      </c>
      <c r="G8" s="608">
        <f>+(F8/D8)/C8*100</f>
        <v>10</v>
      </c>
      <c r="H8" s="619">
        <f>+$A$5-A8</f>
        <v>364</v>
      </c>
      <c r="I8" s="607">
        <v>0</v>
      </c>
      <c r="J8" s="620">
        <f>+C8-I8</f>
        <v>34086.35</v>
      </c>
      <c r="K8" s="604">
        <v>647717</v>
      </c>
      <c r="L8" s="604">
        <v>0</v>
      </c>
      <c r="M8" s="605">
        <f>C8*G8/100</f>
        <v>3408.6350000000002</v>
      </c>
      <c r="N8" s="605"/>
    </row>
    <row r="9" spans="1:20" s="614" customFormat="1">
      <c r="A9" s="593"/>
      <c r="B9" s="593"/>
      <c r="C9" s="604">
        <f>SUM(C8:C8)</f>
        <v>34086.35</v>
      </c>
      <c r="D9" s="593"/>
      <c r="E9" s="604">
        <f>SUM(E8:E8)</f>
        <v>0</v>
      </c>
      <c r="F9" s="607">
        <f>SUM(F8:F8)</f>
        <v>34086.35</v>
      </c>
      <c r="G9" s="593"/>
      <c r="H9" s="619"/>
      <c r="I9" s="607">
        <f>SUM(I8:I8)</f>
        <v>0</v>
      </c>
      <c r="J9" s="620">
        <f>SUM(J8:J8)</f>
        <v>34086.35</v>
      </c>
      <c r="K9" s="604">
        <f>SUM(K8:K8)</f>
        <v>647717</v>
      </c>
      <c r="L9" s="604">
        <f>SUM(L8:L8)</f>
        <v>0</v>
      </c>
      <c r="M9" s="605"/>
      <c r="N9" s="605"/>
    </row>
    <row r="10" spans="1:20">
      <c r="A10" s="603" t="s">
        <v>1131</v>
      </c>
      <c r="B10" s="593"/>
      <c r="C10" s="604"/>
      <c r="D10" s="593"/>
      <c r="E10" s="604"/>
      <c r="F10" s="593"/>
      <c r="G10" s="593"/>
      <c r="H10" s="619"/>
      <c r="I10" s="593"/>
      <c r="J10" s="622"/>
      <c r="K10" s="604"/>
      <c r="L10" s="604"/>
      <c r="M10" s="605"/>
      <c r="N10" s="605"/>
      <c r="S10" s="615"/>
      <c r="T10" s="615"/>
    </row>
    <row r="11" spans="1:20">
      <c r="A11" s="624">
        <v>43922</v>
      </c>
      <c r="B11" s="625" t="s">
        <v>2381</v>
      </c>
      <c r="C11" s="626">
        <v>860479.8</v>
      </c>
      <c r="D11" s="625">
        <v>3</v>
      </c>
      <c r="E11" s="626">
        <v>0</v>
      </c>
      <c r="F11" s="627">
        <f>+C11-E11</f>
        <v>860479.8</v>
      </c>
      <c r="G11" s="628">
        <v>31.67</v>
      </c>
      <c r="H11" s="629">
        <f>365</f>
        <v>365</v>
      </c>
      <c r="I11" s="627">
        <f>+(C11*G11*H11/$L$5)/100</f>
        <v>272513.95266000001</v>
      </c>
      <c r="J11" s="630">
        <f>+C11-I11</f>
        <v>587965.84734000009</v>
      </c>
      <c r="K11" s="604">
        <v>2732869</v>
      </c>
      <c r="L11" s="604">
        <f>+I11-K11</f>
        <v>-2460355.04734</v>
      </c>
      <c r="M11" s="605">
        <f>C11*G11/100</f>
        <v>272513.95266000001</v>
      </c>
      <c r="N11" s="605"/>
      <c r="S11" s="615"/>
      <c r="T11" s="615"/>
    </row>
    <row r="12" spans="1:20">
      <c r="A12" s="624"/>
      <c r="B12" s="625"/>
      <c r="C12" s="626"/>
      <c r="D12" s="625"/>
      <c r="E12" s="626"/>
      <c r="F12" s="627"/>
      <c r="G12" s="628"/>
      <c r="H12" s="629"/>
      <c r="I12" s="627"/>
      <c r="J12" s="630"/>
      <c r="K12" s="604"/>
      <c r="L12" s="604"/>
      <c r="M12" s="605"/>
      <c r="N12" s="605"/>
      <c r="S12" s="615"/>
      <c r="T12" s="615"/>
    </row>
    <row r="13" spans="1:20">
      <c r="A13" s="624"/>
      <c r="B13" s="625"/>
      <c r="C13" s="626"/>
      <c r="D13" s="625"/>
      <c r="E13" s="626"/>
      <c r="F13" s="627"/>
      <c r="G13" s="628"/>
      <c r="H13" s="629"/>
      <c r="I13" s="627"/>
      <c r="J13" s="630"/>
      <c r="K13" s="604"/>
      <c r="L13" s="604"/>
      <c r="M13" s="605"/>
      <c r="N13" s="605"/>
      <c r="S13" s="615"/>
      <c r="T13" s="615"/>
    </row>
    <row r="14" spans="1:20">
      <c r="A14" s="606">
        <v>44092</v>
      </c>
      <c r="B14" s="593" t="s">
        <v>2381</v>
      </c>
      <c r="C14" s="604">
        <v>31750</v>
      </c>
      <c r="D14" s="593">
        <v>3</v>
      </c>
      <c r="E14" s="604">
        <f t="shared" ref="E14:E21" si="0">ROUND(+C14*0.05,1)</f>
        <v>1587.5</v>
      </c>
      <c r="F14" s="607">
        <f t="shared" ref="F14:F21" si="1">+C14-E14</f>
        <v>30162.5</v>
      </c>
      <c r="G14" s="608">
        <f>+(F14/D14)/C14*100</f>
        <v>31.666666666666664</v>
      </c>
      <c r="H14" s="1072">
        <f>+$A$5-A14</f>
        <v>194</v>
      </c>
      <c r="I14" s="607">
        <f>+(F14*G14*H14/$L$5)/100</f>
        <v>5076.6655251141547</v>
      </c>
      <c r="J14" s="620">
        <f t="shared" ref="J14:J21" si="2">+C14-I14</f>
        <v>26673.334474885844</v>
      </c>
      <c r="K14" s="604"/>
      <c r="L14" s="604"/>
      <c r="M14" s="605"/>
      <c r="N14" s="605"/>
      <c r="S14" s="615"/>
      <c r="T14" s="615"/>
    </row>
    <row r="15" spans="1:20">
      <c r="A15" s="606">
        <v>44094</v>
      </c>
      <c r="B15" s="593" t="s">
        <v>2381</v>
      </c>
      <c r="C15" s="604">
        <v>26400</v>
      </c>
      <c r="D15" s="593">
        <v>3</v>
      </c>
      <c r="E15" s="604">
        <f t="shared" si="0"/>
        <v>1320</v>
      </c>
      <c r="F15" s="607">
        <f t="shared" si="1"/>
        <v>25080</v>
      </c>
      <c r="G15" s="608">
        <f t="shared" ref="G15:G21" si="3">+(F15/D15)/C15*100</f>
        <v>31.666666666666664</v>
      </c>
      <c r="H15" s="1072">
        <f t="shared" ref="H15:H21" si="4">+$A$5-A15</f>
        <v>192</v>
      </c>
      <c r="I15" s="607">
        <f t="shared" ref="I15:I21" si="5">+(F15*G15*H15/$L$5)/100</f>
        <v>4177.7095890410947</v>
      </c>
      <c r="J15" s="620">
        <f t="shared" si="2"/>
        <v>22222.290410958907</v>
      </c>
      <c r="K15" s="604"/>
      <c r="L15" s="604"/>
      <c r="M15" s="605"/>
      <c r="N15" s="605"/>
      <c r="S15" s="615"/>
      <c r="T15" s="615"/>
    </row>
    <row r="16" spans="1:20">
      <c r="A16" s="606">
        <v>44190</v>
      </c>
      <c r="B16" s="593" t="s">
        <v>2381</v>
      </c>
      <c r="C16" s="604">
        <v>88800</v>
      </c>
      <c r="D16" s="593">
        <v>3</v>
      </c>
      <c r="E16" s="604">
        <f t="shared" si="0"/>
        <v>4440</v>
      </c>
      <c r="F16" s="607">
        <f t="shared" si="1"/>
        <v>84360</v>
      </c>
      <c r="G16" s="608">
        <f t="shared" si="3"/>
        <v>31.666666666666664</v>
      </c>
      <c r="H16" s="1072">
        <f t="shared" si="4"/>
        <v>96</v>
      </c>
      <c r="I16" s="607">
        <f t="shared" si="5"/>
        <v>7026.14794520548</v>
      </c>
      <c r="J16" s="620">
        <f t="shared" si="2"/>
        <v>81773.852054794523</v>
      </c>
      <c r="K16" s="604"/>
      <c r="L16" s="604"/>
      <c r="M16" s="605"/>
      <c r="N16" s="605"/>
      <c r="S16" s="615"/>
      <c r="T16" s="615"/>
    </row>
    <row r="17" spans="1:20">
      <c r="A17" s="606">
        <v>44232</v>
      </c>
      <c r="B17" s="593" t="s">
        <v>2381</v>
      </c>
      <c r="C17" s="604">
        <v>29000</v>
      </c>
      <c r="D17" s="593">
        <v>3</v>
      </c>
      <c r="E17" s="604">
        <f t="shared" si="0"/>
        <v>1450</v>
      </c>
      <c r="F17" s="607">
        <f t="shared" si="1"/>
        <v>27550</v>
      </c>
      <c r="G17" s="608">
        <f t="shared" si="3"/>
        <v>31.666666666666671</v>
      </c>
      <c r="H17" s="1072">
        <f t="shared" si="4"/>
        <v>54</v>
      </c>
      <c r="I17" s="607">
        <f t="shared" si="5"/>
        <v>1290.6986301369864</v>
      </c>
      <c r="J17" s="620">
        <f t="shared" si="2"/>
        <v>27709.301369863013</v>
      </c>
      <c r="K17" s="604"/>
      <c r="L17" s="604"/>
      <c r="M17" s="605"/>
      <c r="N17" s="605"/>
      <c r="S17" s="615"/>
      <c r="T17" s="615"/>
    </row>
    <row r="18" spans="1:20">
      <c r="A18" s="606">
        <v>44245</v>
      </c>
      <c r="B18" s="593" t="s">
        <v>2381</v>
      </c>
      <c r="C18" s="604">
        <v>30400</v>
      </c>
      <c r="D18" s="593">
        <v>3</v>
      </c>
      <c r="E18" s="604">
        <f t="shared" si="0"/>
        <v>1520</v>
      </c>
      <c r="F18" s="607">
        <f t="shared" si="1"/>
        <v>28880</v>
      </c>
      <c r="G18" s="608">
        <f t="shared" si="3"/>
        <v>31.666666666666664</v>
      </c>
      <c r="H18" s="1072">
        <f t="shared" si="4"/>
        <v>41</v>
      </c>
      <c r="I18" s="607">
        <f>+(F18*G18*H18/$L$5)/100</f>
        <v>1027.2840182648401</v>
      </c>
      <c r="J18" s="620">
        <f t="shared" si="2"/>
        <v>29372.71598173516</v>
      </c>
      <c r="K18" s="604"/>
      <c r="L18" s="604"/>
      <c r="M18" s="605"/>
      <c r="N18" s="605"/>
      <c r="S18" s="615"/>
      <c r="T18" s="615"/>
    </row>
    <row r="19" spans="1:20">
      <c r="A19" s="606">
        <v>44259</v>
      </c>
      <c r="B19" s="593" t="s">
        <v>2381</v>
      </c>
      <c r="C19" s="604">
        <v>19470</v>
      </c>
      <c r="D19" s="593">
        <v>3</v>
      </c>
      <c r="E19" s="604">
        <f t="shared" si="0"/>
        <v>973.5</v>
      </c>
      <c r="F19" s="607">
        <f t="shared" si="1"/>
        <v>18496.5</v>
      </c>
      <c r="G19" s="608">
        <f t="shared" si="3"/>
        <v>31.666666666666664</v>
      </c>
      <c r="H19" s="1072">
        <f t="shared" si="4"/>
        <v>27</v>
      </c>
      <c r="I19" s="607">
        <f t="shared" si="5"/>
        <v>433.27417808219178</v>
      </c>
      <c r="J19" s="620">
        <f t="shared" si="2"/>
        <v>19036.725821917807</v>
      </c>
      <c r="K19" s="604"/>
      <c r="L19" s="604"/>
      <c r="M19" s="605"/>
      <c r="N19" s="605"/>
      <c r="S19" s="615"/>
      <c r="T19" s="615"/>
    </row>
    <row r="20" spans="1:20">
      <c r="A20" s="606">
        <v>44264</v>
      </c>
      <c r="B20" s="593" t="s">
        <v>2381</v>
      </c>
      <c r="C20" s="604">
        <v>15989</v>
      </c>
      <c r="D20" s="593">
        <v>3</v>
      </c>
      <c r="E20" s="604">
        <f t="shared" si="0"/>
        <v>799.5</v>
      </c>
      <c r="F20" s="607">
        <f t="shared" si="1"/>
        <v>15189.5</v>
      </c>
      <c r="G20" s="608">
        <f t="shared" si="3"/>
        <v>31.66656242833615</v>
      </c>
      <c r="H20" s="1072">
        <f t="shared" si="4"/>
        <v>22</v>
      </c>
      <c r="I20" s="607">
        <f t="shared" si="5"/>
        <v>289.91735616752499</v>
      </c>
      <c r="J20" s="620">
        <f t="shared" si="2"/>
        <v>15699.082643832475</v>
      </c>
      <c r="K20" s="604"/>
      <c r="L20" s="604"/>
      <c r="M20" s="605"/>
      <c r="N20" s="605"/>
      <c r="S20" s="615"/>
      <c r="T20" s="615"/>
    </row>
    <row r="21" spans="1:20">
      <c r="A21" s="606">
        <v>44286</v>
      </c>
      <c r="B21" s="593" t="s">
        <v>2381</v>
      </c>
      <c r="C21" s="604">
        <v>13280</v>
      </c>
      <c r="D21" s="593">
        <v>3</v>
      </c>
      <c r="E21" s="604">
        <f t="shared" si="0"/>
        <v>664</v>
      </c>
      <c r="F21" s="607">
        <f t="shared" si="1"/>
        <v>12616</v>
      </c>
      <c r="G21" s="608">
        <f t="shared" si="3"/>
        <v>31.666666666666664</v>
      </c>
      <c r="H21" s="1072">
        <f t="shared" si="4"/>
        <v>0</v>
      </c>
      <c r="I21" s="607">
        <f t="shared" si="5"/>
        <v>0</v>
      </c>
      <c r="J21" s="620">
        <f t="shared" si="2"/>
        <v>13280</v>
      </c>
      <c r="K21" s="604"/>
      <c r="L21" s="604"/>
      <c r="M21" s="605"/>
      <c r="N21" s="605"/>
      <c r="S21" s="615"/>
      <c r="T21" s="615"/>
    </row>
    <row r="22" spans="1:20">
      <c r="A22" s="606"/>
      <c r="B22" s="593"/>
      <c r="C22" s="604"/>
      <c r="D22" s="593"/>
      <c r="E22" s="604"/>
      <c r="F22" s="607"/>
      <c r="G22" s="608"/>
      <c r="H22" s="619"/>
      <c r="I22" s="607"/>
      <c r="J22" s="620"/>
      <c r="K22" s="604"/>
      <c r="L22" s="604"/>
      <c r="M22" s="605"/>
      <c r="N22" s="605"/>
      <c r="S22" s="615"/>
      <c r="T22" s="615"/>
    </row>
    <row r="23" spans="1:20" s="614" customFormat="1">
      <c r="A23" s="610"/>
      <c r="B23" s="610"/>
      <c r="C23" s="611">
        <f>SUM(C11:C22)</f>
        <v>1115568.8</v>
      </c>
      <c r="D23" s="610"/>
      <c r="E23" s="611">
        <f>SUM(E11:E22)</f>
        <v>12754.5</v>
      </c>
      <c r="F23" s="612">
        <f>SUM(F11:F22)</f>
        <v>1102814.3</v>
      </c>
      <c r="G23" s="610"/>
      <c r="H23" s="621"/>
      <c r="I23" s="612">
        <f>SUM(I11:I22)</f>
        <v>291835.64990201226</v>
      </c>
      <c r="J23" s="623">
        <f>SUM(J11:J22)</f>
        <v>823733.15009798773</v>
      </c>
      <c r="K23" s="611">
        <f>SUM(K11:K11)</f>
        <v>2732869</v>
      </c>
      <c r="L23" s="611">
        <f>SUM(L11:L11)</f>
        <v>-2460355.04734</v>
      </c>
      <c r="M23" s="613"/>
      <c r="N23" s="613"/>
    </row>
    <row r="24" spans="1:20">
      <c r="A24" s="593"/>
      <c r="B24" s="593"/>
      <c r="C24" s="604"/>
      <c r="D24" s="593"/>
      <c r="E24" s="604"/>
      <c r="F24" s="593"/>
      <c r="G24" s="593"/>
      <c r="H24" s="619"/>
      <c r="I24" s="593"/>
      <c r="J24" s="622"/>
      <c r="K24" s="604"/>
      <c r="L24" s="604"/>
      <c r="M24" s="605"/>
      <c r="N24" s="605"/>
    </row>
    <row r="25" spans="1:20">
      <c r="A25" s="603" t="s">
        <v>2382</v>
      </c>
      <c r="B25" s="593"/>
      <c r="C25" s="604"/>
      <c r="D25" s="593"/>
      <c r="E25" s="604"/>
      <c r="F25" s="593"/>
      <c r="G25" s="593"/>
      <c r="H25" s="619"/>
      <c r="I25" s="593"/>
      <c r="J25" s="622"/>
      <c r="K25" s="604"/>
      <c r="L25" s="604"/>
      <c r="M25" s="605"/>
      <c r="N25" s="605"/>
    </row>
    <row r="26" spans="1:20">
      <c r="A26" s="624">
        <v>43922</v>
      </c>
      <c r="B26" s="625" t="s">
        <v>2383</v>
      </c>
      <c r="C26" s="626">
        <v>47646870.630000003</v>
      </c>
      <c r="D26" s="625">
        <v>15</v>
      </c>
      <c r="E26" s="626">
        <v>0</v>
      </c>
      <c r="F26" s="627">
        <f t="shared" ref="F26:F37" si="6">+C26-E26</f>
        <v>47646870.630000003</v>
      </c>
      <c r="G26" s="628">
        <v>6.33</v>
      </c>
      <c r="H26" s="629">
        <f t="shared" ref="H26:H37" si="7">+$A$5-A26</f>
        <v>364</v>
      </c>
      <c r="I26" s="627">
        <f>+(C26*G26*H26/$L$5)/100</f>
        <v>3007783.7686574142</v>
      </c>
      <c r="J26" s="630">
        <f t="shared" ref="J26:J32" si="8">+C26-I26</f>
        <v>44639086.861342587</v>
      </c>
      <c r="K26" s="604">
        <v>74314728</v>
      </c>
      <c r="L26" s="604">
        <f>+I26-K26</f>
        <v>-71306944.231342584</v>
      </c>
      <c r="M26" s="605">
        <f t="shared" ref="M26:M35" si="9">C26*G26/100</f>
        <v>3016046.9108790006</v>
      </c>
      <c r="N26" s="605"/>
      <c r="O26" s="615"/>
      <c r="P26" s="615"/>
    </row>
    <row r="27" spans="1:20">
      <c r="A27" s="624"/>
      <c r="B27" s="625"/>
      <c r="C27" s="626"/>
      <c r="D27" s="625"/>
      <c r="E27" s="626"/>
      <c r="F27" s="627"/>
      <c r="G27" s="628"/>
      <c r="H27" s="629"/>
      <c r="I27" s="627"/>
      <c r="J27" s="630"/>
      <c r="K27" s="604"/>
      <c r="L27" s="604"/>
      <c r="M27" s="605"/>
      <c r="N27" s="605"/>
      <c r="O27" s="615"/>
      <c r="P27" s="615"/>
    </row>
    <row r="28" spans="1:20">
      <c r="A28" s="606">
        <v>43922</v>
      </c>
      <c r="B28" s="593" t="s">
        <v>2383</v>
      </c>
      <c r="C28" s="604">
        <v>-313644</v>
      </c>
      <c r="D28" s="593">
        <v>15</v>
      </c>
      <c r="E28" s="604">
        <f t="shared" ref="E28:E37" si="10">ROUND(+C28*0.05,1)</f>
        <v>-15682.2</v>
      </c>
      <c r="F28" s="607">
        <f t="shared" si="6"/>
        <v>-297961.8</v>
      </c>
      <c r="G28" s="608">
        <f t="shared" ref="G28:G37" si="11">+(F28/D28)/C28*100</f>
        <v>6.3333333333333321</v>
      </c>
      <c r="H28" s="619">
        <f t="shared" si="7"/>
        <v>364</v>
      </c>
      <c r="I28" s="607">
        <f>+(F28*G28*H28/$L$5)/100</f>
        <v>-18819.212865753423</v>
      </c>
      <c r="J28" s="620">
        <f t="shared" si="8"/>
        <v>-294824.78713424655</v>
      </c>
      <c r="K28" s="604"/>
      <c r="L28" s="604"/>
      <c r="M28" s="605">
        <f t="shared" si="9"/>
        <v>-19864.119999999995</v>
      </c>
      <c r="N28" s="605"/>
      <c r="O28" s="615"/>
      <c r="P28" s="615"/>
    </row>
    <row r="29" spans="1:20">
      <c r="A29" s="606">
        <v>44020</v>
      </c>
      <c r="B29" s="593" t="s">
        <v>2383</v>
      </c>
      <c r="C29" s="604">
        <v>1062000</v>
      </c>
      <c r="D29" s="593">
        <v>15</v>
      </c>
      <c r="E29" s="604">
        <f t="shared" si="10"/>
        <v>53100</v>
      </c>
      <c r="F29" s="607">
        <f t="shared" si="6"/>
        <v>1008900</v>
      </c>
      <c r="G29" s="608">
        <f t="shared" si="11"/>
        <v>6.3333333333333339</v>
      </c>
      <c r="H29" s="619">
        <f t="shared" si="7"/>
        <v>266</v>
      </c>
      <c r="I29" s="607">
        <f t="shared" ref="I29:I37" si="12">+(F29*G29*H29/$L$5)/100</f>
        <v>46566.032876712336</v>
      </c>
      <c r="J29" s="620">
        <f t="shared" si="8"/>
        <v>1015433.9671232876</v>
      </c>
      <c r="K29" s="604"/>
      <c r="L29" s="604"/>
      <c r="M29" s="605">
        <f t="shared" si="9"/>
        <v>67260.000000000015</v>
      </c>
      <c r="N29" s="605"/>
    </row>
    <row r="30" spans="1:20">
      <c r="A30" s="606">
        <v>44072</v>
      </c>
      <c r="B30" s="593" t="s">
        <v>2383</v>
      </c>
      <c r="C30" s="594">
        <v>22267</v>
      </c>
      <c r="D30" s="609">
        <v>15</v>
      </c>
      <c r="E30" s="594">
        <f>ROUND(+C30*0.05,1)</f>
        <v>1113.4000000000001</v>
      </c>
      <c r="F30" s="1073">
        <f>+C30-E30</f>
        <v>21153.599999999999</v>
      </c>
      <c r="G30" s="1074">
        <f>+(F30/D30)/C30*100</f>
        <v>6.3333183634975514</v>
      </c>
      <c r="H30" s="1075">
        <f>+$A$5-A30</f>
        <v>214</v>
      </c>
      <c r="I30" s="607">
        <f t="shared" si="12"/>
        <v>785.4825050272193</v>
      </c>
      <c r="J30" s="1076">
        <f>+C30-I30</f>
        <v>21481.517494972781</v>
      </c>
      <c r="K30" s="594"/>
      <c r="L30" s="594"/>
      <c r="M30" s="605">
        <f t="shared" si="9"/>
        <v>1410.2399999999998</v>
      </c>
      <c r="N30" s="605"/>
    </row>
    <row r="31" spans="1:20">
      <c r="A31" s="606">
        <v>44095</v>
      </c>
      <c r="B31" s="593" t="s">
        <v>2383</v>
      </c>
      <c r="C31" s="604">
        <v>5048</v>
      </c>
      <c r="D31" s="593">
        <v>15</v>
      </c>
      <c r="E31" s="604">
        <f>ROUND(+C31*0.05,1)</f>
        <v>252.4</v>
      </c>
      <c r="F31" s="607">
        <f>+C31-E31</f>
        <v>4795.6000000000004</v>
      </c>
      <c r="G31" s="608">
        <f>+(F31/D31)/C31*100</f>
        <v>6.3333333333333339</v>
      </c>
      <c r="H31" s="619">
        <f>+$A$5-A31</f>
        <v>191</v>
      </c>
      <c r="I31" s="607">
        <f t="shared" si="12"/>
        <v>158.93362922374433</v>
      </c>
      <c r="J31" s="620">
        <f>+C31-I31</f>
        <v>4889.066370776256</v>
      </c>
      <c r="K31" s="604">
        <v>0</v>
      </c>
      <c r="L31" s="604"/>
      <c r="M31" s="605">
        <f t="shared" si="9"/>
        <v>319.70666666666671</v>
      </c>
      <c r="N31" s="605"/>
    </row>
    <row r="32" spans="1:20">
      <c r="A32" s="606">
        <v>44111</v>
      </c>
      <c r="B32" s="593" t="s">
        <v>2383</v>
      </c>
      <c r="C32" s="604">
        <v>224200</v>
      </c>
      <c r="D32" s="593">
        <v>15</v>
      </c>
      <c r="E32" s="604">
        <f>ROUND(+C32*0.05,1)</f>
        <v>11210</v>
      </c>
      <c r="F32" s="607">
        <f t="shared" si="6"/>
        <v>212990</v>
      </c>
      <c r="G32" s="608">
        <f t="shared" si="11"/>
        <v>6.3333333333333339</v>
      </c>
      <c r="H32" s="593">
        <f t="shared" si="7"/>
        <v>175</v>
      </c>
      <c r="I32" s="607">
        <f t="shared" si="12"/>
        <v>6467.5045662100465</v>
      </c>
      <c r="J32" s="607">
        <f t="shared" si="8"/>
        <v>217732.49543378994</v>
      </c>
      <c r="K32" s="604">
        <v>0</v>
      </c>
      <c r="L32" s="604"/>
      <c r="M32" s="605">
        <f t="shared" si="9"/>
        <v>14199.333333333336</v>
      </c>
      <c r="N32" s="605"/>
    </row>
    <row r="33" spans="1:14">
      <c r="A33" s="606">
        <v>44140</v>
      </c>
      <c r="B33" s="593" t="s">
        <v>2383</v>
      </c>
      <c r="C33" s="604">
        <v>224200</v>
      </c>
      <c r="D33" s="593">
        <v>15</v>
      </c>
      <c r="E33" s="604">
        <f>ROUND(+C33*0.05,1)</f>
        <v>11210</v>
      </c>
      <c r="F33" s="607">
        <f>+C33-E33</f>
        <v>212990</v>
      </c>
      <c r="G33" s="608">
        <f>+(F33/D33)/C33*100</f>
        <v>6.3333333333333339</v>
      </c>
      <c r="H33" s="593">
        <f>+$A$5-A33</f>
        <v>146</v>
      </c>
      <c r="I33" s="607">
        <f t="shared" si="12"/>
        <v>5395.7466666666678</v>
      </c>
      <c r="J33" s="607">
        <f>+C33-I33</f>
        <v>218804.25333333333</v>
      </c>
      <c r="K33" s="604">
        <v>0</v>
      </c>
      <c r="L33" s="604"/>
      <c r="M33" s="605">
        <f t="shared" si="9"/>
        <v>14199.333333333336</v>
      </c>
      <c r="N33" s="605"/>
    </row>
    <row r="34" spans="1:14">
      <c r="A34" s="606">
        <v>44194</v>
      </c>
      <c r="B34" s="593" t="s">
        <v>2383</v>
      </c>
      <c r="C34" s="604">
        <v>555190</v>
      </c>
      <c r="D34" s="593">
        <v>15</v>
      </c>
      <c r="E34" s="604">
        <f>ROUND(+C34*0.05,1)</f>
        <v>27759.5</v>
      </c>
      <c r="F34" s="607">
        <f>+C34-E34</f>
        <v>527430.5</v>
      </c>
      <c r="G34" s="608">
        <f>+(F34/D34)/C34*100</f>
        <v>6.3333333333333339</v>
      </c>
      <c r="H34" s="593">
        <f>+$A$5-A34</f>
        <v>92</v>
      </c>
      <c r="I34" s="607">
        <f t="shared" si="12"/>
        <v>8419.6211324200922</v>
      </c>
      <c r="J34" s="607">
        <f>+C34-I34</f>
        <v>546770.37886757986</v>
      </c>
      <c r="K34" s="604">
        <v>0</v>
      </c>
      <c r="L34" s="604"/>
      <c r="M34" s="605">
        <f t="shared" si="9"/>
        <v>35162.033333333333</v>
      </c>
      <c r="N34" s="605"/>
    </row>
    <row r="35" spans="1:14">
      <c r="A35" s="606">
        <v>44272</v>
      </c>
      <c r="B35" s="593" t="s">
        <v>2383</v>
      </c>
      <c r="C35" s="604">
        <v>359900</v>
      </c>
      <c r="D35" s="593">
        <v>15</v>
      </c>
      <c r="E35" s="604">
        <f t="shared" si="10"/>
        <v>17995</v>
      </c>
      <c r="F35" s="607">
        <f t="shared" si="6"/>
        <v>341905</v>
      </c>
      <c r="G35" s="608">
        <f t="shared" si="11"/>
        <v>6.3333333333333339</v>
      </c>
      <c r="H35" s="593">
        <f t="shared" si="7"/>
        <v>14</v>
      </c>
      <c r="I35" s="607">
        <f t="shared" si="12"/>
        <v>830.56374429223752</v>
      </c>
      <c r="J35" s="607">
        <f>+C35-I35</f>
        <v>359069.43625570775</v>
      </c>
      <c r="K35" s="604">
        <v>0</v>
      </c>
      <c r="L35" s="604"/>
      <c r="M35" s="605">
        <f t="shared" si="9"/>
        <v>22793.666666666672</v>
      </c>
      <c r="N35" s="605"/>
    </row>
    <row r="36" spans="1:14">
      <c r="A36" s="606">
        <v>44276</v>
      </c>
      <c r="B36" s="593" t="s">
        <v>2383</v>
      </c>
      <c r="C36" s="604">
        <v>7000</v>
      </c>
      <c r="D36" s="593">
        <v>15</v>
      </c>
      <c r="E36" s="604">
        <f t="shared" si="10"/>
        <v>350</v>
      </c>
      <c r="F36" s="607">
        <f t="shared" si="6"/>
        <v>6650</v>
      </c>
      <c r="G36" s="608">
        <f t="shared" si="11"/>
        <v>6.3333333333333321</v>
      </c>
      <c r="H36" s="593">
        <f t="shared" si="7"/>
        <v>10</v>
      </c>
      <c r="I36" s="607">
        <f t="shared" si="12"/>
        <v>11.538812785388124</v>
      </c>
      <c r="J36" s="607">
        <f>+C36-I36</f>
        <v>6988.4611872146115</v>
      </c>
      <c r="K36" s="604"/>
      <c r="L36" s="604"/>
      <c r="M36" s="605"/>
      <c r="N36" s="605"/>
    </row>
    <row r="37" spans="1:14">
      <c r="A37" s="606">
        <v>44279</v>
      </c>
      <c r="B37" s="593" t="s">
        <v>2383</v>
      </c>
      <c r="C37" s="604">
        <v>1395972</v>
      </c>
      <c r="D37" s="593">
        <v>15</v>
      </c>
      <c r="E37" s="604">
        <f t="shared" si="10"/>
        <v>69798.600000000006</v>
      </c>
      <c r="F37" s="607">
        <f t="shared" si="6"/>
        <v>1326173.3999999999</v>
      </c>
      <c r="G37" s="608">
        <f t="shared" si="11"/>
        <v>6.3333333333333321</v>
      </c>
      <c r="H37" s="593">
        <f t="shared" si="7"/>
        <v>7</v>
      </c>
      <c r="I37" s="607">
        <f t="shared" si="12"/>
        <v>1610.7859561643832</v>
      </c>
      <c r="J37" s="607">
        <f>+C37-I37</f>
        <v>1394361.2140438356</v>
      </c>
      <c r="K37" s="604"/>
      <c r="L37" s="604"/>
      <c r="M37" s="605"/>
      <c r="N37" s="605"/>
    </row>
    <row r="38" spans="1:14" s="614" customFormat="1">
      <c r="A38" s="610"/>
      <c r="B38" s="610"/>
      <c r="C38" s="611">
        <f>SUM(C26:C37)</f>
        <v>51189003.630000003</v>
      </c>
      <c r="D38" s="611"/>
      <c r="E38" s="611">
        <f>SUM(E26:E37)</f>
        <v>177106.7</v>
      </c>
      <c r="F38" s="611">
        <f>SUM(F26:F37)</f>
        <v>51011896.930000007</v>
      </c>
      <c r="G38" s="611"/>
      <c r="H38" s="611"/>
      <c r="I38" s="611">
        <f>SUM(I26:I37)</f>
        <v>3059210.765681162</v>
      </c>
      <c r="J38" s="611">
        <f>SUM(J26:J37)</f>
        <v>48129792.864318833</v>
      </c>
      <c r="K38" s="611">
        <f>SUM(K26:K37)</f>
        <v>74314728</v>
      </c>
      <c r="L38" s="611">
        <f>SUM(L26:L37)</f>
        <v>-71306944.231342584</v>
      </c>
      <c r="M38" s="613"/>
      <c r="N38" s="613"/>
    </row>
    <row r="39" spans="1:14">
      <c r="A39" s="593"/>
      <c r="B39" s="593"/>
      <c r="C39" s="604"/>
      <c r="D39" s="593"/>
      <c r="E39" s="604"/>
      <c r="F39" s="593"/>
      <c r="G39" s="593"/>
      <c r="H39" s="593"/>
      <c r="I39" s="593"/>
      <c r="J39" s="593"/>
      <c r="K39" s="604"/>
      <c r="L39" s="604"/>
      <c r="M39" s="605"/>
      <c r="N39" s="605"/>
    </row>
    <row r="40" spans="1:14">
      <c r="A40" s="603" t="s">
        <v>2384</v>
      </c>
      <c r="B40" s="593"/>
      <c r="C40" s="604"/>
      <c r="D40" s="593"/>
      <c r="E40" s="604"/>
      <c r="F40" s="593"/>
      <c r="G40" s="593"/>
      <c r="H40" s="593"/>
      <c r="I40" s="593"/>
      <c r="J40" s="593"/>
      <c r="K40" s="604"/>
      <c r="L40" s="604"/>
      <c r="M40" s="605"/>
      <c r="N40" s="605"/>
    </row>
    <row r="41" spans="1:14">
      <c r="A41" s="624">
        <v>43922</v>
      </c>
      <c r="B41" s="625" t="s">
        <v>942</v>
      </c>
      <c r="C41" s="626">
        <f>4549138.48+77282</f>
        <v>4626420.4800000004</v>
      </c>
      <c r="D41" s="625">
        <v>8</v>
      </c>
      <c r="E41" s="626">
        <v>3864</v>
      </c>
      <c r="F41" s="627">
        <f>+C41-E41</f>
        <v>4622556.4800000004</v>
      </c>
      <c r="G41" s="628">
        <v>11.88</v>
      </c>
      <c r="H41" s="625">
        <f>365</f>
        <v>365</v>
      </c>
      <c r="I41" s="627">
        <f>+(C41*G41*H41/$L$5)/100</f>
        <v>549618.75302400009</v>
      </c>
      <c r="J41" s="627">
        <f>+C41-I41</f>
        <v>4076801.7269760002</v>
      </c>
      <c r="K41" s="604">
        <v>7918611</v>
      </c>
      <c r="L41" s="604">
        <f>+I41-K41</f>
        <v>-7368992.2469760003</v>
      </c>
      <c r="M41" s="605"/>
      <c r="N41" s="605"/>
    </row>
    <row r="42" spans="1:14">
      <c r="A42" s="624"/>
      <c r="B42" s="625"/>
      <c r="C42" s="626"/>
      <c r="D42" s="625"/>
      <c r="E42" s="626"/>
      <c r="F42" s="627"/>
      <c r="G42" s="628"/>
      <c r="H42" s="625"/>
      <c r="I42" s="627"/>
      <c r="J42" s="627"/>
      <c r="K42" s="604"/>
      <c r="L42" s="604"/>
      <c r="M42" s="605"/>
      <c r="N42" s="605"/>
    </row>
    <row r="43" spans="1:14">
      <c r="A43" s="606"/>
      <c r="B43" s="593"/>
      <c r="C43" s="604"/>
      <c r="D43" s="593"/>
      <c r="E43" s="604"/>
      <c r="F43" s="607"/>
      <c r="G43" s="608"/>
      <c r="H43" s="593"/>
      <c r="I43" s="607"/>
      <c r="J43" s="607">
        <f>+C43-I43</f>
        <v>0</v>
      </c>
      <c r="K43" s="604"/>
      <c r="L43" s="604">
        <f>+I43-K43</f>
        <v>0</v>
      </c>
      <c r="M43" s="605"/>
      <c r="N43" s="605"/>
    </row>
    <row r="44" spans="1:14">
      <c r="A44" s="610"/>
      <c r="B44" s="610"/>
      <c r="C44" s="611">
        <f>SUM(C41:C43)</f>
        <v>4626420.4800000004</v>
      </c>
      <c r="D44" s="610"/>
      <c r="E44" s="611">
        <f>SUM(E41:E43)</f>
        <v>3864</v>
      </c>
      <c r="F44" s="612">
        <f>SUM(F41:F43)</f>
        <v>4622556.4800000004</v>
      </c>
      <c r="G44" s="610"/>
      <c r="H44" s="610"/>
      <c r="I44" s="612">
        <f>SUM(I41:I43)</f>
        <v>549618.75302400009</v>
      </c>
      <c r="J44" s="612">
        <f>SUM(J41:J43)</f>
        <v>4076801.7269760002</v>
      </c>
      <c r="K44" s="611">
        <f>SUM(K41:K43)</f>
        <v>7918611</v>
      </c>
      <c r="L44" s="611">
        <f>SUM(L41:L43)</f>
        <v>-7368992.2469760003</v>
      </c>
      <c r="M44" s="605"/>
      <c r="N44" s="605"/>
    </row>
    <row r="45" spans="1:14">
      <c r="A45" s="593" t="s">
        <v>2385</v>
      </c>
      <c r="B45" s="593"/>
      <c r="C45" s="604"/>
      <c r="D45" s="593"/>
      <c r="E45" s="604"/>
      <c r="F45" s="593"/>
      <c r="G45" s="593"/>
      <c r="H45" s="593"/>
      <c r="I45" s="612"/>
      <c r="J45" s="593"/>
      <c r="K45" s="611"/>
      <c r="L45" s="611"/>
      <c r="M45" s="605"/>
      <c r="N45" s="605"/>
    </row>
    <row r="46" spans="1:14">
      <c r="A46" s="606">
        <v>43556</v>
      </c>
      <c r="B46" s="593" t="s">
        <v>2386</v>
      </c>
      <c r="C46" s="594">
        <v>868251</v>
      </c>
      <c r="D46" s="609"/>
      <c r="E46" s="594">
        <v>0</v>
      </c>
      <c r="F46" s="1073">
        <f>+C46-E46</f>
        <v>868251</v>
      </c>
      <c r="G46" s="609"/>
      <c r="H46" s="609"/>
      <c r="I46" s="1077">
        <v>0</v>
      </c>
      <c r="J46" s="1073">
        <f>+C46-I46</f>
        <v>868251</v>
      </c>
      <c r="K46" s="1078">
        <v>0</v>
      </c>
      <c r="L46" s="594">
        <v>0</v>
      </c>
      <c r="M46" s="605"/>
      <c r="N46" s="605"/>
    </row>
    <row r="47" spans="1:14">
      <c r="A47" s="610"/>
      <c r="B47" s="610"/>
      <c r="C47" s="611">
        <f>SUM(C46)</f>
        <v>868251</v>
      </c>
      <c r="D47" s="610"/>
      <c r="E47" s="611">
        <f>SUM(E46)</f>
        <v>0</v>
      </c>
      <c r="F47" s="612">
        <f>SUM(F46)</f>
        <v>868251</v>
      </c>
      <c r="G47" s="610"/>
      <c r="H47" s="610"/>
      <c r="I47" s="612">
        <f>SUM(I46)</f>
        <v>0</v>
      </c>
      <c r="J47" s="612">
        <f>SUM(J46)</f>
        <v>868251</v>
      </c>
      <c r="K47" s="611">
        <f>SUM(K46)</f>
        <v>0</v>
      </c>
      <c r="L47" s="611">
        <f>SUM(L46)</f>
        <v>0</v>
      </c>
      <c r="M47" s="605"/>
      <c r="N47" s="605"/>
    </row>
    <row r="48" spans="1:14">
      <c r="A48" s="609"/>
      <c r="B48" s="609"/>
      <c r="C48" s="594"/>
      <c r="D48" s="609"/>
      <c r="E48" s="594"/>
      <c r="F48" s="609"/>
      <c r="G48" s="609"/>
      <c r="H48" s="609"/>
      <c r="I48" s="609"/>
      <c r="J48" s="609"/>
      <c r="K48" s="594"/>
      <c r="L48" s="594"/>
      <c r="M48" s="605"/>
      <c r="N48" s="605"/>
    </row>
    <row r="49" spans="1:14">
      <c r="A49" s="3264" t="s">
        <v>2387</v>
      </c>
      <c r="B49" s="3265"/>
      <c r="C49" s="616">
        <f>+C47+C44+C38+C23+C9</f>
        <v>57833330.259999998</v>
      </c>
      <c r="D49" s="617"/>
      <c r="E49" s="616">
        <f>+E47+E44+E38+E23+E9</f>
        <v>193725.2</v>
      </c>
      <c r="F49" s="616">
        <f>+F47+F44+F38+F23+F9</f>
        <v>57639605.06000001</v>
      </c>
      <c r="G49" s="617"/>
      <c r="H49" s="617"/>
      <c r="I49" s="616">
        <f>+I47+I44+I38+I23+I9</f>
        <v>3900665.1686071744</v>
      </c>
      <c r="J49" s="616">
        <f>+J47+J44+J38+J23+J9</f>
        <v>53932665.091392823</v>
      </c>
      <c r="K49" s="616">
        <f>+K47+K44+K38+K23+K9</f>
        <v>85613925</v>
      </c>
      <c r="L49" s="616">
        <f>+L47+L44+L38+L23+L9</f>
        <v>-81136291.525658593</v>
      </c>
      <c r="M49" s="605"/>
      <c r="N49" s="605"/>
    </row>
    <row r="50" spans="1:14">
      <c r="F50" s="618"/>
      <c r="I50" s="585"/>
      <c r="M50" s="605"/>
      <c r="N50" s="605"/>
    </row>
    <row r="51" spans="1:14" s="614" customFormat="1">
      <c r="A51" s="584"/>
      <c r="B51" s="618"/>
      <c r="C51" s="585"/>
      <c r="D51" s="618"/>
      <c r="E51" s="585"/>
      <c r="F51" s="584"/>
      <c r="G51" s="584"/>
      <c r="H51" s="584"/>
      <c r="I51" s="618"/>
      <c r="J51" s="584"/>
      <c r="K51" s="585"/>
      <c r="L51" s="585"/>
      <c r="M51" s="613"/>
      <c r="N51" s="613"/>
    </row>
    <row r="52" spans="1:14">
      <c r="B52" s="618"/>
      <c r="D52" s="618"/>
      <c r="M52" s="613"/>
      <c r="N52" s="613"/>
    </row>
    <row r="53" spans="1:14">
      <c r="B53" s="618"/>
      <c r="D53" s="618"/>
      <c r="M53" s="605"/>
      <c r="N53" s="605"/>
    </row>
    <row r="54" spans="1:14" s="614" customFormat="1">
      <c r="A54" s="584"/>
      <c r="B54" s="618"/>
      <c r="C54" s="585"/>
      <c r="D54" s="584"/>
      <c r="E54" s="585"/>
      <c r="F54" s="584"/>
      <c r="G54" s="584"/>
      <c r="H54" s="584"/>
      <c r="I54" s="584"/>
      <c r="J54" s="584"/>
      <c r="K54" s="585"/>
      <c r="L54" s="585"/>
      <c r="M54" s="613"/>
      <c r="N54" s="613"/>
    </row>
    <row r="55" spans="1:14">
      <c r="M55" s="605"/>
      <c r="N55" s="605"/>
    </row>
    <row r="56" spans="1:14" s="614" customFormat="1">
      <c r="A56" s="584"/>
      <c r="B56" s="584"/>
      <c r="C56" s="585"/>
      <c r="D56" s="584"/>
      <c r="E56" s="585"/>
      <c r="F56" s="584"/>
      <c r="G56" s="584"/>
      <c r="H56" s="584"/>
      <c r="I56" s="584"/>
      <c r="J56" s="584"/>
      <c r="K56" s="585"/>
      <c r="L56" s="585"/>
      <c r="M56" s="613"/>
      <c r="N56" s="613"/>
    </row>
  </sheetData>
  <mergeCells count="3">
    <mergeCell ref="A3:L3"/>
    <mergeCell ref="A4:L4"/>
    <mergeCell ref="A49:B49"/>
  </mergeCells>
  <pageMargins left="0.7" right="0.7" top="0.75" bottom="0.75" header="0.3" footer="0.3"/>
  <pageSetup orientation="portrait" horizontalDpi="300" verticalDpi="3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02"/>
  <sheetViews>
    <sheetView topLeftCell="A7" workbookViewId="0">
      <selection activeCell="F14" sqref="F14"/>
    </sheetView>
  </sheetViews>
  <sheetFormatPr defaultColWidth="9.44140625" defaultRowHeight="16.2"/>
  <cols>
    <col min="1" max="1" width="9.44140625" style="1473"/>
    <col min="2" max="2" width="66" style="1473" customWidth="1"/>
    <col min="3" max="3" width="24.44140625" style="1473" customWidth="1"/>
    <col min="4" max="4" width="23" style="1473" bestFit="1" customWidth="1"/>
    <col min="5" max="5" width="55" style="1473" customWidth="1"/>
    <col min="6" max="6" width="23" style="1473" bestFit="1" customWidth="1"/>
    <col min="7" max="7" width="9.44140625" style="1473"/>
    <col min="8" max="8" width="24.5546875" style="1474" customWidth="1"/>
    <col min="9" max="16384" width="9.44140625" style="1473"/>
  </cols>
  <sheetData>
    <row r="1" spans="2:6">
      <c r="B1" s="3268" t="s">
        <v>2974</v>
      </c>
      <c r="C1" s="3268"/>
    </row>
    <row r="2" spans="2:6">
      <c r="B2" s="3269" t="s">
        <v>98</v>
      </c>
      <c r="C2" s="3269"/>
    </row>
    <row r="3" spans="2:6">
      <c r="B3" s="3270" t="s">
        <v>1329</v>
      </c>
      <c r="C3" s="3270"/>
      <c r="E3" s="1473" t="s">
        <v>2975</v>
      </c>
    </row>
    <row r="4" spans="2:6">
      <c r="B4" s="3270" t="s">
        <v>2517</v>
      </c>
      <c r="C4" s="3270"/>
    </row>
    <row r="5" spans="2:6">
      <c r="B5" s="1475"/>
      <c r="C5" s="1476"/>
    </row>
    <row r="6" spans="2:6" ht="16.5" customHeight="1">
      <c r="B6" s="3266" t="s">
        <v>2976</v>
      </c>
      <c r="C6" s="3267"/>
      <c r="E6" s="3266" t="s">
        <v>2977</v>
      </c>
      <c r="F6" s="3267"/>
    </row>
    <row r="7" spans="2:6">
      <c r="B7" s="1475"/>
      <c r="C7" s="1476"/>
    </row>
    <row r="8" spans="2:6">
      <c r="B8" s="1475"/>
      <c r="C8" s="1476" t="s">
        <v>2978</v>
      </c>
      <c r="F8" s="1473" t="s">
        <v>2979</v>
      </c>
    </row>
    <row r="9" spans="2:6">
      <c r="B9" s="1477" t="s">
        <v>2019</v>
      </c>
      <c r="C9" s="1478">
        <v>1256079.28</v>
      </c>
      <c r="E9" s="1477" t="s">
        <v>2017</v>
      </c>
      <c r="F9" s="1478">
        <v>1309800</v>
      </c>
    </row>
    <row r="10" spans="2:6">
      <c r="B10" s="1477" t="s">
        <v>1721</v>
      </c>
      <c r="C10" s="1478">
        <v>535232.31999999995</v>
      </c>
      <c r="E10" s="1477" t="s">
        <v>732</v>
      </c>
      <c r="F10" s="1478">
        <v>155431</v>
      </c>
    </row>
    <row r="11" spans="2:6">
      <c r="B11" s="1477" t="s">
        <v>2608</v>
      </c>
      <c r="C11" s="1478">
        <v>3142070</v>
      </c>
      <c r="E11" s="1477" t="s">
        <v>733</v>
      </c>
      <c r="F11" s="1478">
        <v>236250</v>
      </c>
    </row>
    <row r="12" spans="2:6">
      <c r="B12" s="1477" t="s">
        <v>2344</v>
      </c>
      <c r="C12" s="1478">
        <v>113711</v>
      </c>
      <c r="E12" s="1477" t="s">
        <v>734</v>
      </c>
      <c r="F12" s="1478">
        <v>545590</v>
      </c>
    </row>
    <row r="13" spans="2:6">
      <c r="B13" s="1477" t="s">
        <v>2024</v>
      </c>
      <c r="C13" s="1478">
        <v>5231469.8600000003</v>
      </c>
      <c r="E13" s="1477" t="s">
        <v>1263</v>
      </c>
      <c r="F13" s="1478">
        <v>1020296</v>
      </c>
    </row>
    <row r="14" spans="2:6">
      <c r="B14" s="1477" t="s">
        <v>2609</v>
      </c>
      <c r="C14" s="1478">
        <v>6199458.1600000001</v>
      </c>
      <c r="E14" s="1477" t="s">
        <v>736</v>
      </c>
      <c r="F14" s="1478">
        <v>1765600</v>
      </c>
    </row>
    <row r="15" spans="2:6">
      <c r="B15" s="1477" t="s">
        <v>2610</v>
      </c>
      <c r="C15" s="1478">
        <v>4437546.1399999997</v>
      </c>
      <c r="E15" s="1477" t="s">
        <v>737</v>
      </c>
      <c r="F15" s="1478">
        <v>626800</v>
      </c>
    </row>
    <row r="16" spans="2:6">
      <c r="B16" s="1477" t="s">
        <v>2613</v>
      </c>
      <c r="C16" s="1478">
        <v>2249.2399999999998</v>
      </c>
      <c r="E16" s="1477" t="s">
        <v>2020</v>
      </c>
      <c r="F16" s="1478">
        <v>15442.74</v>
      </c>
    </row>
    <row r="17" spans="2:6">
      <c r="B17" s="1477" t="s">
        <v>2026</v>
      </c>
      <c r="C17" s="1478">
        <v>49614.66</v>
      </c>
      <c r="E17" s="1477" t="s">
        <v>2022</v>
      </c>
      <c r="F17" s="1478">
        <v>90615.34</v>
      </c>
    </row>
    <row r="18" spans="2:6">
      <c r="B18" s="1477" t="s">
        <v>2347</v>
      </c>
      <c r="C18" s="1478">
        <v>197169.17</v>
      </c>
      <c r="E18" s="1477" t="s">
        <v>1335</v>
      </c>
      <c r="F18" s="1478">
        <v>1132133.6599999999</v>
      </c>
    </row>
    <row r="19" spans="2:6">
      <c r="B19" s="1477" t="s">
        <v>2614</v>
      </c>
      <c r="C19" s="1478">
        <v>5679812.0199999996</v>
      </c>
      <c r="E19" s="1477" t="s">
        <v>1064</v>
      </c>
      <c r="F19" s="1478">
        <v>219102</v>
      </c>
    </row>
    <row r="20" spans="2:6">
      <c r="B20" s="1477" t="s">
        <v>2351</v>
      </c>
      <c r="C20" s="1478">
        <v>655297.56999999995</v>
      </c>
      <c r="E20" s="1477" t="s">
        <v>2343</v>
      </c>
      <c r="F20" s="1478">
        <v>2484378</v>
      </c>
    </row>
    <row r="21" spans="2:6">
      <c r="B21" s="1477" t="s">
        <v>2615</v>
      </c>
      <c r="C21" s="1478">
        <v>2557875.2400000002</v>
      </c>
      <c r="E21" s="1477" t="s">
        <v>750</v>
      </c>
      <c r="F21" s="1478">
        <v>1262140</v>
      </c>
    </row>
    <row r="22" spans="2:6">
      <c r="B22" s="1477" t="s">
        <v>2352</v>
      </c>
      <c r="C22" s="1478">
        <v>259182.98</v>
      </c>
      <c r="E22" s="1477" t="s">
        <v>753</v>
      </c>
      <c r="F22" s="1478">
        <v>607145.86</v>
      </c>
    </row>
    <row r="23" spans="2:6">
      <c r="B23" s="1477" t="s">
        <v>2616</v>
      </c>
      <c r="C23" s="1478">
        <v>1770800</v>
      </c>
      <c r="E23" s="1477" t="s">
        <v>2027</v>
      </c>
      <c r="F23" s="1478">
        <v>192591.64</v>
      </c>
    </row>
    <row r="24" spans="2:6">
      <c r="B24" s="1477" t="s">
        <v>2353</v>
      </c>
      <c r="C24" s="1478">
        <v>1861653.8</v>
      </c>
      <c r="E24" s="1477" t="s">
        <v>1256</v>
      </c>
      <c r="F24" s="1478">
        <v>328423.65999999997</v>
      </c>
    </row>
    <row r="25" spans="2:6">
      <c r="B25" s="1477" t="s">
        <v>2617</v>
      </c>
      <c r="C25" s="1478">
        <v>1505040</v>
      </c>
      <c r="E25" s="1477" t="s">
        <v>1728</v>
      </c>
      <c r="F25" s="1478">
        <v>924102.08</v>
      </c>
    </row>
    <row r="26" spans="2:6">
      <c r="B26" s="1477" t="s">
        <v>2619</v>
      </c>
      <c r="C26" s="1478">
        <v>4391693.84</v>
      </c>
      <c r="E26" s="1477" t="s">
        <v>778</v>
      </c>
      <c r="F26" s="1478">
        <v>718081</v>
      </c>
    </row>
    <row r="27" spans="2:6">
      <c r="B27" s="1477" t="s">
        <v>2030</v>
      </c>
      <c r="C27" s="1478">
        <v>186939.4</v>
      </c>
      <c r="E27" s="1477" t="s">
        <v>1255</v>
      </c>
      <c r="F27" s="1478">
        <v>127610</v>
      </c>
    </row>
    <row r="28" spans="2:6">
      <c r="B28" s="1477" t="s">
        <v>2031</v>
      </c>
      <c r="C28" s="1478">
        <v>2760246.51</v>
      </c>
      <c r="E28" s="1477" t="s">
        <v>1254</v>
      </c>
      <c r="F28" s="1478">
        <v>1183593</v>
      </c>
    </row>
    <row r="29" spans="2:6">
      <c r="B29" s="1477" t="s">
        <v>2357</v>
      </c>
      <c r="C29" s="1478">
        <v>834923</v>
      </c>
      <c r="E29" s="1477" t="s">
        <v>1248</v>
      </c>
      <c r="F29" s="1478">
        <v>517480</v>
      </c>
    </row>
    <row r="30" spans="2:6">
      <c r="B30" s="1477" t="s">
        <v>2358</v>
      </c>
      <c r="C30" s="1478">
        <v>744627.16</v>
      </c>
      <c r="E30" s="1477" t="s">
        <v>1501</v>
      </c>
      <c r="F30" s="1478">
        <v>494165.96</v>
      </c>
    </row>
    <row r="31" spans="2:6">
      <c r="B31" s="1477" t="s">
        <v>2359</v>
      </c>
      <c r="C31" s="1478">
        <v>1290726.79</v>
      </c>
    </row>
    <row r="32" spans="2:6">
      <c r="B32" s="1477" t="s">
        <v>2360</v>
      </c>
      <c r="C32" s="1478">
        <v>825000</v>
      </c>
    </row>
    <row r="33" spans="1:8" ht="21.75" customHeight="1" thickBot="1">
      <c r="C33" s="1479">
        <f>SUM(C9:C32)</f>
        <v>46488418.139999993</v>
      </c>
      <c r="F33" s="1479">
        <f>SUM(F9:F32)</f>
        <v>15956771.940000001</v>
      </c>
      <c r="H33" s="1479">
        <f>C33+F35</f>
        <v>62445190.079999998</v>
      </c>
    </row>
    <row r="34" spans="1:8" ht="16.8" thickTop="1">
      <c r="E34" s="1473" t="s">
        <v>1540</v>
      </c>
      <c r="F34" s="1482">
        <v>0</v>
      </c>
    </row>
    <row r="35" spans="1:8">
      <c r="F35" s="1489">
        <f>F33-F34</f>
        <v>15956771.940000001</v>
      </c>
    </row>
    <row r="37" spans="1:8">
      <c r="B37" s="1480" t="s">
        <v>2980</v>
      </c>
      <c r="F37" s="1473" t="s">
        <v>2979</v>
      </c>
    </row>
    <row r="38" spans="1:8">
      <c r="C38" s="1481" t="s">
        <v>2979</v>
      </c>
    </row>
    <row r="39" spans="1:8">
      <c r="A39" s="1473">
        <v>1</v>
      </c>
      <c r="B39" s="1473" t="s">
        <v>2981</v>
      </c>
      <c r="C39" s="1473">
        <v>360000</v>
      </c>
      <c r="E39" s="1473" t="s">
        <v>2982</v>
      </c>
      <c r="F39" s="1482">
        <f>C39/118*100-0.01</f>
        <v>305084.73576271185</v>
      </c>
    </row>
    <row r="40" spans="1:8">
      <c r="E40" s="1473" t="s">
        <v>2741</v>
      </c>
      <c r="F40" s="1482">
        <f>F39*9%</f>
        <v>27457.626218644065</v>
      </c>
    </row>
    <row r="41" spans="1:8">
      <c r="E41" s="1473" t="s">
        <v>2742</v>
      </c>
      <c r="F41" s="1482">
        <f>F39*9%</f>
        <v>27457.626218644065</v>
      </c>
    </row>
    <row r="42" spans="1:8" ht="16.8" thickBot="1">
      <c r="F42" s="1483">
        <f>SUM(F39:F41)+0.01</f>
        <v>359999.99820000003</v>
      </c>
    </row>
    <row r="43" spans="1:8" ht="16.8" thickTop="1">
      <c r="F43" s="1484"/>
    </row>
    <row r="44" spans="1:8">
      <c r="A44" s="1473">
        <v>2</v>
      </c>
      <c r="B44" s="1473" t="s">
        <v>2983</v>
      </c>
      <c r="C44" s="1473">
        <v>376638</v>
      </c>
      <c r="E44" s="1473" t="s">
        <v>2982</v>
      </c>
      <c r="F44" s="1482">
        <f>C44/118*100-0.01</f>
        <v>319184.73576271185</v>
      </c>
    </row>
    <row r="45" spans="1:8">
      <c r="E45" s="1473" t="s">
        <v>2984</v>
      </c>
      <c r="F45" s="1482">
        <f>F44*9%</f>
        <v>28726.626218644065</v>
      </c>
    </row>
    <row r="46" spans="1:8">
      <c r="E46" s="1473" t="s">
        <v>2985</v>
      </c>
      <c r="F46" s="1482">
        <f>F44*9%</f>
        <v>28726.626218644065</v>
      </c>
    </row>
    <row r="47" spans="1:8" ht="16.8" thickBot="1">
      <c r="F47" s="1483">
        <f>SUM(F44:F46)+0.01</f>
        <v>376637.99820000003</v>
      </c>
    </row>
    <row r="48" spans="1:8" ht="16.8" thickTop="1"/>
    <row r="49" spans="1:6">
      <c r="A49" s="1473">
        <v>3</v>
      </c>
      <c r="B49" s="1473" t="s">
        <v>2986</v>
      </c>
      <c r="C49" s="1473">
        <v>55773</v>
      </c>
      <c r="E49" s="1473" t="s">
        <v>2982</v>
      </c>
      <c r="F49" s="1482">
        <f>C49/118*100+0.01</f>
        <v>47265.264237288138</v>
      </c>
    </row>
    <row r="50" spans="1:6">
      <c r="E50" s="1473" t="s">
        <v>2984</v>
      </c>
      <c r="F50" s="1482">
        <f>F49*9%</f>
        <v>4253.8737813559319</v>
      </c>
    </row>
    <row r="51" spans="1:6">
      <c r="E51" s="1473" t="s">
        <v>2985</v>
      </c>
      <c r="F51" s="1482">
        <f>F49*9%</f>
        <v>4253.8737813559319</v>
      </c>
    </row>
    <row r="52" spans="1:6" ht="16.8" thickBot="1">
      <c r="F52" s="1483">
        <f>SUM(F49:F51)-0.01</f>
        <v>55773.001800000005</v>
      </c>
    </row>
    <row r="53" spans="1:6" ht="16.8" thickTop="1"/>
    <row r="54" spans="1:6">
      <c r="A54" s="1473">
        <v>4</v>
      </c>
      <c r="B54" s="1473" t="s">
        <v>2987</v>
      </c>
      <c r="C54" s="1473">
        <v>1414800</v>
      </c>
      <c r="E54" s="1473" t="s">
        <v>2982</v>
      </c>
      <c r="F54" s="1482">
        <f>C54/118*100+0.01</f>
        <v>1198983.0608474577</v>
      </c>
    </row>
    <row r="55" spans="1:6">
      <c r="E55" s="1473" t="s">
        <v>1773</v>
      </c>
      <c r="F55" s="1482">
        <f>F54*9%</f>
        <v>107908.4754762712</v>
      </c>
    </row>
    <row r="56" spans="1:6">
      <c r="E56" s="1473" t="s">
        <v>1774</v>
      </c>
      <c r="F56" s="1482">
        <f>F54*9%</f>
        <v>107908.4754762712</v>
      </c>
    </row>
    <row r="57" spans="1:6" ht="16.8" thickBot="1">
      <c r="F57" s="1483">
        <f>SUM(F54:F56)-0.01</f>
        <v>1414800.0018000002</v>
      </c>
    </row>
    <row r="58" spans="1:6" ht="16.8" thickTop="1"/>
    <row r="59" spans="1:6">
      <c r="A59" s="1473">
        <v>5</v>
      </c>
      <c r="B59" s="1473" t="s">
        <v>2988</v>
      </c>
      <c r="C59" s="1473">
        <v>485000</v>
      </c>
      <c r="E59" s="1473" t="s">
        <v>2982</v>
      </c>
      <c r="F59" s="1482">
        <f>C59/118*100-0.01</f>
        <v>411016.93915254239</v>
      </c>
    </row>
    <row r="60" spans="1:6">
      <c r="E60" s="1473" t="s">
        <v>2989</v>
      </c>
      <c r="F60" s="1482">
        <f>F59*9%</f>
        <v>36991.524523728811</v>
      </c>
    </row>
    <row r="61" spans="1:6">
      <c r="E61" s="1473" t="s">
        <v>2990</v>
      </c>
      <c r="F61" s="1482">
        <f>F59*9%</f>
        <v>36991.524523728811</v>
      </c>
    </row>
    <row r="62" spans="1:6" ht="16.8" thickBot="1">
      <c r="F62" s="1483">
        <f>SUM(F59:F61)+0.01</f>
        <v>484999.99820000003</v>
      </c>
    </row>
    <row r="63" spans="1:6" ht="16.8" thickTop="1">
      <c r="F63" s="1484"/>
    </row>
    <row r="64" spans="1:6">
      <c r="A64" s="1473">
        <v>6</v>
      </c>
      <c r="B64" s="1473" t="s">
        <v>2991</v>
      </c>
      <c r="C64" s="1473">
        <v>400000</v>
      </c>
      <c r="F64" s="1482">
        <f>C64/118*100+0.01</f>
        <v>338983.06084745761</v>
      </c>
    </row>
    <row r="65" spans="2:8">
      <c r="F65" s="1482">
        <f>F64*9%</f>
        <v>30508.475476271185</v>
      </c>
    </row>
    <row r="66" spans="2:8">
      <c r="F66" s="1482">
        <f>F64*9%</f>
        <v>30508.475476271185</v>
      </c>
    </row>
    <row r="67" spans="2:8" ht="16.8" thickBot="1">
      <c r="C67" s="1485">
        <f>SUM(C39:C66)</f>
        <v>3092211</v>
      </c>
      <c r="F67" s="1483">
        <f>SUM(F64:F66)-0.01</f>
        <v>400000.00179999997</v>
      </c>
      <c r="H67" s="1479">
        <f>F42+F47+F52+F57+F62+F67</f>
        <v>3092211</v>
      </c>
    </row>
    <row r="68" spans="2:8" ht="16.8" thickTop="1"/>
    <row r="70" spans="2:8" ht="20.25" customHeight="1" thickBot="1">
      <c r="B70" s="1486" t="s">
        <v>2992</v>
      </c>
      <c r="C70" s="1486" t="s">
        <v>2993</v>
      </c>
      <c r="D70" s="1486" t="s">
        <v>2994</v>
      </c>
    </row>
    <row r="71" spans="2:8" ht="16.8" thickTop="1">
      <c r="C71" s="1481" t="s">
        <v>2979</v>
      </c>
      <c r="D71" s="1481" t="s">
        <v>2979</v>
      </c>
    </row>
    <row r="72" spans="2:8">
      <c r="B72" s="1487">
        <v>43922</v>
      </c>
      <c r="C72" s="1473">
        <v>198150</v>
      </c>
      <c r="D72" s="1473">
        <v>157288</v>
      </c>
    </row>
    <row r="73" spans="2:8">
      <c r="B73" s="1473" t="s">
        <v>2995</v>
      </c>
      <c r="C73" s="1473">
        <v>167433</v>
      </c>
      <c r="D73" s="1473">
        <v>131074</v>
      </c>
    </row>
    <row r="74" spans="2:8">
      <c r="B74" s="1473" t="s">
        <v>2996</v>
      </c>
      <c r="C74" s="1473">
        <v>167433</v>
      </c>
      <c r="D74" s="1473">
        <v>131073</v>
      </c>
    </row>
    <row r="75" spans="2:8">
      <c r="B75" s="1473" t="s">
        <v>2997</v>
      </c>
      <c r="C75" s="1473">
        <v>167433</v>
      </c>
      <c r="D75" s="1473">
        <v>131073</v>
      </c>
    </row>
    <row r="76" spans="2:8">
      <c r="B76" s="1473" t="s">
        <v>2998</v>
      </c>
      <c r="C76" s="1473">
        <v>196198</v>
      </c>
      <c r="D76" s="1473">
        <v>155488</v>
      </c>
    </row>
    <row r="77" spans="2:8">
      <c r="B77" s="1473" t="s">
        <v>2999</v>
      </c>
      <c r="C77" s="1473">
        <v>198148</v>
      </c>
      <c r="D77" s="1473">
        <v>157288</v>
      </c>
    </row>
    <row r="78" spans="2:8">
      <c r="B78" s="1473" t="s">
        <v>3000</v>
      </c>
      <c r="C78" s="1473">
        <v>197286</v>
      </c>
      <c r="D78" s="1473">
        <v>156492</v>
      </c>
    </row>
    <row r="79" spans="2:8">
      <c r="B79" s="1473" t="s">
        <v>3001</v>
      </c>
      <c r="C79" s="1473">
        <v>194947</v>
      </c>
      <c r="D79" s="1473">
        <v>154334</v>
      </c>
    </row>
    <row r="80" spans="2:8">
      <c r="B80" s="1473" t="s">
        <v>3002</v>
      </c>
      <c r="C80" s="1473">
        <v>189695</v>
      </c>
      <c r="D80" s="1473">
        <v>149485</v>
      </c>
    </row>
    <row r="81" spans="2:4">
      <c r="B81" s="1473" t="s">
        <v>3003</v>
      </c>
      <c r="C81" s="1473">
        <v>191644</v>
      </c>
      <c r="D81" s="1473">
        <v>151284</v>
      </c>
    </row>
    <row r="82" spans="2:4">
      <c r="B82" s="1473" t="s">
        <v>3004</v>
      </c>
      <c r="C82" s="1473">
        <v>188444</v>
      </c>
      <c r="D82" s="1473">
        <v>148330</v>
      </c>
    </row>
    <row r="83" spans="2:4">
      <c r="B83" s="1473" t="s">
        <v>3005</v>
      </c>
      <c r="C83" s="1473">
        <v>192033</v>
      </c>
      <c r="D83" s="1473">
        <v>151643</v>
      </c>
    </row>
    <row r="84" spans="2:4" ht="16.8" thickBot="1">
      <c r="C84" s="1485">
        <f>SUM(C72:C83)</f>
        <v>2248844</v>
      </c>
      <c r="D84" s="1485">
        <f>SUM(D72:D83)</f>
        <v>1774852</v>
      </c>
    </row>
    <row r="85" spans="2:4" ht="16.8" thickTop="1"/>
    <row r="86" spans="2:4">
      <c r="C86" s="1473" t="s">
        <v>3006</v>
      </c>
      <c r="D86" s="1480">
        <f>C84+D84</f>
        <v>4023696</v>
      </c>
    </row>
    <row r="87" spans="2:4">
      <c r="C87" s="1473" t="s">
        <v>3007</v>
      </c>
      <c r="D87" s="1480">
        <f>31130420-D86</f>
        <v>27106724</v>
      </c>
    </row>
    <row r="88" spans="2:4" ht="16.8" thickBot="1">
      <c r="D88" s="1479">
        <f>SUM(D86:D87)</f>
        <v>31130420</v>
      </c>
    </row>
    <row r="89" spans="2:4" ht="16.8" thickTop="1"/>
    <row r="93" spans="2:4">
      <c r="C93" s="1473" t="s">
        <v>3008</v>
      </c>
      <c r="D93" s="1473">
        <f>D84</f>
        <v>1774852</v>
      </c>
    </row>
    <row r="94" spans="2:4">
      <c r="C94" s="1473" t="s">
        <v>3009</v>
      </c>
      <c r="D94" s="1473">
        <f>[33]Sheet1!$F$21</f>
        <v>163494</v>
      </c>
    </row>
    <row r="95" spans="2:4">
      <c r="C95" s="1473" t="s">
        <v>3010</v>
      </c>
    </row>
    <row r="96" spans="2:4">
      <c r="C96" s="1473" t="s">
        <v>3011</v>
      </c>
    </row>
    <row r="97" spans="2:4">
      <c r="C97" s="1473" t="s">
        <v>3012</v>
      </c>
    </row>
    <row r="98" spans="2:4">
      <c r="C98" s="1473" t="s">
        <v>3013</v>
      </c>
      <c r="D98" s="1488">
        <f>[33]Sheet1!$D$21</f>
        <v>310500</v>
      </c>
    </row>
    <row r="99" spans="2:4">
      <c r="C99" s="1473" t="s">
        <v>78</v>
      </c>
      <c r="D99" s="1473">
        <f>SUM(D93:D98)</f>
        <v>2248846</v>
      </c>
    </row>
    <row r="102" spans="2:4">
      <c r="B102" s="1473" t="s">
        <v>3014</v>
      </c>
    </row>
  </sheetData>
  <mergeCells count="6">
    <mergeCell ref="E6:F6"/>
    <mergeCell ref="B1:C1"/>
    <mergeCell ref="B2:C2"/>
    <mergeCell ref="B3:C3"/>
    <mergeCell ref="B4:C4"/>
    <mergeCell ref="B6:C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42"/>
  <sheetViews>
    <sheetView workbookViewId="0">
      <selection sqref="A1:C1"/>
    </sheetView>
  </sheetViews>
  <sheetFormatPr defaultRowHeight="14.4"/>
  <cols>
    <col min="1" max="1" width="26.5546875" bestFit="1" customWidth="1"/>
    <col min="3" max="3" width="8.44140625" bestFit="1" customWidth="1"/>
    <col min="6" max="6" width="9.44140625" bestFit="1" customWidth="1"/>
  </cols>
  <sheetData>
    <row r="1" spans="1:3" ht="15.6">
      <c r="A1" s="2702" t="s">
        <v>1284</v>
      </c>
      <c r="B1" s="2702"/>
      <c r="C1" s="2702"/>
    </row>
    <row r="2" spans="1:3">
      <c r="A2" s="2700" t="s">
        <v>1329</v>
      </c>
      <c r="B2" s="2700"/>
      <c r="C2" s="2700"/>
    </row>
    <row r="3" spans="1:3">
      <c r="A3" s="2700" t="s">
        <v>3167</v>
      </c>
      <c r="B3" s="2700"/>
      <c r="C3" s="2700"/>
    </row>
    <row r="4" spans="1:3">
      <c r="A4" s="10" t="s">
        <v>82</v>
      </c>
      <c r="B4" s="2703" t="s">
        <v>1284</v>
      </c>
      <c r="C4" s="2703"/>
    </row>
    <row r="5" spans="1:3">
      <c r="A5" s="118" t="s">
        <v>82</v>
      </c>
      <c r="B5" s="2704" t="s">
        <v>1667</v>
      </c>
      <c r="C5" s="2705"/>
    </row>
    <row r="6" spans="1:3">
      <c r="A6" s="11" t="s">
        <v>1</v>
      </c>
      <c r="B6" s="3273" t="s">
        <v>3167</v>
      </c>
      <c r="C6" s="2907"/>
    </row>
    <row r="7" spans="1:3">
      <c r="A7" s="11" t="s">
        <v>82</v>
      </c>
      <c r="B7" s="3271" t="s">
        <v>20</v>
      </c>
      <c r="C7" s="3272"/>
    </row>
    <row r="8" spans="1:3">
      <c r="A8" s="12" t="s">
        <v>82</v>
      </c>
      <c r="B8" s="101" t="s">
        <v>66</v>
      </c>
      <c r="C8" s="101" t="s">
        <v>67</v>
      </c>
    </row>
    <row r="9" spans="1:3">
      <c r="A9" s="2" t="s">
        <v>2280</v>
      </c>
      <c r="B9" s="95"/>
      <c r="C9" s="112">
        <v>3500</v>
      </c>
    </row>
    <row r="10" spans="1:3">
      <c r="A10" s="2" t="s">
        <v>2281</v>
      </c>
      <c r="B10" s="95"/>
      <c r="C10" s="112">
        <v>3700</v>
      </c>
    </row>
    <row r="11" spans="1:3">
      <c r="A11" s="2" t="s">
        <v>1423</v>
      </c>
      <c r="B11" s="95"/>
      <c r="C11" s="112">
        <v>28377</v>
      </c>
    </row>
    <row r="12" spans="1:3">
      <c r="A12" s="2" t="s">
        <v>2283</v>
      </c>
      <c r="B12" s="95"/>
      <c r="C12" s="112">
        <v>11500</v>
      </c>
    </row>
    <row r="13" spans="1:3">
      <c r="A13" s="2" t="s">
        <v>1972</v>
      </c>
      <c r="B13" s="95"/>
      <c r="C13" s="112">
        <v>66140</v>
      </c>
    </row>
    <row r="14" spans="1:3">
      <c r="A14" s="2" t="s">
        <v>2290</v>
      </c>
      <c r="B14" s="95"/>
      <c r="C14" s="112">
        <v>190</v>
      </c>
    </row>
    <row r="15" spans="1:3">
      <c r="A15" s="2" t="s">
        <v>1280</v>
      </c>
      <c r="B15" s="95"/>
      <c r="C15" s="112">
        <v>1375</v>
      </c>
    </row>
    <row r="16" spans="1:3">
      <c r="A16" s="2" t="s">
        <v>1977</v>
      </c>
      <c r="B16" s="95"/>
      <c r="C16" s="112">
        <v>96103</v>
      </c>
    </row>
    <row r="17" spans="1:10">
      <c r="A17" s="2" t="s">
        <v>646</v>
      </c>
      <c r="B17" s="95"/>
      <c r="C17" s="112">
        <v>7808</v>
      </c>
    </row>
    <row r="18" spans="1:10">
      <c r="A18" s="2" t="s">
        <v>1445</v>
      </c>
      <c r="B18" s="95"/>
      <c r="C18" s="112">
        <v>6330</v>
      </c>
    </row>
    <row r="19" spans="1:10">
      <c r="A19" s="2" t="s">
        <v>1705</v>
      </c>
      <c r="B19" s="95"/>
      <c r="C19" s="112">
        <v>13426</v>
      </c>
    </row>
    <row r="20" spans="1:10">
      <c r="A20" s="2" t="s">
        <v>1672</v>
      </c>
      <c r="B20" s="95"/>
      <c r="C20" s="112">
        <v>2000</v>
      </c>
    </row>
    <row r="21" spans="1:10">
      <c r="A21" s="2" t="s">
        <v>2309</v>
      </c>
      <c r="B21" s="95"/>
      <c r="C21" s="112">
        <v>150</v>
      </c>
    </row>
    <row r="22" spans="1:10">
      <c r="A22" s="2" t="s">
        <v>1991</v>
      </c>
      <c r="B22" s="95"/>
      <c r="C22" s="112">
        <v>23582</v>
      </c>
      <c r="J22" t="s">
        <v>3172</v>
      </c>
    </row>
    <row r="23" spans="1:10">
      <c r="A23" s="2" t="s">
        <v>1032</v>
      </c>
      <c r="B23" s="95"/>
      <c r="C23" s="112">
        <v>316617.93</v>
      </c>
    </row>
    <row r="24" spans="1:10">
      <c r="A24" s="19" t="s">
        <v>75</v>
      </c>
      <c r="B24" s="102"/>
      <c r="C24" s="103">
        <v>580798.93000000005</v>
      </c>
    </row>
    <row r="28" spans="1:10" ht="15.6">
      <c r="A28" s="2699" t="s">
        <v>1661</v>
      </c>
      <c r="B28" s="2699"/>
      <c r="C28" s="2699"/>
    </row>
    <row r="29" spans="1:10">
      <c r="A29" s="2700" t="s">
        <v>1662</v>
      </c>
      <c r="B29" s="2700"/>
      <c r="C29" s="2700"/>
    </row>
    <row r="30" spans="1:10">
      <c r="A30" s="2700" t="s">
        <v>1663</v>
      </c>
      <c r="B30" s="2700"/>
      <c r="C30" s="2700"/>
    </row>
    <row r="31" spans="1:10">
      <c r="A31" s="2700" t="s">
        <v>1664</v>
      </c>
      <c r="B31" s="2700"/>
      <c r="C31" s="2700"/>
    </row>
    <row r="32" spans="1:10">
      <c r="A32" s="2701" t="s">
        <v>1665</v>
      </c>
      <c r="B32" s="2701"/>
      <c r="C32" s="2701"/>
    </row>
    <row r="33" spans="1:6" ht="15.6">
      <c r="A33" s="2702" t="s">
        <v>1274</v>
      </c>
      <c r="B33" s="2702"/>
      <c r="C33" s="2702"/>
    </row>
    <row r="34" spans="1:6">
      <c r="A34" s="2700" t="s">
        <v>1329</v>
      </c>
      <c r="B34" s="2700"/>
      <c r="C34" s="2700"/>
      <c r="F34" s="100">
        <f>C24+C42</f>
        <v>632473.93000000005</v>
      </c>
    </row>
    <row r="35" spans="1:6">
      <c r="A35" s="2700" t="s">
        <v>3167</v>
      </c>
      <c r="B35" s="2700"/>
      <c r="C35" s="2700"/>
    </row>
    <row r="36" spans="1:6">
      <c r="A36" s="10" t="s">
        <v>82</v>
      </c>
      <c r="B36" s="2703" t="s">
        <v>1274</v>
      </c>
      <c r="C36" s="2703"/>
    </row>
    <row r="37" spans="1:6">
      <c r="A37" s="118" t="s">
        <v>82</v>
      </c>
      <c r="B37" s="2704" t="s">
        <v>1667</v>
      </c>
      <c r="C37" s="2705"/>
    </row>
    <row r="38" spans="1:6">
      <c r="A38" s="11" t="s">
        <v>1</v>
      </c>
      <c r="B38" s="3273" t="s">
        <v>3167</v>
      </c>
      <c r="C38" s="2907"/>
    </row>
    <row r="39" spans="1:6">
      <c r="A39" s="11" t="s">
        <v>82</v>
      </c>
      <c r="B39" s="3271" t="s">
        <v>20</v>
      </c>
      <c r="C39" s="3272"/>
    </row>
    <row r="40" spans="1:6">
      <c r="A40" s="12" t="s">
        <v>82</v>
      </c>
      <c r="B40" s="101" t="s">
        <v>66</v>
      </c>
      <c r="C40" s="101" t="s">
        <v>67</v>
      </c>
    </row>
    <row r="41" spans="1:6">
      <c r="A41" s="2" t="s">
        <v>2321</v>
      </c>
      <c r="B41" s="95"/>
      <c r="C41" s="112">
        <v>51675</v>
      </c>
    </row>
    <row r="42" spans="1:6">
      <c r="A42" s="19" t="s">
        <v>75</v>
      </c>
      <c r="B42" s="102"/>
      <c r="C42" s="103">
        <v>51675</v>
      </c>
    </row>
  </sheetData>
  <mergeCells count="19">
    <mergeCell ref="B39:C39"/>
    <mergeCell ref="A28:C28"/>
    <mergeCell ref="A29:C29"/>
    <mergeCell ref="A30:C30"/>
    <mergeCell ref="A31:C31"/>
    <mergeCell ref="A32:C32"/>
    <mergeCell ref="A33:C33"/>
    <mergeCell ref="A34:C34"/>
    <mergeCell ref="A35:C35"/>
    <mergeCell ref="B36:C36"/>
    <mergeCell ref="B37:C37"/>
    <mergeCell ref="B38:C38"/>
    <mergeCell ref="B7:C7"/>
    <mergeCell ref="A1:C1"/>
    <mergeCell ref="B6:C6"/>
    <mergeCell ref="B5:C5"/>
    <mergeCell ref="B4:C4"/>
    <mergeCell ref="A2:C2"/>
    <mergeCell ref="A3:C3"/>
  </mergeCells>
  <pageMargins left="0.7" right="0.7" top="0.75" bottom="0.75" header="0.3" footer="0.3"/>
  <pageSetup paperSize="9" orientation="portrait"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P768"/>
  <sheetViews>
    <sheetView zoomScale="115" zoomScaleNormal="115" workbookViewId="0">
      <selection activeCell="B1" sqref="B1:D1"/>
    </sheetView>
  </sheetViews>
  <sheetFormatPr defaultColWidth="9" defaultRowHeight="14.4"/>
  <cols>
    <col min="1" max="1" width="9" style="1149"/>
    <col min="2" max="2" width="55.44140625" style="1149" bestFit="1" customWidth="1"/>
    <col min="3" max="3" width="13.5546875" style="1149" bestFit="1" customWidth="1"/>
    <col min="4" max="5" width="12.44140625" style="1149" bestFit="1" customWidth="1"/>
    <col min="6" max="6" width="15.44140625" style="1149" bestFit="1" customWidth="1"/>
    <col min="7" max="8" width="9" style="1149"/>
    <col min="9" max="9" width="31.5546875" style="1149" bestFit="1" customWidth="1"/>
    <col min="10" max="10" width="15.44140625" style="1149" bestFit="1" customWidth="1"/>
    <col min="11" max="11" width="11.44140625" style="1149" bestFit="1" customWidth="1"/>
    <col min="12" max="12" width="22.5546875" style="1149" bestFit="1" customWidth="1"/>
    <col min="13" max="13" width="11.44140625" style="1149" bestFit="1" customWidth="1"/>
    <col min="14" max="14" width="10.44140625" style="1149" bestFit="1" customWidth="1"/>
    <col min="15" max="16384" width="9" style="1149"/>
  </cols>
  <sheetData>
    <row r="1" spans="2:11" ht="15.6">
      <c r="B1" s="3275" t="s">
        <v>1844</v>
      </c>
      <c r="C1" s="3275"/>
      <c r="D1" s="3275"/>
      <c r="E1" s="1148"/>
      <c r="F1" s="1148"/>
    </row>
    <row r="2" spans="2:11" ht="15.6">
      <c r="B2" s="3275" t="s">
        <v>81</v>
      </c>
      <c r="C2" s="3275"/>
      <c r="D2" s="3275"/>
      <c r="E2" s="1148"/>
      <c r="F2" s="1148"/>
      <c r="J2" s="1149">
        <v>238611</v>
      </c>
    </row>
    <row r="3" spans="2:11">
      <c r="B3" s="3276" t="s">
        <v>2517</v>
      </c>
      <c r="C3" s="3276"/>
      <c r="D3" s="3276"/>
      <c r="E3" s="1148"/>
      <c r="F3" s="1148"/>
    </row>
    <row r="4" spans="2:11">
      <c r="B4" s="1150"/>
      <c r="C4" s="3277" t="s">
        <v>1844</v>
      </c>
      <c r="D4" s="3277"/>
      <c r="E4" s="3277"/>
      <c r="F4" s="3277"/>
    </row>
    <row r="5" spans="2:11">
      <c r="B5" s="3279" t="s">
        <v>1</v>
      </c>
      <c r="C5" s="3278" t="s">
        <v>2517</v>
      </c>
      <c r="D5" s="3278"/>
      <c r="E5" s="3278"/>
      <c r="F5" s="3278"/>
    </row>
    <row r="6" spans="2:11">
      <c r="B6" s="3280"/>
      <c r="C6" s="1151" t="s">
        <v>1331</v>
      </c>
      <c r="D6" s="3274" t="s">
        <v>1332</v>
      </c>
      <c r="E6" s="3274"/>
      <c r="F6" s="1151" t="s">
        <v>1333</v>
      </c>
      <c r="G6" s="1152" t="s">
        <v>2692</v>
      </c>
      <c r="H6" s="1152" t="s">
        <v>2694</v>
      </c>
    </row>
    <row r="7" spans="2:11">
      <c r="B7" s="3281"/>
      <c r="C7" s="1151" t="s">
        <v>1196</v>
      </c>
      <c r="D7" s="1147" t="s">
        <v>66</v>
      </c>
      <c r="E7" s="1147" t="s">
        <v>67</v>
      </c>
      <c r="F7" s="1151" t="s">
        <v>1196</v>
      </c>
      <c r="G7" s="1152" t="s">
        <v>2693</v>
      </c>
    </row>
    <row r="8" spans="2:11">
      <c r="B8" s="1153" t="s">
        <v>84</v>
      </c>
      <c r="C8" s="1154">
        <v>7147460</v>
      </c>
      <c r="D8" s="1155"/>
      <c r="E8" s="1155"/>
      <c r="F8" s="1154">
        <v>7147460</v>
      </c>
      <c r="G8" s="1152"/>
    </row>
    <row r="9" spans="2:11">
      <c r="B9" s="1156" t="s">
        <v>85</v>
      </c>
      <c r="C9" s="1157">
        <v>7147460</v>
      </c>
      <c r="D9" s="1158"/>
      <c r="E9" s="1158"/>
      <c r="F9" s="1157">
        <v>7147460</v>
      </c>
      <c r="I9" s="1159"/>
      <c r="J9" s="1159"/>
      <c r="K9" s="1159"/>
    </row>
    <row r="10" spans="2:11">
      <c r="B10" s="1153" t="s">
        <v>86</v>
      </c>
      <c r="C10" s="1154">
        <v>13115932.9</v>
      </c>
      <c r="D10" s="1160">
        <v>193426706.94999999</v>
      </c>
      <c r="E10" s="1160">
        <v>197445661.46000001</v>
      </c>
      <c r="F10" s="1154">
        <v>17134887.41</v>
      </c>
    </row>
    <row r="11" spans="2:11">
      <c r="B11" s="1161" t="s">
        <v>87</v>
      </c>
      <c r="C11" s="1158"/>
      <c r="D11" s="1162">
        <v>249101</v>
      </c>
      <c r="E11" s="1162">
        <v>249101</v>
      </c>
      <c r="F11" s="1158"/>
    </row>
    <row r="12" spans="2:11">
      <c r="B12" s="1163" t="s">
        <v>89</v>
      </c>
      <c r="C12" s="1164">
        <v>1548582.76</v>
      </c>
      <c r="D12" s="1162">
        <v>173187638.94999999</v>
      </c>
      <c r="E12" s="1162">
        <v>188368531.46000001</v>
      </c>
      <c r="F12" s="1164">
        <v>16729475.27</v>
      </c>
    </row>
    <row r="13" spans="2:11">
      <c r="B13" s="1165" t="s">
        <v>946</v>
      </c>
      <c r="C13" s="1157">
        <v>6923101.9299999997</v>
      </c>
      <c r="D13" s="1160">
        <v>44722618</v>
      </c>
      <c r="E13" s="1160">
        <v>44331599</v>
      </c>
      <c r="F13" s="1157">
        <v>6532082.9299999997</v>
      </c>
    </row>
    <row r="14" spans="2:11">
      <c r="B14" s="1166" t="s">
        <v>557</v>
      </c>
      <c r="C14" s="1157">
        <v>1387288.93</v>
      </c>
      <c r="D14" s="1162">
        <v>300000</v>
      </c>
      <c r="E14" s="1162">
        <v>632560</v>
      </c>
      <c r="F14" s="1157">
        <v>1719848.93</v>
      </c>
      <c r="G14" s="1149" t="s">
        <v>2695</v>
      </c>
    </row>
    <row r="15" spans="2:11">
      <c r="B15" s="1167" t="s">
        <v>2210</v>
      </c>
      <c r="C15" s="1155"/>
      <c r="D15" s="1162">
        <v>48200</v>
      </c>
      <c r="E15" s="1162">
        <v>48200</v>
      </c>
      <c r="F15" s="1155"/>
    </row>
    <row r="16" spans="2:11">
      <c r="B16" s="1168" t="s">
        <v>2211</v>
      </c>
      <c r="C16" s="1169">
        <v>2275</v>
      </c>
      <c r="D16" s="1162">
        <v>30757</v>
      </c>
      <c r="E16" s="1162">
        <v>33032</v>
      </c>
      <c r="F16" s="1155"/>
      <c r="G16" s="1149">
        <v>17</v>
      </c>
      <c r="H16" s="1149" t="s">
        <v>1348</v>
      </c>
    </row>
    <row r="17" spans="2:11">
      <c r="B17" s="1166" t="s">
        <v>1889</v>
      </c>
      <c r="C17" s="1155"/>
      <c r="D17" s="1162">
        <v>253452</v>
      </c>
      <c r="E17" s="1162">
        <v>266732</v>
      </c>
      <c r="F17" s="1157">
        <v>13280</v>
      </c>
      <c r="G17" s="1149">
        <v>7</v>
      </c>
      <c r="H17" s="1149" t="s">
        <v>2951</v>
      </c>
    </row>
    <row r="18" spans="2:11">
      <c r="B18" s="1168" t="s">
        <v>1294</v>
      </c>
      <c r="C18" s="1155"/>
      <c r="D18" s="1162">
        <v>24000</v>
      </c>
      <c r="E18" s="1162">
        <v>24000</v>
      </c>
      <c r="F18" s="1155"/>
    </row>
    <row r="19" spans="2:11">
      <c r="B19" s="1166" t="s">
        <v>1890</v>
      </c>
      <c r="C19" s="1169">
        <v>175000</v>
      </c>
      <c r="D19" s="1162">
        <v>938858</v>
      </c>
      <c r="E19" s="1162">
        <v>1013858</v>
      </c>
      <c r="F19" s="1169">
        <v>100000</v>
      </c>
      <c r="G19" s="1149">
        <v>17</v>
      </c>
      <c r="H19" s="1149" t="s">
        <v>1348</v>
      </c>
    </row>
    <row r="20" spans="2:11">
      <c r="B20" s="1167" t="s">
        <v>1669</v>
      </c>
      <c r="C20" s="1155"/>
      <c r="D20" s="1162">
        <v>3200</v>
      </c>
      <c r="E20" s="1162">
        <v>3200</v>
      </c>
      <c r="F20" s="1155"/>
    </row>
    <row r="21" spans="2:11">
      <c r="B21" s="1166" t="s">
        <v>1892</v>
      </c>
      <c r="C21" s="1169">
        <v>7066</v>
      </c>
      <c r="D21" s="1162">
        <v>430785</v>
      </c>
      <c r="E21" s="1162">
        <v>545711</v>
      </c>
      <c r="F21" s="1157">
        <v>107860</v>
      </c>
      <c r="G21" s="1149">
        <v>7</v>
      </c>
      <c r="H21" s="1149" t="s">
        <v>2951</v>
      </c>
    </row>
    <row r="22" spans="2:11">
      <c r="B22" s="1166" t="s">
        <v>969</v>
      </c>
      <c r="C22" s="1157">
        <v>229032</v>
      </c>
      <c r="D22" s="1162">
        <v>54004</v>
      </c>
      <c r="E22" s="1162">
        <v>54004</v>
      </c>
      <c r="F22" s="1157">
        <v>229032</v>
      </c>
      <c r="G22" s="1149" t="s">
        <v>2691</v>
      </c>
    </row>
    <row r="23" spans="2:11">
      <c r="B23" s="1167" t="s">
        <v>2518</v>
      </c>
      <c r="C23" s="1155"/>
      <c r="D23" s="1162">
        <v>3540</v>
      </c>
      <c r="E23" s="1162">
        <v>3540</v>
      </c>
      <c r="F23" s="1155"/>
      <c r="G23" s="1149">
        <v>7</v>
      </c>
      <c r="H23" s="1149" t="s">
        <v>2951</v>
      </c>
      <c r="J23" s="1149" t="s">
        <v>2946</v>
      </c>
      <c r="K23" s="1149" t="s">
        <v>2947</v>
      </c>
    </row>
    <row r="24" spans="2:11" s="1505" customFormat="1">
      <c r="B24" s="1502" t="s">
        <v>1805</v>
      </c>
      <c r="C24" s="1503">
        <v>26927</v>
      </c>
      <c r="D24" s="1504"/>
      <c r="E24" s="1504"/>
      <c r="F24" s="1503">
        <v>26927</v>
      </c>
      <c r="G24" s="1505">
        <v>7</v>
      </c>
      <c r="H24" s="1505" t="s">
        <v>2951</v>
      </c>
      <c r="J24" s="1505" t="s">
        <v>3176</v>
      </c>
    </row>
    <row r="25" spans="2:11">
      <c r="B25" s="1166" t="s">
        <v>1893</v>
      </c>
      <c r="C25" s="1157">
        <v>278400</v>
      </c>
      <c r="D25" s="1162">
        <v>283200</v>
      </c>
      <c r="E25" s="1162">
        <v>4800</v>
      </c>
      <c r="F25" s="1155"/>
      <c r="G25" s="1149" t="s">
        <v>2691</v>
      </c>
    </row>
    <row r="26" spans="2:11" ht="14.1" customHeight="1">
      <c r="B26" s="1170" t="s">
        <v>563</v>
      </c>
      <c r="C26" s="1169">
        <v>76500</v>
      </c>
      <c r="D26" s="1162">
        <v>191000</v>
      </c>
      <c r="E26" s="1162">
        <v>410000</v>
      </c>
      <c r="F26" s="1157">
        <v>142500</v>
      </c>
      <c r="G26" s="1149">
        <v>7</v>
      </c>
      <c r="H26" s="1149" t="s">
        <v>2951</v>
      </c>
    </row>
    <row r="27" spans="2:11">
      <c r="B27" s="1166" t="s">
        <v>1894</v>
      </c>
      <c r="C27" s="1155"/>
      <c r="D27" s="1162">
        <v>30000</v>
      </c>
      <c r="E27" s="1162">
        <v>30000</v>
      </c>
      <c r="F27" s="1155"/>
    </row>
    <row r="28" spans="2:11">
      <c r="B28" s="1166" t="s">
        <v>1292</v>
      </c>
      <c r="C28" s="1169">
        <v>525000</v>
      </c>
      <c r="D28" s="1158"/>
      <c r="E28" s="1158"/>
      <c r="F28" s="1169">
        <v>525000</v>
      </c>
      <c r="G28" s="1149">
        <v>17</v>
      </c>
      <c r="H28" s="1149" t="s">
        <v>1348</v>
      </c>
      <c r="J28" s="1171"/>
    </row>
    <row r="29" spans="2:11">
      <c r="B29" s="1168" t="s">
        <v>564</v>
      </c>
      <c r="C29" s="1157">
        <v>519857</v>
      </c>
      <c r="D29" s="1162">
        <v>3904571</v>
      </c>
      <c r="E29" s="1162">
        <v>3677400</v>
      </c>
      <c r="F29" s="1157">
        <v>292686</v>
      </c>
      <c r="G29" s="1149" t="s">
        <v>2696</v>
      </c>
      <c r="H29" s="1149" t="s">
        <v>2643</v>
      </c>
      <c r="I29" s="1149" t="s">
        <v>2702</v>
      </c>
    </row>
    <row r="30" spans="2:11">
      <c r="B30" s="1167" t="s">
        <v>565</v>
      </c>
      <c r="C30" s="1157">
        <v>378686</v>
      </c>
      <c r="D30" s="1162">
        <v>4342206</v>
      </c>
      <c r="E30" s="1162">
        <v>4334196</v>
      </c>
      <c r="F30" s="1157">
        <v>370676</v>
      </c>
      <c r="G30" s="1149" t="s">
        <v>2696</v>
      </c>
    </row>
    <row r="31" spans="2:11">
      <c r="B31" s="1172" t="s">
        <v>566</v>
      </c>
      <c r="C31" s="1157">
        <v>12814</v>
      </c>
      <c r="D31" s="1162">
        <v>53800</v>
      </c>
      <c r="E31" s="1162">
        <v>45470</v>
      </c>
      <c r="F31" s="1157">
        <v>4484</v>
      </c>
      <c r="G31" s="1149" t="s">
        <v>2691</v>
      </c>
    </row>
    <row r="32" spans="2:11">
      <c r="B32" s="1167" t="s">
        <v>567</v>
      </c>
      <c r="C32" s="1157">
        <v>107692</v>
      </c>
      <c r="D32" s="1162">
        <v>705995</v>
      </c>
      <c r="E32" s="1162">
        <v>653644</v>
      </c>
      <c r="F32" s="1157">
        <v>55341</v>
      </c>
      <c r="G32" s="1149" t="s">
        <v>2696</v>
      </c>
    </row>
    <row r="33" spans="2:13">
      <c r="B33" s="1168" t="s">
        <v>1897</v>
      </c>
      <c r="C33" s="1155"/>
      <c r="D33" s="1162">
        <v>19609</v>
      </c>
      <c r="E33" s="1162">
        <v>19609</v>
      </c>
      <c r="F33" s="1155"/>
    </row>
    <row r="34" spans="2:13">
      <c r="B34" s="1166" t="s">
        <v>2519</v>
      </c>
      <c r="C34" s="1155"/>
      <c r="D34" s="1162">
        <v>53100</v>
      </c>
      <c r="E34" s="1162">
        <v>53100</v>
      </c>
      <c r="F34" s="1155"/>
    </row>
    <row r="35" spans="2:13">
      <c r="B35" s="1166" t="s">
        <v>569</v>
      </c>
      <c r="C35" s="1157">
        <v>4457488</v>
      </c>
      <c r="D35" s="1162">
        <v>30723519</v>
      </c>
      <c r="E35" s="1162">
        <v>29632802</v>
      </c>
      <c r="F35" s="1157">
        <v>3366771</v>
      </c>
      <c r="G35" s="1149" t="s">
        <v>2696</v>
      </c>
    </row>
    <row r="36" spans="2:13">
      <c r="B36" s="1167" t="s">
        <v>2520</v>
      </c>
      <c r="C36" s="1155"/>
      <c r="D36" s="1162">
        <v>18000</v>
      </c>
      <c r="E36" s="1162">
        <v>18000</v>
      </c>
      <c r="F36" s="1155"/>
    </row>
    <row r="37" spans="2:13">
      <c r="B37" s="1166" t="s">
        <v>571</v>
      </c>
      <c r="C37" s="1155"/>
      <c r="D37" s="1162">
        <v>11328</v>
      </c>
      <c r="E37" s="1162">
        <v>11328</v>
      </c>
      <c r="F37" s="1155"/>
    </row>
    <row r="38" spans="2:13">
      <c r="B38" s="1166" t="s">
        <v>1383</v>
      </c>
      <c r="C38" s="1157">
        <v>13405</v>
      </c>
      <c r="D38" s="1162">
        <v>95810</v>
      </c>
      <c r="E38" s="1162">
        <v>95810</v>
      </c>
      <c r="F38" s="1157">
        <v>13405</v>
      </c>
      <c r="G38" s="1149" t="s">
        <v>2691</v>
      </c>
    </row>
    <row r="39" spans="2:13">
      <c r="B39" s="1166" t="s">
        <v>2215</v>
      </c>
      <c r="C39" s="1169">
        <v>10000</v>
      </c>
      <c r="D39" s="1162">
        <v>5000</v>
      </c>
      <c r="E39" s="1162">
        <v>15000</v>
      </c>
      <c r="F39" s="1155"/>
    </row>
    <row r="40" spans="2:13">
      <c r="B40" s="1167" t="s">
        <v>976</v>
      </c>
      <c r="C40" s="1155"/>
      <c r="D40" s="1162">
        <v>22700</v>
      </c>
      <c r="E40" s="1162">
        <v>22700</v>
      </c>
      <c r="F40" s="1155"/>
    </row>
    <row r="41" spans="2:13">
      <c r="B41" s="1167" t="s">
        <v>573</v>
      </c>
      <c r="C41" s="1155"/>
      <c r="D41" s="1162">
        <v>47200</v>
      </c>
      <c r="E41" s="1162">
        <v>155760</v>
      </c>
      <c r="F41" s="1157">
        <v>108560</v>
      </c>
      <c r="G41" s="1149">
        <v>7</v>
      </c>
      <c r="H41" s="1149" t="s">
        <v>2951</v>
      </c>
      <c r="I41" s="1149" t="s">
        <v>2708</v>
      </c>
      <c r="J41" s="1171">
        <f>F17+F21+F26+F41</f>
        <v>372200</v>
      </c>
      <c r="K41" s="1171"/>
      <c r="L41" s="1149">
        <v>0</v>
      </c>
    </row>
    <row r="42" spans="2:13">
      <c r="B42" s="1167" t="s">
        <v>68</v>
      </c>
      <c r="C42" s="1157">
        <v>330435</v>
      </c>
      <c r="D42" s="1162">
        <v>1628784</v>
      </c>
      <c r="E42" s="1162">
        <v>2268162</v>
      </c>
      <c r="F42" s="1157">
        <v>969813</v>
      </c>
      <c r="G42" s="1149" t="s">
        <v>2696</v>
      </c>
    </row>
    <row r="43" spans="2:13">
      <c r="B43" s="1167" t="s">
        <v>977</v>
      </c>
      <c r="C43" s="1155"/>
      <c r="D43" s="1162">
        <v>500000</v>
      </c>
      <c r="E43" s="1162">
        <v>258981</v>
      </c>
      <c r="F43" s="1169">
        <v>241019</v>
      </c>
      <c r="G43" s="1149">
        <v>17</v>
      </c>
      <c r="H43" s="1149" t="s">
        <v>1348</v>
      </c>
    </row>
    <row r="44" spans="2:13">
      <c r="B44" s="1165" t="s">
        <v>90</v>
      </c>
      <c r="C44" s="1157">
        <v>1796389</v>
      </c>
      <c r="D44" s="1160">
        <v>55264892.460000001</v>
      </c>
      <c r="E44" s="1160">
        <v>58102436.460000001</v>
      </c>
      <c r="F44" s="1157">
        <v>4633933</v>
      </c>
      <c r="I44" s="1149" t="s">
        <v>2709</v>
      </c>
      <c r="J44" s="1171">
        <f>F46+F51+F52+F58+F59+F62+F63+F64+F66+F71+F73+F74+F79+F83+F93+F104+F118+F120+F122+F125+F126+F129+F135+F138+F141+F142+F149+F150+F155+F159+F161+F168+F173+F181+F182+F187+F188+F190+F191+F192+F194+F195+F196+F198</f>
        <v>5625490</v>
      </c>
      <c r="K44" s="1173">
        <f>C46+C48+C52+C54+C61+C63+C64+C67+C69+C71+C73+C74+C79+C82+C94+C95+C113+C114+C119+C120+C122+C123+C131+C133+C134+C138+C141+C154+C161+C167+C168+C172+C173+C175+C178+C181+C187+C191+C194+C195+C196+C197</f>
        <v>4300342.5999999996</v>
      </c>
      <c r="L44" s="1174">
        <v>4952153.5999999996</v>
      </c>
      <c r="M44" s="1171">
        <f>L44-K44</f>
        <v>651811</v>
      </c>
    </row>
    <row r="45" spans="2:13">
      <c r="B45" s="1167" t="s">
        <v>2224</v>
      </c>
      <c r="C45" s="1169">
        <v>86140</v>
      </c>
      <c r="D45" s="1158"/>
      <c r="E45" s="1162">
        <v>86140</v>
      </c>
      <c r="F45" s="1155"/>
      <c r="G45" s="1149">
        <v>7</v>
      </c>
      <c r="H45" s="1149" t="s">
        <v>2951</v>
      </c>
    </row>
    <row r="46" spans="2:13">
      <c r="B46" s="1166" t="s">
        <v>1289</v>
      </c>
      <c r="C46" s="1157">
        <v>35690.75</v>
      </c>
      <c r="D46" s="1162">
        <v>215791.72</v>
      </c>
      <c r="E46" s="1162">
        <v>221862.1</v>
      </c>
      <c r="F46" s="1157">
        <v>41761.129999999997</v>
      </c>
      <c r="G46" s="1149">
        <v>7</v>
      </c>
      <c r="H46" s="1149" t="s">
        <v>2951</v>
      </c>
      <c r="I46" s="1149" t="s">
        <v>2945</v>
      </c>
      <c r="J46" s="1171">
        <f>F206+F207+F211+F212+F214+F215+F217+F219+F220+F222+F226+F234+F235+F236+F237+F238+F240+F241+F242+F246+F247+F248+F249+F250+F253+F255+F256+F258+F260+F261+F270+F272+F273+F275+F277+F278+F279+F281+F283+F287+F288+F297+F299+F300+F301+F302+F305+F306+F307+F309+F312+F313+F315+F316+F317+F318+F320+F324+F325+F326+F328+F329+F331+F333+F335+F336</f>
        <v>1887246.99</v>
      </c>
      <c r="K46" s="1149">
        <v>1861913</v>
      </c>
      <c r="L46" s="1175">
        <v>1861912.93</v>
      </c>
    </row>
    <row r="47" spans="2:13">
      <c r="B47" s="1167" t="s">
        <v>2521</v>
      </c>
      <c r="C47" s="1155"/>
      <c r="D47" s="1162">
        <v>20000</v>
      </c>
      <c r="E47" s="1162">
        <v>20000</v>
      </c>
      <c r="F47" s="1155"/>
      <c r="G47" s="1149">
        <v>7</v>
      </c>
      <c r="H47" s="1149" t="s">
        <v>2951</v>
      </c>
      <c r="I47" s="1149" t="s">
        <v>2948</v>
      </c>
      <c r="J47" s="1171">
        <f>F341+F342+F345+F348+F349+F353+F354+F357+F358+F359+F361+F363+F366+F370+F372+F374+F379+F381+F386+F388</f>
        <v>7048830.1699999999</v>
      </c>
      <c r="K47" s="1175">
        <v>2060076.4</v>
      </c>
      <c r="L47" s="1175">
        <v>2060076.4</v>
      </c>
    </row>
    <row r="48" spans="2:13">
      <c r="B48" s="1167" t="s">
        <v>1906</v>
      </c>
      <c r="C48" s="1157">
        <v>5127</v>
      </c>
      <c r="D48" s="1162">
        <v>796769</v>
      </c>
      <c r="E48" s="1162">
        <v>791642</v>
      </c>
      <c r="F48" s="1155"/>
      <c r="G48" s="1149">
        <v>7</v>
      </c>
      <c r="H48" s="1149" t="s">
        <v>2951</v>
      </c>
      <c r="J48" s="1171" t="s">
        <v>1158</v>
      </c>
    </row>
    <row r="49" spans="2:8">
      <c r="B49" s="1166" t="s">
        <v>2522</v>
      </c>
      <c r="C49" s="1155"/>
      <c r="D49" s="1162">
        <v>236910</v>
      </c>
      <c r="E49" s="1162">
        <v>146910</v>
      </c>
      <c r="F49" s="1169">
        <v>90000</v>
      </c>
      <c r="G49" s="1149">
        <v>17</v>
      </c>
      <c r="H49" s="1149" t="s">
        <v>2949</v>
      </c>
    </row>
    <row r="50" spans="2:8">
      <c r="B50" s="1166" t="s">
        <v>2523</v>
      </c>
      <c r="C50" s="1155"/>
      <c r="D50" s="1162">
        <v>97500</v>
      </c>
      <c r="E50" s="1162">
        <v>97500</v>
      </c>
      <c r="F50" s="1155"/>
      <c r="G50" s="1149">
        <v>7</v>
      </c>
      <c r="H50" s="1149" t="s">
        <v>2951</v>
      </c>
    </row>
    <row r="51" spans="2:8">
      <c r="B51" s="1166" t="s">
        <v>1909</v>
      </c>
      <c r="C51" s="1155"/>
      <c r="D51" s="1162">
        <v>130897</v>
      </c>
      <c r="E51" s="1162">
        <v>156055</v>
      </c>
      <c r="F51" s="1157">
        <v>25158</v>
      </c>
      <c r="G51" s="1149">
        <v>7</v>
      </c>
      <c r="H51" s="1149" t="s">
        <v>2951</v>
      </c>
    </row>
    <row r="52" spans="2:8">
      <c r="B52" s="1167" t="s">
        <v>2230</v>
      </c>
      <c r="C52" s="1157">
        <v>30646</v>
      </c>
      <c r="D52" s="1162">
        <v>109315</v>
      </c>
      <c r="E52" s="1162">
        <v>109317.36</v>
      </c>
      <c r="F52" s="1157">
        <v>30648.36</v>
      </c>
      <c r="G52" s="1149">
        <v>7</v>
      </c>
      <c r="H52" s="1149" t="s">
        <v>2951</v>
      </c>
    </row>
    <row r="53" spans="2:8">
      <c r="B53" s="1166" t="s">
        <v>2524</v>
      </c>
      <c r="C53" s="1155"/>
      <c r="D53" s="1162">
        <v>247800</v>
      </c>
      <c r="E53" s="1162">
        <v>247800</v>
      </c>
      <c r="F53" s="1155"/>
      <c r="G53" s="1149">
        <v>7</v>
      </c>
      <c r="H53" s="1149" t="s">
        <v>2951</v>
      </c>
    </row>
    <row r="54" spans="2:8">
      <c r="B54" s="1166" t="s">
        <v>2231</v>
      </c>
      <c r="C54" s="1157">
        <v>61977</v>
      </c>
      <c r="D54" s="1162">
        <v>6366867</v>
      </c>
      <c r="E54" s="1162">
        <v>6304890</v>
      </c>
      <c r="F54" s="1155"/>
      <c r="G54" s="1149">
        <v>7</v>
      </c>
      <c r="H54" s="1149" t="s">
        <v>2951</v>
      </c>
    </row>
    <row r="55" spans="2:8">
      <c r="B55" s="1166" t="s">
        <v>2525</v>
      </c>
      <c r="C55" s="1155"/>
      <c r="D55" s="1162">
        <v>10195</v>
      </c>
      <c r="E55" s="1162">
        <v>10195</v>
      </c>
      <c r="F55" s="1155"/>
      <c r="G55" s="1149">
        <v>7</v>
      </c>
      <c r="H55" s="1149" t="s">
        <v>2951</v>
      </c>
    </row>
    <row r="56" spans="2:8">
      <c r="B56" s="1166" t="s">
        <v>2526</v>
      </c>
      <c r="C56" s="1155"/>
      <c r="D56" s="1162">
        <v>114000</v>
      </c>
      <c r="E56" s="1162">
        <v>114000</v>
      </c>
      <c r="F56" s="1155"/>
      <c r="G56" s="1149">
        <v>7</v>
      </c>
      <c r="H56" s="1149" t="s">
        <v>2951</v>
      </c>
    </row>
    <row r="57" spans="2:8">
      <c r="B57" s="1166" t="s">
        <v>1911</v>
      </c>
      <c r="C57" s="1169">
        <v>7727</v>
      </c>
      <c r="D57" s="1158"/>
      <c r="E57" s="1162">
        <v>7727</v>
      </c>
      <c r="F57" s="1155"/>
      <c r="G57" s="1149">
        <v>7</v>
      </c>
      <c r="H57" s="1149" t="s">
        <v>2951</v>
      </c>
    </row>
    <row r="58" spans="2:8">
      <c r="B58" s="1167" t="s">
        <v>2527</v>
      </c>
      <c r="C58" s="1155"/>
      <c r="D58" s="1162">
        <v>133980</v>
      </c>
      <c r="E58" s="1162">
        <v>346710</v>
      </c>
      <c r="F58" s="1157">
        <v>212730</v>
      </c>
      <c r="G58" s="1149">
        <v>7</v>
      </c>
      <c r="H58" s="1149" t="s">
        <v>2951</v>
      </c>
    </row>
    <row r="59" spans="2:8">
      <c r="B59" s="1166" t="s">
        <v>2667</v>
      </c>
      <c r="C59" s="1155"/>
      <c r="D59" s="1158"/>
      <c r="E59" s="1162">
        <v>11813</v>
      </c>
      <c r="F59" s="1157">
        <v>11813</v>
      </c>
      <c r="G59" s="1149">
        <v>7</v>
      </c>
      <c r="H59" s="1149" t="s">
        <v>2951</v>
      </c>
    </row>
    <row r="60" spans="2:8">
      <c r="B60" s="1166" t="s">
        <v>2233</v>
      </c>
      <c r="C60" s="1169">
        <v>2970</v>
      </c>
      <c r="D60" s="1162">
        <v>16243</v>
      </c>
      <c r="E60" s="1162">
        <v>19213</v>
      </c>
      <c r="F60" s="1155"/>
      <c r="G60" s="1149">
        <v>7</v>
      </c>
      <c r="H60" s="1149" t="s">
        <v>2951</v>
      </c>
    </row>
    <row r="61" spans="2:8">
      <c r="B61" s="1166" t="s">
        <v>2234</v>
      </c>
      <c r="C61" s="1157">
        <v>10030</v>
      </c>
      <c r="D61" s="1162">
        <v>10030</v>
      </c>
      <c r="E61" s="1158"/>
      <c r="F61" s="1155"/>
      <c r="G61" s="1149">
        <v>7</v>
      </c>
      <c r="H61" s="1149" t="s">
        <v>2951</v>
      </c>
    </row>
    <row r="62" spans="2:8">
      <c r="B62" s="1166" t="s">
        <v>2528</v>
      </c>
      <c r="C62" s="1155"/>
      <c r="D62" s="1162">
        <v>500000</v>
      </c>
      <c r="E62" s="1162">
        <v>1692946</v>
      </c>
      <c r="F62" s="1157">
        <v>1192946</v>
      </c>
      <c r="G62" s="1149">
        <v>7</v>
      </c>
      <c r="H62" s="1149" t="s">
        <v>2951</v>
      </c>
    </row>
    <row r="63" spans="2:8">
      <c r="B63" s="1166" t="s">
        <v>1390</v>
      </c>
      <c r="C63" s="1157">
        <v>189750</v>
      </c>
      <c r="D63" s="1162">
        <v>960740.72</v>
      </c>
      <c r="E63" s="1162">
        <v>869149</v>
      </c>
      <c r="F63" s="1157">
        <v>98158.28</v>
      </c>
      <c r="G63" s="1149">
        <v>7</v>
      </c>
      <c r="H63" s="1149" t="s">
        <v>2951</v>
      </c>
    </row>
    <row r="64" spans="2:8">
      <c r="B64" s="1166" t="s">
        <v>1391</v>
      </c>
      <c r="C64" s="1157">
        <v>260619</v>
      </c>
      <c r="D64" s="1162">
        <v>292102</v>
      </c>
      <c r="E64" s="1162">
        <v>175138</v>
      </c>
      <c r="F64" s="1157">
        <v>143655</v>
      </c>
      <c r="G64" s="1149">
        <v>7</v>
      </c>
      <c r="H64" s="1149" t="s">
        <v>2951</v>
      </c>
    </row>
    <row r="65" spans="2:8">
      <c r="B65" s="1168" t="s">
        <v>1788</v>
      </c>
      <c r="C65" s="1169">
        <v>37250</v>
      </c>
      <c r="D65" s="1158"/>
      <c r="E65" s="1158"/>
      <c r="F65" s="1169">
        <v>37250</v>
      </c>
      <c r="G65" s="1149">
        <v>17</v>
      </c>
      <c r="H65" s="1149" t="s">
        <v>2949</v>
      </c>
    </row>
    <row r="66" spans="2:8">
      <c r="B66" s="1166" t="s">
        <v>1912</v>
      </c>
      <c r="C66" s="1155"/>
      <c r="D66" s="1158"/>
      <c r="E66" s="1162">
        <v>10480</v>
      </c>
      <c r="F66" s="1157">
        <v>10480</v>
      </c>
      <c r="G66" s="1149">
        <v>7</v>
      </c>
      <c r="H66" s="1149" t="s">
        <v>2951</v>
      </c>
    </row>
    <row r="67" spans="2:8">
      <c r="B67" s="1167" t="s">
        <v>1678</v>
      </c>
      <c r="C67" s="1157">
        <v>27731</v>
      </c>
      <c r="D67" s="1162">
        <v>252482</v>
      </c>
      <c r="E67" s="1162">
        <v>224751</v>
      </c>
      <c r="F67" s="1155"/>
      <c r="G67" s="1149">
        <v>7</v>
      </c>
      <c r="H67" s="1149" t="s">
        <v>2951</v>
      </c>
    </row>
    <row r="68" spans="2:8">
      <c r="B68" s="1166" t="s">
        <v>1913</v>
      </c>
      <c r="C68" s="1155"/>
      <c r="D68" s="1162">
        <v>70000</v>
      </c>
      <c r="E68" s="1162">
        <v>70000</v>
      </c>
      <c r="F68" s="1155"/>
      <c r="G68" s="1149">
        <v>7</v>
      </c>
      <c r="H68" s="1149" t="s">
        <v>2951</v>
      </c>
    </row>
    <row r="69" spans="2:8">
      <c r="B69" s="1166" t="s">
        <v>578</v>
      </c>
      <c r="C69" s="1157">
        <v>107676</v>
      </c>
      <c r="D69" s="1162">
        <v>107676</v>
      </c>
      <c r="E69" s="1158"/>
      <c r="F69" s="1155"/>
      <c r="G69" s="1149">
        <v>7</v>
      </c>
      <c r="H69" s="1149" t="s">
        <v>2951</v>
      </c>
    </row>
    <row r="70" spans="2:8">
      <c r="B70" s="1167" t="s">
        <v>1789</v>
      </c>
      <c r="C70" s="1155"/>
      <c r="D70" s="1162">
        <v>32568</v>
      </c>
      <c r="E70" s="1162">
        <v>32568</v>
      </c>
      <c r="F70" s="1155"/>
      <c r="G70" s="1149">
        <v>7</v>
      </c>
      <c r="H70" s="1149" t="s">
        <v>2951</v>
      </c>
    </row>
    <row r="71" spans="2:8">
      <c r="B71" s="1168" t="s">
        <v>1790</v>
      </c>
      <c r="C71" s="1157">
        <v>305850</v>
      </c>
      <c r="D71" s="1162">
        <v>1425000</v>
      </c>
      <c r="E71" s="1162">
        <v>1317000</v>
      </c>
      <c r="F71" s="1157">
        <v>197850</v>
      </c>
      <c r="G71" s="1149">
        <v>7</v>
      </c>
      <c r="H71" s="1149" t="s">
        <v>2951</v>
      </c>
    </row>
    <row r="72" spans="2:8">
      <c r="B72" s="1166" t="s">
        <v>2529</v>
      </c>
      <c r="C72" s="1155"/>
      <c r="D72" s="1162">
        <v>96465</v>
      </c>
      <c r="E72" s="1162">
        <v>96465</v>
      </c>
      <c r="F72" s="1155"/>
      <c r="G72" s="1149">
        <v>7</v>
      </c>
      <c r="H72" s="1149" t="s">
        <v>2951</v>
      </c>
    </row>
    <row r="73" spans="2:8">
      <c r="B73" s="1167" t="s">
        <v>579</v>
      </c>
      <c r="C73" s="1157">
        <v>34119</v>
      </c>
      <c r="D73" s="1162">
        <v>280641.44</v>
      </c>
      <c r="E73" s="1162">
        <v>302429</v>
      </c>
      <c r="F73" s="1157">
        <v>55906.559999999998</v>
      </c>
      <c r="G73" s="1149">
        <v>7</v>
      </c>
      <c r="H73" s="1149" t="s">
        <v>2951</v>
      </c>
    </row>
    <row r="74" spans="2:8" s="1634" customFormat="1">
      <c r="B74" s="1631" t="s">
        <v>2280</v>
      </c>
      <c r="C74" s="1632">
        <v>3500</v>
      </c>
      <c r="D74" s="1633"/>
      <c r="E74" s="1633"/>
      <c r="F74" s="1632">
        <v>3500</v>
      </c>
      <c r="G74" s="1634">
        <v>7</v>
      </c>
      <c r="H74" s="1634" t="s">
        <v>2951</v>
      </c>
    </row>
    <row r="75" spans="2:8">
      <c r="B75" s="1166" t="s">
        <v>581</v>
      </c>
      <c r="C75" s="1155"/>
      <c r="D75" s="1162">
        <v>158191</v>
      </c>
      <c r="E75" s="1162">
        <v>158191</v>
      </c>
      <c r="F75" s="1155"/>
      <c r="G75" s="1149">
        <v>7</v>
      </c>
      <c r="H75" s="1149" t="s">
        <v>2951</v>
      </c>
    </row>
    <row r="76" spans="2:8">
      <c r="B76" s="1167" t="s">
        <v>2237</v>
      </c>
      <c r="C76" s="1169">
        <v>15000</v>
      </c>
      <c r="D76" s="1158"/>
      <c r="E76" s="1162">
        <v>15000</v>
      </c>
      <c r="F76" s="1155"/>
      <c r="G76" s="1149">
        <v>7</v>
      </c>
      <c r="H76" s="1149" t="s">
        <v>2951</v>
      </c>
    </row>
    <row r="77" spans="2:8">
      <c r="B77" s="1167" t="s">
        <v>2530</v>
      </c>
      <c r="C77" s="1155"/>
      <c r="D77" s="1162">
        <v>1582179</v>
      </c>
      <c r="E77" s="1162">
        <v>1133984</v>
      </c>
      <c r="F77" s="1169">
        <v>448195</v>
      </c>
      <c r="G77" s="1149">
        <v>17</v>
      </c>
      <c r="H77" s="1149" t="s">
        <v>2949</v>
      </c>
    </row>
    <row r="78" spans="2:8">
      <c r="B78" s="1172" t="s">
        <v>2239</v>
      </c>
      <c r="C78" s="1169">
        <v>15374</v>
      </c>
      <c r="D78" s="1158"/>
      <c r="E78" s="1162">
        <v>15374</v>
      </c>
      <c r="F78" s="1155"/>
      <c r="G78" s="1149">
        <v>7</v>
      </c>
      <c r="H78" s="1149" t="s">
        <v>2951</v>
      </c>
    </row>
    <row r="79" spans="2:8">
      <c r="B79" s="1167" t="s">
        <v>259</v>
      </c>
      <c r="C79" s="1157">
        <v>513450.5</v>
      </c>
      <c r="D79" s="1162">
        <v>1100169.72</v>
      </c>
      <c r="E79" s="1162">
        <v>1024195</v>
      </c>
      <c r="F79" s="1157">
        <v>437475.78</v>
      </c>
      <c r="G79" s="1149">
        <v>7</v>
      </c>
      <c r="H79" s="1149" t="s">
        <v>2951</v>
      </c>
    </row>
    <row r="80" spans="2:8">
      <c r="B80" s="1170" t="s">
        <v>2532</v>
      </c>
      <c r="C80" s="1155"/>
      <c r="D80" s="1162">
        <v>555190</v>
      </c>
      <c r="E80" s="1162">
        <v>555190</v>
      </c>
      <c r="F80" s="1155"/>
      <c r="G80" s="1149">
        <v>7</v>
      </c>
      <c r="H80" s="1149" t="s">
        <v>2951</v>
      </c>
    </row>
    <row r="81" spans="2:8">
      <c r="B81" s="1166" t="s">
        <v>1919</v>
      </c>
      <c r="C81" s="1155"/>
      <c r="D81" s="1162">
        <v>164728</v>
      </c>
      <c r="E81" s="1162">
        <v>164728</v>
      </c>
      <c r="F81" s="1155"/>
      <c r="G81" s="1149">
        <v>7</v>
      </c>
      <c r="H81" s="1149" t="s">
        <v>2951</v>
      </c>
    </row>
    <row r="82" spans="2:8">
      <c r="B82" s="1166" t="s">
        <v>1920</v>
      </c>
      <c r="C82" s="1157">
        <v>300</v>
      </c>
      <c r="D82" s="1162">
        <v>120000</v>
      </c>
      <c r="E82" s="1162">
        <v>119700</v>
      </c>
      <c r="F82" s="1155"/>
      <c r="G82" s="1149">
        <v>7</v>
      </c>
      <c r="H82" s="1149" t="s">
        <v>2951</v>
      </c>
    </row>
    <row r="83" spans="2:8">
      <c r="B83" s="1166" t="s">
        <v>2533</v>
      </c>
      <c r="C83" s="1155"/>
      <c r="D83" s="1162">
        <v>28216</v>
      </c>
      <c r="E83" s="1162">
        <v>49928</v>
      </c>
      <c r="F83" s="1157">
        <v>21712</v>
      </c>
      <c r="G83" s="1149">
        <v>7</v>
      </c>
      <c r="H83" s="1149" t="s">
        <v>2951</v>
      </c>
    </row>
    <row r="84" spans="2:8">
      <c r="B84" s="1166" t="s">
        <v>2534</v>
      </c>
      <c r="C84" s="1155"/>
      <c r="D84" s="1162">
        <v>252426</v>
      </c>
      <c r="E84" s="1162">
        <v>252426</v>
      </c>
      <c r="F84" s="1155"/>
      <c r="G84" s="1149">
        <v>7</v>
      </c>
      <c r="H84" s="1149" t="s">
        <v>2951</v>
      </c>
    </row>
    <row r="85" spans="2:8">
      <c r="B85" s="1166" t="s">
        <v>2535</v>
      </c>
      <c r="C85" s="1155"/>
      <c r="D85" s="1162">
        <v>448400</v>
      </c>
      <c r="E85" s="1162">
        <v>448400</v>
      </c>
      <c r="F85" s="1155"/>
      <c r="G85" s="1149">
        <v>7</v>
      </c>
      <c r="H85" s="1149" t="s">
        <v>2951</v>
      </c>
    </row>
    <row r="86" spans="2:8">
      <c r="B86" s="1166" t="s">
        <v>2241</v>
      </c>
      <c r="C86" s="1169">
        <v>1947</v>
      </c>
      <c r="D86" s="1162">
        <v>136880</v>
      </c>
      <c r="E86" s="1162">
        <v>138827</v>
      </c>
      <c r="F86" s="1155"/>
      <c r="G86" s="1149">
        <v>7</v>
      </c>
      <c r="H86" s="1149" t="s">
        <v>2951</v>
      </c>
    </row>
    <row r="87" spans="2:8">
      <c r="B87" s="1166" t="s">
        <v>2536</v>
      </c>
      <c r="C87" s="1155"/>
      <c r="D87" s="1162">
        <v>4133469</v>
      </c>
      <c r="E87" s="1162">
        <v>4075115</v>
      </c>
      <c r="F87" s="1169">
        <v>58354</v>
      </c>
      <c r="G87" s="1149">
        <v>17</v>
      </c>
      <c r="H87" s="1149" t="s">
        <v>2949</v>
      </c>
    </row>
    <row r="88" spans="2:8">
      <c r="B88" s="1168" t="s">
        <v>2537</v>
      </c>
      <c r="C88" s="1155"/>
      <c r="D88" s="1162">
        <v>217120</v>
      </c>
      <c r="E88" s="1162">
        <v>217120</v>
      </c>
      <c r="F88" s="1155"/>
      <c r="G88" s="1149">
        <v>7</v>
      </c>
      <c r="H88" s="1149" t="s">
        <v>2951</v>
      </c>
    </row>
    <row r="89" spans="2:8">
      <c r="B89" s="1167" t="s">
        <v>2538</v>
      </c>
      <c r="C89" s="1155"/>
      <c r="D89" s="1162">
        <v>61950</v>
      </c>
      <c r="E89" s="1162">
        <v>61950</v>
      </c>
      <c r="F89" s="1155"/>
      <c r="G89" s="1149">
        <v>7</v>
      </c>
      <c r="H89" s="1149" t="s">
        <v>2951</v>
      </c>
    </row>
    <row r="90" spans="2:8">
      <c r="B90" s="1166" t="s">
        <v>1925</v>
      </c>
      <c r="C90" s="1155"/>
      <c r="D90" s="1162">
        <v>9440</v>
      </c>
      <c r="E90" s="1162">
        <v>9440</v>
      </c>
      <c r="F90" s="1155"/>
      <c r="G90" s="1149">
        <v>7</v>
      </c>
      <c r="H90" s="1149" t="s">
        <v>2951</v>
      </c>
    </row>
    <row r="91" spans="2:8">
      <c r="B91" s="1166" t="s">
        <v>2243</v>
      </c>
      <c r="C91" s="1155"/>
      <c r="D91" s="1162">
        <v>1140888.96</v>
      </c>
      <c r="E91" s="1162">
        <v>1140888.96</v>
      </c>
      <c r="F91" s="1155"/>
      <c r="G91" s="1149">
        <v>7</v>
      </c>
      <c r="H91" s="1149" t="s">
        <v>2951</v>
      </c>
    </row>
    <row r="92" spans="2:8">
      <c r="B92" s="1166" t="s">
        <v>2244</v>
      </c>
      <c r="C92" s="1169">
        <v>234800</v>
      </c>
      <c r="D92" s="1162">
        <v>489130</v>
      </c>
      <c r="E92" s="1162">
        <v>723930</v>
      </c>
      <c r="F92" s="1155"/>
      <c r="G92" s="1149">
        <v>7</v>
      </c>
      <c r="H92" s="1149" t="s">
        <v>2951</v>
      </c>
    </row>
    <row r="93" spans="2:8">
      <c r="B93" s="1166" t="s">
        <v>2539</v>
      </c>
      <c r="C93" s="1155"/>
      <c r="D93" s="1162">
        <v>265000</v>
      </c>
      <c r="E93" s="1162">
        <v>306790</v>
      </c>
      <c r="F93" s="1157">
        <v>41790</v>
      </c>
      <c r="G93" s="1149">
        <v>7</v>
      </c>
      <c r="H93" s="1149" t="s">
        <v>2951</v>
      </c>
    </row>
    <row r="94" spans="2:8">
      <c r="B94" s="1166" t="s">
        <v>1927</v>
      </c>
      <c r="C94" s="1157">
        <v>76900</v>
      </c>
      <c r="D94" s="1162">
        <v>86400</v>
      </c>
      <c r="E94" s="1162">
        <v>9500</v>
      </c>
      <c r="F94" s="1155"/>
      <c r="G94" s="1149">
        <v>7</v>
      </c>
      <c r="H94" s="1149" t="s">
        <v>2951</v>
      </c>
    </row>
    <row r="95" spans="2:8">
      <c r="B95" s="1166" t="s">
        <v>1928</v>
      </c>
      <c r="C95" s="1157">
        <v>920</v>
      </c>
      <c r="D95" s="1162">
        <v>920</v>
      </c>
      <c r="E95" s="1158"/>
      <c r="F95" s="1155"/>
      <c r="G95" s="1149">
        <v>7</v>
      </c>
      <c r="H95" s="1149" t="s">
        <v>2951</v>
      </c>
    </row>
    <row r="96" spans="2:8">
      <c r="B96" s="1167" t="s">
        <v>2540</v>
      </c>
      <c r="C96" s="1155"/>
      <c r="D96" s="1162">
        <v>745579</v>
      </c>
      <c r="E96" s="1162">
        <v>745579</v>
      </c>
      <c r="F96" s="1155"/>
      <c r="G96" s="1149">
        <v>7</v>
      </c>
      <c r="H96" s="1149" t="s">
        <v>2951</v>
      </c>
    </row>
    <row r="97" spans="2:8">
      <c r="B97" s="1166" t="s">
        <v>2245</v>
      </c>
      <c r="C97" s="1155"/>
      <c r="D97" s="1162">
        <v>36118</v>
      </c>
      <c r="E97" s="1162">
        <v>36118</v>
      </c>
      <c r="F97" s="1155"/>
      <c r="G97" s="1149">
        <v>7</v>
      </c>
      <c r="H97" s="1149" t="s">
        <v>2951</v>
      </c>
    </row>
    <row r="98" spans="2:8">
      <c r="B98" s="1168" t="s">
        <v>2106</v>
      </c>
      <c r="C98" s="1169">
        <v>19765</v>
      </c>
      <c r="D98" s="1158"/>
      <c r="E98" s="1162">
        <v>19765</v>
      </c>
      <c r="F98" s="1155"/>
      <c r="G98" s="1149">
        <v>7</v>
      </c>
      <c r="H98" s="1149" t="s">
        <v>2951</v>
      </c>
    </row>
    <row r="99" spans="2:8">
      <c r="B99" s="1166" t="s">
        <v>2541</v>
      </c>
      <c r="C99" s="1155"/>
      <c r="D99" s="1162">
        <v>26845</v>
      </c>
      <c r="E99" s="1162">
        <v>26845</v>
      </c>
      <c r="F99" s="1155"/>
      <c r="G99" s="1149">
        <v>7</v>
      </c>
      <c r="H99" s="1149" t="s">
        <v>2951</v>
      </c>
    </row>
    <row r="100" spans="2:8">
      <c r="B100" s="1167" t="s">
        <v>2542</v>
      </c>
      <c r="C100" s="1155"/>
      <c r="D100" s="1162">
        <v>115000</v>
      </c>
      <c r="E100" s="1162">
        <v>115000</v>
      </c>
      <c r="F100" s="1155"/>
      <c r="G100" s="1149">
        <v>7</v>
      </c>
      <c r="H100" s="1149" t="s">
        <v>2951</v>
      </c>
    </row>
    <row r="101" spans="2:8">
      <c r="B101" s="1167" t="s">
        <v>2543</v>
      </c>
      <c r="C101" s="1155"/>
      <c r="D101" s="1162">
        <v>34490</v>
      </c>
      <c r="E101" s="1162">
        <v>34490</v>
      </c>
      <c r="F101" s="1155"/>
      <c r="G101" s="1149">
        <v>7</v>
      </c>
      <c r="H101" s="1149" t="s">
        <v>2951</v>
      </c>
    </row>
    <row r="102" spans="2:8">
      <c r="B102" s="1167" t="s">
        <v>1686</v>
      </c>
      <c r="C102" s="1155"/>
      <c r="D102" s="1162">
        <v>908104.4</v>
      </c>
      <c r="E102" s="1162">
        <v>908104.4</v>
      </c>
      <c r="F102" s="1155"/>
      <c r="G102" s="1149">
        <v>7</v>
      </c>
      <c r="H102" s="1149" t="s">
        <v>2951</v>
      </c>
    </row>
    <row r="103" spans="2:8">
      <c r="B103" s="1166" t="s">
        <v>2544</v>
      </c>
      <c r="C103" s="1155"/>
      <c r="D103" s="1162">
        <v>31211</v>
      </c>
      <c r="E103" s="1162">
        <v>31211</v>
      </c>
      <c r="F103" s="1155"/>
      <c r="G103" s="1149">
        <v>7</v>
      </c>
      <c r="H103" s="1149" t="s">
        <v>2951</v>
      </c>
    </row>
    <row r="104" spans="2:8">
      <c r="B104" s="1167" t="s">
        <v>2668</v>
      </c>
      <c r="C104" s="1155"/>
      <c r="D104" s="1158"/>
      <c r="E104" s="1162">
        <v>93036</v>
      </c>
      <c r="F104" s="1157">
        <v>93036</v>
      </c>
      <c r="G104" s="1149">
        <v>7</v>
      </c>
      <c r="H104" s="1149" t="s">
        <v>2951</v>
      </c>
    </row>
    <row r="105" spans="2:8">
      <c r="B105" s="1166" t="s">
        <v>588</v>
      </c>
      <c r="C105" s="1155"/>
      <c r="D105" s="1162">
        <v>8676</v>
      </c>
      <c r="E105" s="1162">
        <v>8676</v>
      </c>
      <c r="F105" s="1155"/>
      <c r="G105" s="1149">
        <v>7</v>
      </c>
      <c r="H105" s="1149" t="s">
        <v>2951</v>
      </c>
    </row>
    <row r="106" spans="2:8">
      <c r="B106" s="1168" t="s">
        <v>1402</v>
      </c>
      <c r="C106" s="1169">
        <v>262358</v>
      </c>
      <c r="D106" s="1162">
        <v>562506</v>
      </c>
      <c r="E106" s="1162">
        <v>821890</v>
      </c>
      <c r="F106" s="1169">
        <v>2974</v>
      </c>
      <c r="G106" s="1149">
        <v>17</v>
      </c>
      <c r="H106" s="1149" t="s">
        <v>2949</v>
      </c>
    </row>
    <row r="107" spans="2:8">
      <c r="B107" s="1166" t="s">
        <v>2250</v>
      </c>
      <c r="C107" s="1169">
        <v>520</v>
      </c>
      <c r="D107" s="1158"/>
      <c r="E107" s="1162">
        <v>520</v>
      </c>
      <c r="F107" s="1155"/>
      <c r="G107" s="1149">
        <v>7</v>
      </c>
      <c r="H107" s="1149" t="s">
        <v>2951</v>
      </c>
    </row>
    <row r="108" spans="2:8">
      <c r="B108" s="1166" t="s">
        <v>2252</v>
      </c>
      <c r="C108" s="1169">
        <v>10000</v>
      </c>
      <c r="D108" s="1158"/>
      <c r="E108" s="1158"/>
      <c r="F108" s="1169">
        <v>10000</v>
      </c>
      <c r="G108" s="1149">
        <v>17</v>
      </c>
      <c r="H108" s="1149" t="s">
        <v>2949</v>
      </c>
    </row>
    <row r="109" spans="2:8">
      <c r="B109" s="1166" t="s">
        <v>2545</v>
      </c>
      <c r="C109" s="1155"/>
      <c r="D109" s="1162">
        <v>435260</v>
      </c>
      <c r="E109" s="1162">
        <v>435260</v>
      </c>
      <c r="F109" s="1155"/>
      <c r="G109" s="1149">
        <v>7</v>
      </c>
      <c r="H109" s="1149" t="s">
        <v>2951</v>
      </c>
    </row>
    <row r="110" spans="2:8">
      <c r="B110" s="1172" t="s">
        <v>2253</v>
      </c>
      <c r="C110" s="1155"/>
      <c r="D110" s="1162">
        <v>212754</v>
      </c>
      <c r="E110" s="1162">
        <v>212754</v>
      </c>
      <c r="F110" s="1155"/>
      <c r="G110" s="1149">
        <v>7</v>
      </c>
      <c r="H110" s="1149" t="s">
        <v>2951</v>
      </c>
    </row>
    <row r="111" spans="2:8">
      <c r="B111" s="1167" t="s">
        <v>1933</v>
      </c>
      <c r="C111" s="1169">
        <v>11360</v>
      </c>
      <c r="D111" s="1162">
        <v>15600</v>
      </c>
      <c r="E111" s="1162">
        <v>26960</v>
      </c>
      <c r="F111" s="1155"/>
      <c r="G111" s="1149">
        <v>7</v>
      </c>
      <c r="H111" s="1149" t="s">
        <v>2951</v>
      </c>
    </row>
    <row r="112" spans="2:8">
      <c r="B112" s="1167" t="s">
        <v>1934</v>
      </c>
      <c r="C112" s="1169">
        <v>127499</v>
      </c>
      <c r="D112" s="1158"/>
      <c r="E112" s="1162">
        <v>127499</v>
      </c>
      <c r="F112" s="1155"/>
      <c r="G112" s="1149">
        <v>7</v>
      </c>
      <c r="H112" s="1149" t="s">
        <v>2951</v>
      </c>
    </row>
    <row r="113" spans="2:8">
      <c r="B113" s="1166" t="s">
        <v>258</v>
      </c>
      <c r="C113" s="1157">
        <v>196558</v>
      </c>
      <c r="D113" s="1162">
        <v>831590.16</v>
      </c>
      <c r="E113" s="1162">
        <v>635032.16</v>
      </c>
      <c r="F113" s="1155"/>
      <c r="G113" s="1149">
        <v>7</v>
      </c>
      <c r="H113" s="1149" t="s">
        <v>2951</v>
      </c>
    </row>
    <row r="114" spans="2:8">
      <c r="B114" s="1167" t="s">
        <v>1936</v>
      </c>
      <c r="C114" s="1157">
        <v>3200</v>
      </c>
      <c r="D114" s="1162">
        <v>1199956</v>
      </c>
      <c r="E114" s="1162">
        <v>1196756</v>
      </c>
      <c r="F114" s="1155"/>
      <c r="G114" s="1149">
        <v>7</v>
      </c>
      <c r="H114" s="1149" t="s">
        <v>2951</v>
      </c>
    </row>
    <row r="115" spans="2:8">
      <c r="B115" s="1166" t="s">
        <v>2546</v>
      </c>
      <c r="C115" s="1155"/>
      <c r="D115" s="1162">
        <v>671017</v>
      </c>
      <c r="E115" s="1162">
        <v>648666</v>
      </c>
      <c r="F115" s="1169">
        <v>22351</v>
      </c>
      <c r="G115" s="1149">
        <v>17</v>
      </c>
      <c r="H115" s="1149" t="s">
        <v>2949</v>
      </c>
    </row>
    <row r="116" spans="2:8">
      <c r="B116" s="1166" t="s">
        <v>2547</v>
      </c>
      <c r="C116" s="1155"/>
      <c r="D116" s="1162">
        <v>7950</v>
      </c>
      <c r="E116" s="1162">
        <v>7950</v>
      </c>
      <c r="F116" s="1155"/>
      <c r="G116" s="1149">
        <v>7</v>
      </c>
      <c r="H116" s="1149" t="s">
        <v>2951</v>
      </c>
    </row>
    <row r="117" spans="2:8">
      <c r="B117" s="1166" t="s">
        <v>1285</v>
      </c>
      <c r="C117" s="1155"/>
      <c r="D117" s="1162">
        <v>209498</v>
      </c>
      <c r="E117" s="1162">
        <v>209498</v>
      </c>
      <c r="F117" s="1155"/>
      <c r="G117" s="1149">
        <v>7</v>
      </c>
      <c r="H117" s="1149" t="s">
        <v>2951</v>
      </c>
    </row>
    <row r="118" spans="2:8">
      <c r="B118" s="1166" t="s">
        <v>2548</v>
      </c>
      <c r="C118" s="1155"/>
      <c r="D118" s="1162">
        <v>1000000</v>
      </c>
      <c r="E118" s="1162">
        <v>1044418</v>
      </c>
      <c r="F118" s="1157">
        <v>44418</v>
      </c>
      <c r="G118" s="1149">
        <v>7</v>
      </c>
      <c r="H118" s="1149" t="s">
        <v>2951</v>
      </c>
    </row>
    <row r="119" spans="2:8">
      <c r="B119" s="1167" t="s">
        <v>2254</v>
      </c>
      <c r="C119" s="1157">
        <v>313644</v>
      </c>
      <c r="D119" s="1162">
        <v>313644</v>
      </c>
      <c r="E119" s="1158"/>
      <c r="F119" s="1155"/>
      <c r="G119" s="1149">
        <v>7</v>
      </c>
      <c r="H119" s="1149" t="s">
        <v>2951</v>
      </c>
    </row>
    <row r="120" spans="2:8" s="1634" customFormat="1">
      <c r="B120" s="1631" t="s">
        <v>2281</v>
      </c>
      <c r="C120" s="1632">
        <v>3700</v>
      </c>
      <c r="D120" s="1633"/>
      <c r="E120" s="1633"/>
      <c r="F120" s="1632">
        <v>3700</v>
      </c>
      <c r="G120" s="1634">
        <v>7</v>
      </c>
      <c r="H120" s="1634" t="s">
        <v>2951</v>
      </c>
    </row>
    <row r="121" spans="2:8">
      <c r="B121" s="1166" t="s">
        <v>2549</v>
      </c>
      <c r="C121" s="1155"/>
      <c r="D121" s="1162">
        <v>13452</v>
      </c>
      <c r="E121" s="1162">
        <v>13452</v>
      </c>
      <c r="F121" s="1155"/>
      <c r="G121" s="1149">
        <v>7</v>
      </c>
      <c r="H121" s="1149" t="s">
        <v>2951</v>
      </c>
    </row>
    <row r="122" spans="2:8" s="1634" customFormat="1">
      <c r="B122" s="1631" t="s">
        <v>1423</v>
      </c>
      <c r="C122" s="1632">
        <v>28377</v>
      </c>
      <c r="D122" s="1633"/>
      <c r="E122" s="1633"/>
      <c r="F122" s="1632">
        <v>28377</v>
      </c>
      <c r="G122" s="1634">
        <v>7</v>
      </c>
      <c r="H122" s="1634" t="s">
        <v>2951</v>
      </c>
    </row>
    <row r="123" spans="2:8">
      <c r="B123" s="1168" t="s">
        <v>2550</v>
      </c>
      <c r="C123" s="1157">
        <v>54067.7</v>
      </c>
      <c r="D123" s="1162">
        <v>55877.7</v>
      </c>
      <c r="E123" s="1162">
        <v>1810</v>
      </c>
      <c r="F123" s="1155"/>
      <c r="G123" s="1149">
        <v>7</v>
      </c>
      <c r="H123" s="1149" t="s">
        <v>2951</v>
      </c>
    </row>
    <row r="124" spans="2:8">
      <c r="B124" s="1166" t="s">
        <v>1407</v>
      </c>
      <c r="C124" s="1169">
        <v>8581.6</v>
      </c>
      <c r="D124" s="1162">
        <v>9395</v>
      </c>
      <c r="E124" s="1162">
        <v>17976.599999999999</v>
      </c>
      <c r="F124" s="1155"/>
      <c r="G124" s="1149">
        <v>7</v>
      </c>
      <c r="H124" s="1149" t="s">
        <v>2951</v>
      </c>
    </row>
    <row r="125" spans="2:8">
      <c r="B125" s="1167" t="s">
        <v>1942</v>
      </c>
      <c r="C125" s="1169">
        <v>4648</v>
      </c>
      <c r="D125" s="1162">
        <v>800000</v>
      </c>
      <c r="E125" s="1162">
        <v>1395972</v>
      </c>
      <c r="F125" s="1157">
        <v>591324</v>
      </c>
      <c r="G125" s="1149">
        <v>7</v>
      </c>
      <c r="H125" s="1149" t="s">
        <v>2951</v>
      </c>
    </row>
    <row r="126" spans="2:8">
      <c r="B126" s="1166" t="s">
        <v>2551</v>
      </c>
      <c r="C126" s="1155"/>
      <c r="D126" s="1162">
        <v>382071</v>
      </c>
      <c r="E126" s="1162">
        <v>397941</v>
      </c>
      <c r="F126" s="1157">
        <v>15870</v>
      </c>
      <c r="G126" s="1149">
        <v>7</v>
      </c>
      <c r="H126" s="1149" t="s">
        <v>2951</v>
      </c>
    </row>
    <row r="127" spans="2:8">
      <c r="B127" s="1167" t="s">
        <v>2669</v>
      </c>
      <c r="C127" s="1155"/>
      <c r="D127" s="1162">
        <v>850000</v>
      </c>
      <c r="E127" s="1162">
        <v>848300</v>
      </c>
      <c r="F127" s="1169">
        <v>1700</v>
      </c>
      <c r="G127" s="1149">
        <v>17</v>
      </c>
      <c r="H127" s="1149" t="s">
        <v>2949</v>
      </c>
    </row>
    <row r="128" spans="2:8">
      <c r="B128" s="1166" t="s">
        <v>1943</v>
      </c>
      <c r="C128" s="1169">
        <v>8296</v>
      </c>
      <c r="D128" s="1158"/>
      <c r="E128" s="1162">
        <v>8296</v>
      </c>
      <c r="F128" s="1155"/>
      <c r="G128" s="1149">
        <v>7</v>
      </c>
      <c r="H128" s="1149" t="s">
        <v>2951</v>
      </c>
    </row>
    <row r="129" spans="2:8">
      <c r="B129" s="1166" t="s">
        <v>2552</v>
      </c>
      <c r="C129" s="1155"/>
      <c r="D129" s="1158"/>
      <c r="E129" s="1162">
        <v>9820</v>
      </c>
      <c r="F129" s="1157">
        <v>9820</v>
      </c>
      <c r="G129" s="1149">
        <v>7</v>
      </c>
      <c r="H129" s="1149" t="s">
        <v>2951</v>
      </c>
    </row>
    <row r="130" spans="2:8">
      <c r="B130" s="1166" t="s">
        <v>989</v>
      </c>
      <c r="C130" s="1169">
        <v>230424</v>
      </c>
      <c r="D130" s="1158"/>
      <c r="E130" s="1162">
        <v>230424</v>
      </c>
      <c r="F130" s="1155"/>
      <c r="G130" s="1149">
        <v>7</v>
      </c>
      <c r="H130" s="1149" t="s">
        <v>2951</v>
      </c>
    </row>
    <row r="131" spans="2:8">
      <c r="B131" s="1166" t="s">
        <v>1944</v>
      </c>
      <c r="C131" s="1157">
        <v>2124</v>
      </c>
      <c r="D131" s="1162">
        <v>175000</v>
      </c>
      <c r="E131" s="1158"/>
      <c r="F131" s="1169">
        <v>172876</v>
      </c>
      <c r="G131" s="1149">
        <v>17</v>
      </c>
      <c r="H131" s="1149" t="s">
        <v>2949</v>
      </c>
    </row>
    <row r="132" spans="2:8">
      <c r="B132" s="1168" t="s">
        <v>2553</v>
      </c>
      <c r="C132" s="1155"/>
      <c r="D132" s="1162">
        <v>176705</v>
      </c>
      <c r="E132" s="1162">
        <v>176705</v>
      </c>
      <c r="F132" s="1155"/>
      <c r="G132" s="1149">
        <v>7</v>
      </c>
      <c r="H132" s="1149" t="s">
        <v>2951</v>
      </c>
    </row>
    <row r="133" spans="2:8">
      <c r="B133" s="1166" t="s">
        <v>2257</v>
      </c>
      <c r="C133" s="1157">
        <v>31122</v>
      </c>
      <c r="D133" s="1162">
        <v>31122</v>
      </c>
      <c r="E133" s="1158"/>
      <c r="F133" s="1155"/>
      <c r="G133" s="1149">
        <v>7</v>
      </c>
      <c r="H133" s="1149" t="s">
        <v>2951</v>
      </c>
    </row>
    <row r="134" spans="2:8">
      <c r="B134" s="1167" t="s">
        <v>1945</v>
      </c>
      <c r="C134" s="1157">
        <v>57328</v>
      </c>
      <c r="D134" s="1162">
        <v>57328</v>
      </c>
      <c r="E134" s="1158"/>
      <c r="F134" s="1155"/>
      <c r="G134" s="1149">
        <v>7</v>
      </c>
      <c r="H134" s="1149" t="s">
        <v>2951</v>
      </c>
    </row>
    <row r="135" spans="2:8">
      <c r="B135" s="1166" t="s">
        <v>2554</v>
      </c>
      <c r="C135" s="1155"/>
      <c r="D135" s="1162">
        <v>31920</v>
      </c>
      <c r="E135" s="1162">
        <v>45970</v>
      </c>
      <c r="F135" s="1157">
        <v>14050</v>
      </c>
      <c r="G135" s="1149">
        <v>7</v>
      </c>
      <c r="H135" s="1149" t="s">
        <v>2951</v>
      </c>
    </row>
    <row r="136" spans="2:8">
      <c r="B136" s="1167" t="s">
        <v>2259</v>
      </c>
      <c r="C136" s="1155"/>
      <c r="D136" s="1162">
        <v>29511</v>
      </c>
      <c r="E136" s="1162">
        <v>29511</v>
      </c>
      <c r="F136" s="1155"/>
      <c r="G136" s="1149">
        <v>7</v>
      </c>
      <c r="H136" s="1149" t="s">
        <v>2951</v>
      </c>
    </row>
    <row r="137" spans="2:8">
      <c r="B137" s="1168" t="s">
        <v>2555</v>
      </c>
      <c r="C137" s="1155"/>
      <c r="D137" s="1162">
        <v>25000</v>
      </c>
      <c r="E137" s="1158"/>
      <c r="F137" s="1169">
        <v>25000</v>
      </c>
      <c r="G137" s="1149">
        <v>17</v>
      </c>
      <c r="H137" s="1149" t="s">
        <v>2949</v>
      </c>
    </row>
    <row r="138" spans="2:8">
      <c r="B138" s="1166" t="s">
        <v>1693</v>
      </c>
      <c r="C138" s="1157">
        <v>176638.82</v>
      </c>
      <c r="D138" s="1162">
        <v>309099.44</v>
      </c>
      <c r="E138" s="1162">
        <v>137045</v>
      </c>
      <c r="F138" s="1157">
        <v>4584.38</v>
      </c>
      <c r="G138" s="1149">
        <v>7</v>
      </c>
      <c r="H138" s="1149" t="s">
        <v>2951</v>
      </c>
    </row>
    <row r="139" spans="2:8">
      <c r="B139" s="1166" t="s">
        <v>2260</v>
      </c>
      <c r="C139" s="1155"/>
      <c r="D139" s="1162">
        <v>519200</v>
      </c>
      <c r="E139" s="1162">
        <v>519200</v>
      </c>
      <c r="F139" s="1155"/>
      <c r="G139" s="1149">
        <v>7</v>
      </c>
      <c r="H139" s="1149" t="s">
        <v>2951</v>
      </c>
    </row>
    <row r="140" spans="2:8">
      <c r="B140" s="1166" t="s">
        <v>1946</v>
      </c>
      <c r="C140" s="1169">
        <v>7000</v>
      </c>
      <c r="D140" s="1158"/>
      <c r="E140" s="1162">
        <v>7000</v>
      </c>
      <c r="F140" s="1155"/>
      <c r="G140" s="1149">
        <v>7</v>
      </c>
      <c r="H140" s="1149" t="s">
        <v>2951</v>
      </c>
    </row>
    <row r="141" spans="2:8">
      <c r="B141" s="1168" t="s">
        <v>596</v>
      </c>
      <c r="C141" s="1157">
        <v>73374</v>
      </c>
      <c r="D141" s="1162">
        <v>90865.72</v>
      </c>
      <c r="E141" s="1162">
        <v>38514</v>
      </c>
      <c r="F141" s="1157">
        <v>21022.28</v>
      </c>
      <c r="G141" s="1149">
        <v>7</v>
      </c>
      <c r="H141" s="1149" t="s">
        <v>2951</v>
      </c>
    </row>
    <row r="142" spans="2:8">
      <c r="B142" s="1168" t="s">
        <v>2670</v>
      </c>
      <c r="C142" s="1155"/>
      <c r="D142" s="1162">
        <v>113000</v>
      </c>
      <c r="E142" s="1162">
        <v>187000</v>
      </c>
      <c r="F142" s="1157">
        <v>74000</v>
      </c>
      <c r="G142" s="1149">
        <v>7</v>
      </c>
      <c r="H142" s="1149" t="s">
        <v>2951</v>
      </c>
    </row>
    <row r="143" spans="2:8">
      <c r="B143" s="1166" t="s">
        <v>1950</v>
      </c>
      <c r="C143" s="1155"/>
      <c r="D143" s="1162">
        <v>10620</v>
      </c>
      <c r="E143" s="1162">
        <v>10620</v>
      </c>
      <c r="F143" s="1155"/>
      <c r="G143" s="1149">
        <v>7</v>
      </c>
      <c r="H143" s="1149" t="s">
        <v>2951</v>
      </c>
    </row>
    <row r="144" spans="2:8">
      <c r="B144" s="1166" t="s">
        <v>600</v>
      </c>
      <c r="C144" s="1169">
        <v>105236</v>
      </c>
      <c r="D144" s="1162">
        <v>950993</v>
      </c>
      <c r="E144" s="1162">
        <v>998412</v>
      </c>
      <c r="F144" s="1169">
        <v>57817</v>
      </c>
      <c r="G144" s="1149">
        <v>17</v>
      </c>
      <c r="H144" s="1149" t="s">
        <v>2949</v>
      </c>
    </row>
    <row r="145" spans="2:8">
      <c r="B145" s="1166" t="s">
        <v>2556</v>
      </c>
      <c r="C145" s="1155"/>
      <c r="D145" s="1162">
        <v>1158780</v>
      </c>
      <c r="E145" s="1162">
        <v>1158780</v>
      </c>
      <c r="F145" s="1155"/>
      <c r="G145" s="1149">
        <v>7</v>
      </c>
      <c r="H145" s="1149" t="s">
        <v>2951</v>
      </c>
    </row>
    <row r="146" spans="2:8">
      <c r="B146" s="1167" t="s">
        <v>2262</v>
      </c>
      <c r="C146" s="1155"/>
      <c r="D146" s="1162">
        <v>200150</v>
      </c>
      <c r="E146" s="1162">
        <v>50150</v>
      </c>
      <c r="F146" s="1169">
        <v>150000</v>
      </c>
      <c r="G146" s="1149">
        <v>17</v>
      </c>
      <c r="H146" s="1149" t="s">
        <v>2949</v>
      </c>
    </row>
    <row r="147" spans="2:8">
      <c r="B147" s="1166" t="s">
        <v>2557</v>
      </c>
      <c r="C147" s="1155"/>
      <c r="D147" s="1162">
        <v>145000</v>
      </c>
      <c r="E147" s="1162">
        <v>145000</v>
      </c>
      <c r="F147" s="1155"/>
      <c r="G147" s="1149">
        <v>7</v>
      </c>
      <c r="H147" s="1149" t="s">
        <v>2951</v>
      </c>
    </row>
    <row r="148" spans="2:8">
      <c r="B148" s="1166" t="s">
        <v>2264</v>
      </c>
      <c r="C148" s="1169">
        <v>72570</v>
      </c>
      <c r="D148" s="1162">
        <v>59684</v>
      </c>
      <c r="E148" s="1162">
        <v>132254</v>
      </c>
      <c r="F148" s="1155"/>
      <c r="G148" s="1149">
        <v>7</v>
      </c>
      <c r="H148" s="1149" t="s">
        <v>2951</v>
      </c>
    </row>
    <row r="149" spans="2:8">
      <c r="B149" s="1167" t="s">
        <v>1953</v>
      </c>
      <c r="C149" s="1169">
        <v>99690</v>
      </c>
      <c r="D149" s="1162">
        <v>175400</v>
      </c>
      <c r="E149" s="1162">
        <v>283527</v>
      </c>
      <c r="F149" s="1157">
        <v>8437</v>
      </c>
      <c r="G149" s="1149">
        <v>7</v>
      </c>
      <c r="H149" s="1149" t="s">
        <v>2951</v>
      </c>
    </row>
    <row r="150" spans="2:8">
      <c r="B150" s="1166" t="s">
        <v>2671</v>
      </c>
      <c r="C150" s="1155"/>
      <c r="D150" s="1162">
        <v>38430</v>
      </c>
      <c r="E150" s="1162">
        <v>50780</v>
      </c>
      <c r="F150" s="1157">
        <v>12350</v>
      </c>
      <c r="G150" s="1149">
        <v>7</v>
      </c>
      <c r="H150" s="1149" t="s">
        <v>2951</v>
      </c>
    </row>
    <row r="151" spans="2:8">
      <c r="B151" s="1166" t="s">
        <v>1954</v>
      </c>
      <c r="C151" s="1169">
        <v>8710</v>
      </c>
      <c r="D151" s="1162">
        <v>4390</v>
      </c>
      <c r="E151" s="1162">
        <v>13100</v>
      </c>
      <c r="F151" s="1155"/>
      <c r="G151" s="1149">
        <v>7</v>
      </c>
      <c r="H151" s="1149" t="s">
        <v>2951</v>
      </c>
    </row>
    <row r="152" spans="2:8">
      <c r="B152" s="1166" t="s">
        <v>2558</v>
      </c>
      <c r="C152" s="1155"/>
      <c r="D152" s="1162">
        <v>16430</v>
      </c>
      <c r="E152" s="1162">
        <v>16430</v>
      </c>
      <c r="F152" s="1155"/>
      <c r="G152" s="1149">
        <v>7</v>
      </c>
      <c r="H152" s="1149" t="s">
        <v>2951</v>
      </c>
    </row>
    <row r="153" spans="2:8">
      <c r="B153" s="1166" t="s">
        <v>2559</v>
      </c>
      <c r="C153" s="1155"/>
      <c r="D153" s="1162">
        <v>446262</v>
      </c>
      <c r="E153" s="1162">
        <v>446262</v>
      </c>
      <c r="F153" s="1155"/>
      <c r="G153" s="1149">
        <v>7</v>
      </c>
      <c r="H153" s="1149" t="s">
        <v>2951</v>
      </c>
    </row>
    <row r="154" spans="2:8">
      <c r="B154" s="1166" t="s">
        <v>2265</v>
      </c>
      <c r="C154" s="1157">
        <v>37800</v>
      </c>
      <c r="D154" s="1162">
        <v>306600</v>
      </c>
      <c r="E154" s="1162">
        <v>268800</v>
      </c>
      <c r="F154" s="1155"/>
      <c r="G154" s="1149">
        <v>7</v>
      </c>
      <c r="H154" s="1149" t="s">
        <v>2951</v>
      </c>
    </row>
    <row r="155" spans="2:8">
      <c r="B155" s="1166" t="s">
        <v>603</v>
      </c>
      <c r="C155" s="1169">
        <v>240796</v>
      </c>
      <c r="D155" s="1162">
        <v>500496</v>
      </c>
      <c r="E155" s="1162">
        <v>743250</v>
      </c>
      <c r="F155" s="1157">
        <v>1958</v>
      </c>
      <c r="G155" s="1149">
        <v>7</v>
      </c>
      <c r="H155" s="1149" t="s">
        <v>2951</v>
      </c>
    </row>
    <row r="156" spans="2:8">
      <c r="B156" s="1166" t="s">
        <v>1412</v>
      </c>
      <c r="C156" s="1155"/>
      <c r="D156" s="1162">
        <v>461974</v>
      </c>
      <c r="E156" s="1162">
        <v>461974</v>
      </c>
      <c r="F156" s="1155"/>
      <c r="G156" s="1149">
        <v>7</v>
      </c>
      <c r="H156" s="1149" t="s">
        <v>2951</v>
      </c>
    </row>
    <row r="157" spans="2:8">
      <c r="B157" s="1166" t="s">
        <v>2560</v>
      </c>
      <c r="C157" s="1155"/>
      <c r="D157" s="1162">
        <v>452036</v>
      </c>
      <c r="E157" s="1162">
        <v>452036</v>
      </c>
      <c r="F157" s="1155"/>
      <c r="G157" s="1149">
        <v>7</v>
      </c>
      <c r="H157" s="1149" t="s">
        <v>2951</v>
      </c>
    </row>
    <row r="158" spans="2:8">
      <c r="B158" s="1168" t="s">
        <v>2561</v>
      </c>
      <c r="C158" s="1155"/>
      <c r="D158" s="1162">
        <v>269500</v>
      </c>
      <c r="E158" s="1162">
        <v>269500</v>
      </c>
      <c r="F158" s="1155"/>
      <c r="G158" s="1149">
        <v>7</v>
      </c>
      <c r="H158" s="1149" t="s">
        <v>2951</v>
      </c>
    </row>
    <row r="159" spans="2:8">
      <c r="B159" s="1168" t="s">
        <v>2562</v>
      </c>
      <c r="C159" s="1155"/>
      <c r="D159" s="1162">
        <v>42008</v>
      </c>
      <c r="E159" s="1162">
        <v>55601</v>
      </c>
      <c r="F159" s="1157">
        <v>13593</v>
      </c>
      <c r="G159" s="1149">
        <v>7</v>
      </c>
      <c r="H159" s="1149" t="s">
        <v>2951</v>
      </c>
    </row>
    <row r="160" spans="2:8">
      <c r="B160" s="1166" t="s">
        <v>2563</v>
      </c>
      <c r="C160" s="1155"/>
      <c r="D160" s="1162">
        <v>158760</v>
      </c>
      <c r="E160" s="1162">
        <v>158760</v>
      </c>
      <c r="F160" s="1155"/>
      <c r="G160" s="1149">
        <v>7</v>
      </c>
      <c r="H160" s="1149" t="s">
        <v>2951</v>
      </c>
    </row>
    <row r="161" spans="2:8">
      <c r="B161" s="1166" t="s">
        <v>604</v>
      </c>
      <c r="C161" s="1157">
        <v>5520</v>
      </c>
      <c r="D161" s="1162">
        <v>5760</v>
      </c>
      <c r="E161" s="1162">
        <v>21060</v>
      </c>
      <c r="F161" s="1157">
        <v>20820</v>
      </c>
      <c r="G161" s="1149">
        <v>7</v>
      </c>
      <c r="H161" s="1149" t="s">
        <v>2951</v>
      </c>
    </row>
    <row r="162" spans="2:8">
      <c r="B162" s="1168" t="s">
        <v>2564</v>
      </c>
      <c r="C162" s="1155"/>
      <c r="D162" s="1162">
        <v>50800</v>
      </c>
      <c r="E162" s="1162">
        <v>50800</v>
      </c>
      <c r="F162" s="1155"/>
      <c r="G162" s="1149">
        <v>7</v>
      </c>
      <c r="H162" s="1149" t="s">
        <v>2951</v>
      </c>
    </row>
    <row r="163" spans="2:8">
      <c r="B163" s="1168" t="s">
        <v>2565</v>
      </c>
      <c r="C163" s="1155"/>
      <c r="D163" s="1162">
        <v>114000</v>
      </c>
      <c r="E163" s="1162">
        <v>114000</v>
      </c>
      <c r="F163" s="1155"/>
      <c r="G163" s="1149">
        <v>7</v>
      </c>
      <c r="H163" s="1149" t="s">
        <v>2951</v>
      </c>
    </row>
    <row r="164" spans="2:8">
      <c r="B164" s="1168" t="s">
        <v>1955</v>
      </c>
      <c r="C164" s="1169">
        <v>742</v>
      </c>
      <c r="D164" s="1162">
        <v>120360</v>
      </c>
      <c r="E164" s="1162">
        <v>121102</v>
      </c>
      <c r="F164" s="1155"/>
      <c r="G164" s="1149">
        <v>7</v>
      </c>
      <c r="H164" s="1149" t="s">
        <v>2951</v>
      </c>
    </row>
    <row r="165" spans="2:8">
      <c r="B165" s="1167" t="s">
        <v>2566</v>
      </c>
      <c r="C165" s="1155"/>
      <c r="D165" s="1162">
        <v>866369</v>
      </c>
      <c r="E165" s="1162">
        <v>866369</v>
      </c>
      <c r="F165" s="1155"/>
      <c r="G165" s="1149">
        <v>7</v>
      </c>
      <c r="H165" s="1149" t="s">
        <v>2951</v>
      </c>
    </row>
    <row r="166" spans="2:8">
      <c r="B166" s="1167" t="s">
        <v>2567</v>
      </c>
      <c r="C166" s="1155"/>
      <c r="D166" s="1162">
        <v>497299</v>
      </c>
      <c r="E166" s="1162">
        <v>497299</v>
      </c>
      <c r="F166" s="1155"/>
      <c r="G166" s="1149">
        <v>7</v>
      </c>
      <c r="H166" s="1149" t="s">
        <v>2951</v>
      </c>
    </row>
    <row r="167" spans="2:8">
      <c r="B167" s="1168" t="s">
        <v>1413</v>
      </c>
      <c r="C167" s="1157">
        <v>1</v>
      </c>
      <c r="D167" s="1162">
        <v>113779</v>
      </c>
      <c r="E167" s="1162">
        <v>113778</v>
      </c>
      <c r="F167" s="1155"/>
      <c r="G167" s="1149">
        <v>7</v>
      </c>
      <c r="H167" s="1149" t="s">
        <v>2951</v>
      </c>
    </row>
    <row r="168" spans="2:8">
      <c r="B168" s="1166" t="s">
        <v>1959</v>
      </c>
      <c r="C168" s="1157">
        <v>1</v>
      </c>
      <c r="D168" s="1158"/>
      <c r="E168" s="1158"/>
      <c r="F168" s="1157">
        <v>1</v>
      </c>
      <c r="G168" s="1149">
        <v>7</v>
      </c>
      <c r="H168" s="1149" t="s">
        <v>2951</v>
      </c>
    </row>
    <row r="169" spans="2:8">
      <c r="B169" s="1166" t="s">
        <v>2568</v>
      </c>
      <c r="C169" s="1155"/>
      <c r="D169" s="1162">
        <v>25665</v>
      </c>
      <c r="E169" s="1162">
        <v>25665</v>
      </c>
      <c r="F169" s="1155"/>
      <c r="G169" s="1149">
        <v>7</v>
      </c>
      <c r="H169" s="1149" t="s">
        <v>2951</v>
      </c>
    </row>
    <row r="170" spans="2:8">
      <c r="B170" s="1166" t="s">
        <v>2267</v>
      </c>
      <c r="C170" s="1169">
        <v>310639</v>
      </c>
      <c r="D170" s="1158"/>
      <c r="E170" s="1162">
        <v>310639</v>
      </c>
      <c r="F170" s="1155"/>
      <c r="G170" s="1149">
        <v>7</v>
      </c>
      <c r="H170" s="1149" t="s">
        <v>2951</v>
      </c>
    </row>
    <row r="171" spans="2:8">
      <c r="B171" s="1166" t="s">
        <v>2268</v>
      </c>
      <c r="C171" s="1155"/>
      <c r="D171" s="1162">
        <v>3567000</v>
      </c>
      <c r="E171" s="1162">
        <v>3567000</v>
      </c>
      <c r="F171" s="1155"/>
      <c r="G171" s="1149">
        <v>7</v>
      </c>
      <c r="H171" s="1149" t="s">
        <v>2951</v>
      </c>
    </row>
    <row r="172" spans="2:8">
      <c r="B172" s="1166" t="s">
        <v>1961</v>
      </c>
      <c r="C172" s="1157">
        <v>861.15</v>
      </c>
      <c r="D172" s="1162">
        <v>861.15</v>
      </c>
      <c r="E172" s="1158"/>
      <c r="F172" s="1155"/>
      <c r="G172" s="1149">
        <v>7</v>
      </c>
      <c r="H172" s="1149" t="s">
        <v>2951</v>
      </c>
    </row>
    <row r="173" spans="2:8">
      <c r="B173" s="1168" t="s">
        <v>606</v>
      </c>
      <c r="C173" s="1157">
        <v>315401</v>
      </c>
      <c r="D173" s="1162">
        <v>841388.72</v>
      </c>
      <c r="E173" s="1162">
        <v>860957</v>
      </c>
      <c r="F173" s="1157">
        <v>334969.28000000003</v>
      </c>
      <c r="G173" s="1149">
        <v>7</v>
      </c>
      <c r="H173" s="1149" t="s">
        <v>2951</v>
      </c>
    </row>
    <row r="174" spans="2:8">
      <c r="B174" s="1167" t="s">
        <v>1962</v>
      </c>
      <c r="C174" s="1169">
        <v>2</v>
      </c>
      <c r="D174" s="1162">
        <v>234528</v>
      </c>
      <c r="E174" s="1162">
        <v>234530</v>
      </c>
      <c r="F174" s="1155"/>
      <c r="G174" s="1149">
        <v>7</v>
      </c>
      <c r="H174" s="1149" t="s">
        <v>2951</v>
      </c>
    </row>
    <row r="175" spans="2:8">
      <c r="B175" s="1167" t="s">
        <v>2269</v>
      </c>
      <c r="C175" s="1157">
        <v>11328</v>
      </c>
      <c r="D175" s="1162">
        <v>11328</v>
      </c>
      <c r="E175" s="1158"/>
      <c r="F175" s="1155"/>
      <c r="G175" s="1149">
        <v>7</v>
      </c>
      <c r="H175" s="1149" t="s">
        <v>2951</v>
      </c>
    </row>
    <row r="176" spans="2:8">
      <c r="B176" s="1166" t="s">
        <v>2569</v>
      </c>
      <c r="C176" s="1155"/>
      <c r="D176" s="1162">
        <v>61425</v>
      </c>
      <c r="E176" s="1162">
        <v>61425</v>
      </c>
      <c r="F176" s="1155"/>
      <c r="G176" s="1149">
        <v>7</v>
      </c>
      <c r="H176" s="1149" t="s">
        <v>2951</v>
      </c>
    </row>
    <row r="177" spans="2:8">
      <c r="B177" s="1166" t="s">
        <v>1414</v>
      </c>
      <c r="C177" s="1169">
        <v>152500</v>
      </c>
      <c r="D177" s="1162">
        <v>748000</v>
      </c>
      <c r="E177" s="1162">
        <v>900500</v>
      </c>
      <c r="F177" s="1155"/>
      <c r="G177" s="1149">
        <v>7</v>
      </c>
      <c r="H177" s="1149" t="s">
        <v>2951</v>
      </c>
    </row>
    <row r="178" spans="2:8">
      <c r="B178" s="1168" t="s">
        <v>1964</v>
      </c>
      <c r="C178" s="1157">
        <v>16402.3</v>
      </c>
      <c r="D178" s="1162">
        <v>16402.3</v>
      </c>
      <c r="E178" s="1158"/>
      <c r="F178" s="1155"/>
      <c r="G178" s="1149">
        <v>7</v>
      </c>
      <c r="H178" s="1149" t="s">
        <v>2951</v>
      </c>
    </row>
    <row r="179" spans="2:8">
      <c r="B179" s="1166" t="s">
        <v>2570</v>
      </c>
      <c r="C179" s="1155"/>
      <c r="D179" s="1162">
        <v>379010</v>
      </c>
      <c r="E179" s="1162">
        <v>379010</v>
      </c>
      <c r="F179" s="1155"/>
      <c r="G179" s="1149">
        <v>7</v>
      </c>
      <c r="H179" s="1149" t="s">
        <v>2951</v>
      </c>
    </row>
    <row r="180" spans="2:8">
      <c r="B180" s="1168" t="s">
        <v>2270</v>
      </c>
      <c r="C180" s="1169">
        <v>421142</v>
      </c>
      <c r="D180" s="1162">
        <v>795673</v>
      </c>
      <c r="E180" s="1162">
        <v>1216815</v>
      </c>
      <c r="F180" s="1155"/>
      <c r="G180" s="1149">
        <v>7</v>
      </c>
      <c r="H180" s="1149" t="s">
        <v>2951</v>
      </c>
    </row>
    <row r="181" spans="2:8">
      <c r="B181" s="1167" t="s">
        <v>1804</v>
      </c>
      <c r="C181" s="1157">
        <v>44823</v>
      </c>
      <c r="D181" s="1162">
        <v>117130</v>
      </c>
      <c r="E181" s="1162">
        <v>113517</v>
      </c>
      <c r="F181" s="1157">
        <v>41210</v>
      </c>
      <c r="G181" s="1149">
        <v>7</v>
      </c>
      <c r="H181" s="1149" t="s">
        <v>2951</v>
      </c>
    </row>
    <row r="182" spans="2:8">
      <c r="B182" s="1167" t="s">
        <v>1966</v>
      </c>
      <c r="C182" s="1155"/>
      <c r="D182" s="1162">
        <v>116571</v>
      </c>
      <c r="E182" s="1162">
        <v>136129</v>
      </c>
      <c r="F182" s="1157">
        <v>19558</v>
      </c>
      <c r="G182" s="1149">
        <v>7</v>
      </c>
      <c r="H182" s="1149" t="s">
        <v>2951</v>
      </c>
    </row>
    <row r="183" spans="2:8">
      <c r="B183" s="1167" t="s">
        <v>1968</v>
      </c>
      <c r="C183" s="1155"/>
      <c r="D183" s="1162">
        <v>175466</v>
      </c>
      <c r="E183" s="1162">
        <v>175466</v>
      </c>
      <c r="F183" s="1155"/>
      <c r="G183" s="1149">
        <v>7</v>
      </c>
      <c r="H183" s="1149" t="s">
        <v>2951</v>
      </c>
    </row>
    <row r="184" spans="2:8">
      <c r="B184" s="1166" t="s">
        <v>2571</v>
      </c>
      <c r="C184" s="1155"/>
      <c r="D184" s="1162">
        <v>39920</v>
      </c>
      <c r="E184" s="1162">
        <v>39920</v>
      </c>
      <c r="F184" s="1155"/>
      <c r="G184" s="1149">
        <v>7</v>
      </c>
      <c r="H184" s="1149" t="s">
        <v>2951</v>
      </c>
    </row>
    <row r="185" spans="2:8">
      <c r="B185" s="1166" t="s">
        <v>2572</v>
      </c>
      <c r="C185" s="1155"/>
      <c r="D185" s="1162">
        <v>84960</v>
      </c>
      <c r="E185" s="1162">
        <v>84960</v>
      </c>
      <c r="F185" s="1155"/>
      <c r="G185" s="1149">
        <v>7</v>
      </c>
      <c r="H185" s="1149" t="s">
        <v>2951</v>
      </c>
    </row>
    <row r="186" spans="2:8">
      <c r="B186" s="1167" t="s">
        <v>2273</v>
      </c>
      <c r="C186" s="1155"/>
      <c r="D186" s="1162">
        <v>1414721</v>
      </c>
      <c r="E186" s="1162">
        <v>1414721</v>
      </c>
      <c r="F186" s="1155"/>
      <c r="G186" s="1149">
        <v>7</v>
      </c>
      <c r="H186" s="1149" t="s">
        <v>2951</v>
      </c>
    </row>
    <row r="187" spans="2:8">
      <c r="B187" s="1166" t="s">
        <v>1290</v>
      </c>
      <c r="C187" s="1157">
        <v>217146</v>
      </c>
      <c r="D187" s="1162">
        <v>1067454.44</v>
      </c>
      <c r="E187" s="1162">
        <v>1285376.44</v>
      </c>
      <c r="F187" s="1157">
        <v>435068</v>
      </c>
      <c r="G187" s="1149">
        <v>7</v>
      </c>
      <c r="H187" s="1149" t="s">
        <v>2951</v>
      </c>
    </row>
    <row r="188" spans="2:8">
      <c r="B188" s="1166" t="s">
        <v>1969</v>
      </c>
      <c r="C188" s="1169">
        <v>3640</v>
      </c>
      <c r="D188" s="1162">
        <v>105680.36</v>
      </c>
      <c r="E188" s="1162">
        <v>152231</v>
      </c>
      <c r="F188" s="1157">
        <v>42910.64</v>
      </c>
      <c r="G188" s="1149">
        <v>7</v>
      </c>
      <c r="H188" s="1149" t="s">
        <v>2951</v>
      </c>
    </row>
    <row r="189" spans="2:8">
      <c r="B189" s="1166" t="s">
        <v>1792</v>
      </c>
      <c r="C189" s="1169">
        <v>2</v>
      </c>
      <c r="D189" s="1162">
        <v>67181</v>
      </c>
      <c r="E189" s="1162">
        <v>67183</v>
      </c>
      <c r="F189" s="1155"/>
      <c r="G189" s="1149">
        <v>7</v>
      </c>
      <c r="H189" s="1149" t="s">
        <v>2951</v>
      </c>
    </row>
    <row r="190" spans="2:8">
      <c r="B190" s="1167" t="s">
        <v>2531</v>
      </c>
      <c r="C190" s="1155"/>
      <c r="D190" s="1162">
        <v>17091</v>
      </c>
      <c r="E190" s="1162">
        <v>17641</v>
      </c>
      <c r="F190" s="1157">
        <v>550</v>
      </c>
      <c r="G190" s="1149">
        <v>7</v>
      </c>
      <c r="H190" s="1149" t="s">
        <v>2951</v>
      </c>
    </row>
    <row r="191" spans="2:8">
      <c r="B191" s="1166" t="s">
        <v>257</v>
      </c>
      <c r="C191" s="1157">
        <v>756181.5</v>
      </c>
      <c r="D191" s="1162">
        <v>2050726.72</v>
      </c>
      <c r="E191" s="1162">
        <v>1810261</v>
      </c>
      <c r="F191" s="1157">
        <v>515715.78</v>
      </c>
      <c r="G191" s="1149">
        <v>7</v>
      </c>
      <c r="H191" s="1149" t="s">
        <v>2951</v>
      </c>
    </row>
    <row r="192" spans="2:8">
      <c r="B192" s="1167" t="s">
        <v>586</v>
      </c>
      <c r="C192" s="1169">
        <v>30368</v>
      </c>
      <c r="D192" s="1162">
        <v>27333</v>
      </c>
      <c r="E192" s="1162">
        <v>69099</v>
      </c>
      <c r="F192" s="1157">
        <v>11398</v>
      </c>
      <c r="G192" s="1149">
        <v>7</v>
      </c>
      <c r="H192" s="1149" t="s">
        <v>2951</v>
      </c>
    </row>
    <row r="193" spans="2:8">
      <c r="B193" s="1166" t="s">
        <v>2274</v>
      </c>
      <c r="C193" s="1155"/>
      <c r="D193" s="1162">
        <v>150000</v>
      </c>
      <c r="E193" s="1162">
        <v>150000</v>
      </c>
      <c r="F193" s="1155"/>
      <c r="G193" s="1149">
        <v>7</v>
      </c>
      <c r="H193" s="1149" t="s">
        <v>2951</v>
      </c>
    </row>
    <row r="194" spans="2:8">
      <c r="B194" s="1170" t="s">
        <v>587</v>
      </c>
      <c r="C194" s="1157">
        <v>58898.879999999997</v>
      </c>
      <c r="D194" s="1162">
        <v>1064047.3500000001</v>
      </c>
      <c r="E194" s="1162">
        <v>1044899</v>
      </c>
      <c r="F194" s="1157">
        <v>39750.53</v>
      </c>
      <c r="G194" s="1149">
        <v>7</v>
      </c>
      <c r="H194" s="1149" t="s">
        <v>2951</v>
      </c>
    </row>
    <row r="195" spans="2:8">
      <c r="B195" s="1167" t="s">
        <v>1795</v>
      </c>
      <c r="C195" s="1157">
        <v>188316</v>
      </c>
      <c r="D195" s="1162">
        <v>247254.72</v>
      </c>
      <c r="E195" s="1162">
        <v>124098.72</v>
      </c>
      <c r="F195" s="1157">
        <v>65160</v>
      </c>
      <c r="G195" s="1149">
        <v>7</v>
      </c>
      <c r="H195" s="1149" t="s">
        <v>2951</v>
      </c>
    </row>
    <row r="196" spans="2:8">
      <c r="B196" s="1166" t="s">
        <v>2275</v>
      </c>
      <c r="C196" s="1157">
        <v>21251</v>
      </c>
      <c r="D196" s="1162">
        <v>112778.72</v>
      </c>
      <c r="E196" s="1162">
        <v>160931.72</v>
      </c>
      <c r="F196" s="1157">
        <v>69404</v>
      </c>
      <c r="G196" s="1149">
        <v>7</v>
      </c>
      <c r="H196" s="1149" t="s">
        <v>2951</v>
      </c>
    </row>
    <row r="197" spans="2:8">
      <c r="B197" s="1167" t="s">
        <v>1801</v>
      </c>
      <c r="C197" s="1157">
        <v>21992</v>
      </c>
      <c r="D197" s="1162">
        <v>43984</v>
      </c>
      <c r="E197" s="1162">
        <v>21992</v>
      </c>
      <c r="F197" s="1155"/>
      <c r="G197" s="1149">
        <v>7</v>
      </c>
      <c r="H197" s="1149" t="s">
        <v>2951</v>
      </c>
    </row>
    <row r="198" spans="2:8">
      <c r="B198" s="1166" t="s">
        <v>1418</v>
      </c>
      <c r="C198" s="1169">
        <v>45667</v>
      </c>
      <c r="D198" s="1158"/>
      <c r="E198" s="1162">
        <v>612518</v>
      </c>
      <c r="F198" s="1157">
        <v>566851</v>
      </c>
      <c r="G198" s="1149">
        <v>7</v>
      </c>
      <c r="H198" s="1149" t="s">
        <v>2951</v>
      </c>
    </row>
    <row r="199" spans="2:8">
      <c r="B199" s="1166" t="s">
        <v>609</v>
      </c>
      <c r="C199" s="1169">
        <v>5550</v>
      </c>
      <c r="D199" s="1162">
        <v>5416</v>
      </c>
      <c r="E199" s="1162">
        <v>10966</v>
      </c>
      <c r="F199" s="1155"/>
    </row>
    <row r="200" spans="2:8">
      <c r="B200" s="1165" t="s">
        <v>945</v>
      </c>
      <c r="C200" s="1169">
        <v>6107610.5700000003</v>
      </c>
      <c r="D200" s="1160">
        <v>42176915.329999998</v>
      </c>
      <c r="E200" s="1160">
        <v>47429665</v>
      </c>
      <c r="F200" s="1169">
        <v>854860.9</v>
      </c>
      <c r="G200" s="1149">
        <v>7</v>
      </c>
      <c r="H200" s="1149" t="s">
        <v>2951</v>
      </c>
    </row>
    <row r="201" spans="2:8">
      <c r="B201" s="1168" t="s">
        <v>2573</v>
      </c>
      <c r="C201" s="1155"/>
      <c r="D201" s="1162">
        <v>66160</v>
      </c>
      <c r="E201" s="1162">
        <v>66160</v>
      </c>
      <c r="F201" s="1155"/>
      <c r="G201" s="1149">
        <v>7</v>
      </c>
      <c r="H201" s="1149" t="s">
        <v>2951</v>
      </c>
    </row>
    <row r="202" spans="2:8">
      <c r="B202" s="1166" t="s">
        <v>2278</v>
      </c>
      <c r="C202" s="1157">
        <v>25201</v>
      </c>
      <c r="D202" s="1162">
        <v>53705</v>
      </c>
      <c r="E202" s="1162">
        <v>28504</v>
      </c>
      <c r="F202" s="1155"/>
      <c r="G202" s="1149">
        <v>7</v>
      </c>
      <c r="H202" s="1149" t="s">
        <v>2951</v>
      </c>
    </row>
    <row r="203" spans="2:8">
      <c r="B203" s="1166" t="s">
        <v>2574</v>
      </c>
      <c r="C203" s="1155"/>
      <c r="D203" s="1162">
        <v>63652</v>
      </c>
      <c r="E203" s="1162">
        <v>63652</v>
      </c>
      <c r="F203" s="1155"/>
      <c r="G203" s="1149">
        <v>7</v>
      </c>
      <c r="H203" s="1149" t="s">
        <v>2951</v>
      </c>
    </row>
    <row r="204" spans="2:8">
      <c r="B204" s="1167" t="s">
        <v>1420</v>
      </c>
      <c r="C204" s="1169">
        <v>22000</v>
      </c>
      <c r="D204" s="1162">
        <v>33200</v>
      </c>
      <c r="E204" s="1162">
        <v>55200</v>
      </c>
      <c r="F204" s="1155"/>
      <c r="G204" s="1149">
        <v>7</v>
      </c>
      <c r="H204" s="1149" t="s">
        <v>2951</v>
      </c>
    </row>
    <row r="205" spans="2:8">
      <c r="B205" s="1167" t="s">
        <v>1421</v>
      </c>
      <c r="C205" s="1169">
        <v>4282</v>
      </c>
      <c r="D205" s="1162">
        <v>313436</v>
      </c>
      <c r="E205" s="1162">
        <v>256531</v>
      </c>
      <c r="F205" s="1169">
        <v>61187</v>
      </c>
      <c r="G205" s="1149">
        <v>17</v>
      </c>
      <c r="H205" s="1149" t="s">
        <v>2949</v>
      </c>
    </row>
    <row r="206" spans="2:8">
      <c r="B206" s="1166" t="s">
        <v>2575</v>
      </c>
      <c r="C206" s="1155"/>
      <c r="D206" s="1162">
        <v>67774</v>
      </c>
      <c r="E206" s="1162">
        <v>75911</v>
      </c>
      <c r="F206" s="1157">
        <v>8137</v>
      </c>
      <c r="G206" s="1149">
        <v>7</v>
      </c>
      <c r="H206" s="1149" t="s">
        <v>2951</v>
      </c>
    </row>
    <row r="207" spans="2:8" s="1505" customFormat="1">
      <c r="B207" s="1507" t="s">
        <v>2282</v>
      </c>
      <c r="C207" s="1503">
        <v>1946</v>
      </c>
      <c r="D207" s="1504"/>
      <c r="E207" s="1504"/>
      <c r="F207" s="1503">
        <v>1946</v>
      </c>
      <c r="G207" s="1505">
        <v>7</v>
      </c>
      <c r="H207" s="1505" t="s">
        <v>2951</v>
      </c>
    </row>
    <row r="208" spans="2:8">
      <c r="B208" s="1166" t="s">
        <v>1700</v>
      </c>
      <c r="C208" s="1169">
        <v>51490</v>
      </c>
      <c r="D208" s="1162">
        <v>1961652</v>
      </c>
      <c r="E208" s="1162">
        <v>1745585</v>
      </c>
      <c r="F208" s="1169">
        <v>267557</v>
      </c>
      <c r="G208" s="1149">
        <v>17</v>
      </c>
      <c r="H208" s="1149" t="s">
        <v>2949</v>
      </c>
    </row>
    <row r="209" spans="2:8">
      <c r="B209" s="1166" t="s">
        <v>2279</v>
      </c>
      <c r="C209" s="1169">
        <v>50</v>
      </c>
      <c r="D209" s="1158"/>
      <c r="E209" s="1162">
        <v>50</v>
      </c>
      <c r="F209" s="1155"/>
      <c r="G209" s="1149">
        <v>7</v>
      </c>
      <c r="H209" s="1149" t="s">
        <v>2951</v>
      </c>
    </row>
    <row r="210" spans="2:8">
      <c r="B210" s="1167" t="s">
        <v>2672</v>
      </c>
      <c r="C210" s="1155"/>
      <c r="D210" s="1162">
        <v>27750</v>
      </c>
      <c r="E210" s="1162">
        <v>16961</v>
      </c>
      <c r="F210" s="1169">
        <v>10789</v>
      </c>
      <c r="G210" s="1149">
        <v>17</v>
      </c>
      <c r="H210" s="1149" t="s">
        <v>2949</v>
      </c>
    </row>
    <row r="211" spans="2:8" s="1634" customFormat="1">
      <c r="B211" s="1631" t="s">
        <v>2283</v>
      </c>
      <c r="C211" s="1632">
        <v>11500</v>
      </c>
      <c r="D211" s="1633"/>
      <c r="E211" s="1633"/>
      <c r="F211" s="1632">
        <v>11500</v>
      </c>
      <c r="G211" s="1634">
        <v>7</v>
      </c>
      <c r="H211" s="1634" t="s">
        <v>2951</v>
      </c>
    </row>
    <row r="212" spans="2:8" s="1634" customFormat="1">
      <c r="B212" s="1631" t="s">
        <v>1972</v>
      </c>
      <c r="C212" s="1632">
        <v>66140</v>
      </c>
      <c r="D212" s="1633"/>
      <c r="E212" s="1633"/>
      <c r="F212" s="1632">
        <v>66140</v>
      </c>
      <c r="G212" s="1634">
        <v>7</v>
      </c>
      <c r="H212" s="1634" t="s">
        <v>2951</v>
      </c>
    </row>
    <row r="213" spans="2:8">
      <c r="B213" s="1166" t="s">
        <v>617</v>
      </c>
      <c r="C213" s="1169">
        <v>252828</v>
      </c>
      <c r="D213" s="1158"/>
      <c r="E213" s="1158"/>
      <c r="F213" s="1169">
        <v>252828</v>
      </c>
      <c r="G213" s="1149">
        <v>17</v>
      </c>
      <c r="H213" s="1149" t="s">
        <v>2949</v>
      </c>
    </row>
    <row r="214" spans="2:8" s="1505" customFormat="1">
      <c r="B214" s="1507" t="s">
        <v>1281</v>
      </c>
      <c r="C214" s="1503">
        <v>5785</v>
      </c>
      <c r="D214" s="1504"/>
      <c r="E214" s="1504"/>
      <c r="F214" s="1503">
        <v>5785</v>
      </c>
      <c r="G214" s="1505">
        <v>7</v>
      </c>
      <c r="H214" s="1505" t="s">
        <v>2951</v>
      </c>
    </row>
    <row r="215" spans="2:8" s="1505" customFormat="1">
      <c r="B215" s="1506" t="s">
        <v>1793</v>
      </c>
      <c r="C215" s="1503">
        <v>56788</v>
      </c>
      <c r="D215" s="1504"/>
      <c r="E215" s="1504"/>
      <c r="F215" s="1503">
        <v>56788</v>
      </c>
      <c r="G215" s="1505">
        <v>7</v>
      </c>
      <c r="H215" s="1505" t="s">
        <v>2951</v>
      </c>
    </row>
    <row r="216" spans="2:8">
      <c r="B216" s="1172" t="s">
        <v>618</v>
      </c>
      <c r="C216" s="1169">
        <v>27147</v>
      </c>
      <c r="D216" s="1162">
        <v>117295</v>
      </c>
      <c r="E216" s="1162">
        <v>63500</v>
      </c>
      <c r="F216" s="1169">
        <v>80942</v>
      </c>
      <c r="G216" s="1149">
        <v>17</v>
      </c>
      <c r="H216" s="1149" t="s">
        <v>2949</v>
      </c>
    </row>
    <row r="217" spans="2:8">
      <c r="B217" s="1167" t="s">
        <v>621</v>
      </c>
      <c r="C217" s="1157">
        <v>65063</v>
      </c>
      <c r="D217" s="1162">
        <v>106555</v>
      </c>
      <c r="E217" s="1162">
        <v>74662</v>
      </c>
      <c r="F217" s="1157">
        <v>33170</v>
      </c>
      <c r="G217" s="1149">
        <v>7</v>
      </c>
      <c r="H217" s="1149" t="s">
        <v>2951</v>
      </c>
    </row>
    <row r="218" spans="2:8">
      <c r="B218" s="1167" t="s">
        <v>623</v>
      </c>
      <c r="C218" s="1169">
        <v>2500</v>
      </c>
      <c r="D218" s="1162">
        <v>93200</v>
      </c>
      <c r="E218" s="1162">
        <v>95700</v>
      </c>
      <c r="F218" s="1155"/>
      <c r="G218" s="1149">
        <v>7</v>
      </c>
      <c r="H218" s="1149" t="s">
        <v>2951</v>
      </c>
    </row>
    <row r="219" spans="2:8" s="1505" customFormat="1">
      <c r="B219" s="1502" t="s">
        <v>2321</v>
      </c>
      <c r="C219" s="1503">
        <v>51675</v>
      </c>
      <c r="D219" s="1504"/>
      <c r="E219" s="1504"/>
      <c r="F219" s="1503">
        <v>51675</v>
      </c>
      <c r="G219" s="1505">
        <v>7</v>
      </c>
      <c r="H219" s="1505" t="s">
        <v>2951</v>
      </c>
    </row>
    <row r="220" spans="2:8">
      <c r="B220" s="1166" t="s">
        <v>2284</v>
      </c>
      <c r="C220" s="1169">
        <v>8184</v>
      </c>
      <c r="D220" s="1158"/>
      <c r="E220" s="1162">
        <v>9550</v>
      </c>
      <c r="F220" s="1157">
        <v>1366</v>
      </c>
      <c r="G220" s="1149">
        <v>7</v>
      </c>
      <c r="H220" s="1149" t="s">
        <v>2951</v>
      </c>
    </row>
    <row r="221" spans="2:8">
      <c r="B221" s="1166" t="s">
        <v>2285</v>
      </c>
      <c r="C221" s="1169">
        <v>1850</v>
      </c>
      <c r="D221" s="1158"/>
      <c r="E221" s="1162">
        <v>1850</v>
      </c>
      <c r="F221" s="1155"/>
      <c r="G221" s="1149">
        <v>7</v>
      </c>
      <c r="H221" s="1149" t="s">
        <v>2951</v>
      </c>
    </row>
    <row r="222" spans="2:8" s="1505" customFormat="1">
      <c r="B222" s="1502" t="s">
        <v>1381</v>
      </c>
      <c r="C222" s="1503">
        <v>3845</v>
      </c>
      <c r="D222" s="1504"/>
      <c r="E222" s="1504"/>
      <c r="F222" s="1503">
        <v>3845</v>
      </c>
      <c r="G222" s="1505" t="s">
        <v>2691</v>
      </c>
    </row>
    <row r="223" spans="2:8">
      <c r="B223" s="1166" t="s">
        <v>627</v>
      </c>
      <c r="C223" s="1169">
        <v>9246</v>
      </c>
      <c r="D223" s="1158"/>
      <c r="E223" s="1162">
        <v>9246</v>
      </c>
      <c r="F223" s="1155"/>
      <c r="G223" s="1149">
        <v>7</v>
      </c>
      <c r="H223" s="1149" t="s">
        <v>2951</v>
      </c>
    </row>
    <row r="224" spans="2:8">
      <c r="B224" s="1167" t="s">
        <v>2673</v>
      </c>
      <c r="C224" s="1155"/>
      <c r="D224" s="1162">
        <v>165350</v>
      </c>
      <c r="E224" s="1158"/>
      <c r="F224" s="1169">
        <v>165350</v>
      </c>
      <c r="G224" s="1149">
        <v>17</v>
      </c>
      <c r="H224" s="1149" t="s">
        <v>2949</v>
      </c>
    </row>
    <row r="225" spans="2:16">
      <c r="B225" s="1168" t="s">
        <v>1701</v>
      </c>
      <c r="C225" s="1169">
        <v>14000</v>
      </c>
      <c r="D225" s="1158"/>
      <c r="E225" s="1162">
        <v>14000</v>
      </c>
      <c r="F225" s="1155"/>
      <c r="G225" s="1149">
        <v>7</v>
      </c>
      <c r="H225" s="1149" t="s">
        <v>2951</v>
      </c>
    </row>
    <row r="226" spans="2:16" s="1634" customFormat="1">
      <c r="B226" s="1631" t="s">
        <v>1280</v>
      </c>
      <c r="C226" s="1632">
        <v>1375</v>
      </c>
      <c r="D226" s="1633"/>
      <c r="E226" s="1633"/>
      <c r="F226" s="1632">
        <v>1375</v>
      </c>
      <c r="G226" s="1634">
        <v>7</v>
      </c>
      <c r="H226" s="1634" t="s">
        <v>2951</v>
      </c>
    </row>
    <row r="227" spans="2:16">
      <c r="B227" s="1168" t="s">
        <v>2576</v>
      </c>
      <c r="C227" s="1155"/>
      <c r="D227" s="1162">
        <v>398200</v>
      </c>
      <c r="E227" s="1162">
        <v>398200</v>
      </c>
      <c r="F227" s="1155"/>
      <c r="G227" s="1149">
        <v>7</v>
      </c>
      <c r="H227" s="1149" t="s">
        <v>2951</v>
      </c>
    </row>
    <row r="228" spans="2:16">
      <c r="B228" s="1166" t="s">
        <v>1973</v>
      </c>
      <c r="C228" s="1169">
        <v>988</v>
      </c>
      <c r="D228" s="1158"/>
      <c r="E228" s="1162">
        <v>988</v>
      </c>
      <c r="F228" s="1155"/>
      <c r="G228" s="1149">
        <v>7</v>
      </c>
      <c r="H228" s="1149" t="s">
        <v>2951</v>
      </c>
    </row>
    <row r="229" spans="2:16">
      <c r="B229" s="1168" t="s">
        <v>2287</v>
      </c>
      <c r="C229" s="1169">
        <v>163786</v>
      </c>
      <c r="D229" s="1158"/>
      <c r="E229" s="1162">
        <v>163786</v>
      </c>
      <c r="F229" s="1155"/>
      <c r="G229" s="1149">
        <v>7</v>
      </c>
      <c r="H229" s="1149" t="s">
        <v>2951</v>
      </c>
    </row>
    <row r="230" spans="2:16">
      <c r="B230" s="1168" t="s">
        <v>2288</v>
      </c>
      <c r="C230" s="1169">
        <v>2650000</v>
      </c>
      <c r="D230" s="1162">
        <v>680748</v>
      </c>
      <c r="E230" s="1162">
        <v>3284750</v>
      </c>
      <c r="F230" s="1169">
        <v>45998</v>
      </c>
      <c r="G230" s="1149">
        <v>17</v>
      </c>
      <c r="H230" s="1149" t="s">
        <v>2949</v>
      </c>
    </row>
    <row r="231" spans="2:16">
      <c r="B231" s="1166" t="s">
        <v>632</v>
      </c>
      <c r="C231" s="1169">
        <v>43406</v>
      </c>
      <c r="D231" s="1162">
        <v>359345</v>
      </c>
      <c r="E231" s="1162">
        <v>379295</v>
      </c>
      <c r="F231" s="1169">
        <v>23456</v>
      </c>
      <c r="G231" s="1149">
        <v>17</v>
      </c>
      <c r="H231" s="1149" t="s">
        <v>2949</v>
      </c>
    </row>
    <row r="232" spans="2:16">
      <c r="B232" s="1166" t="s">
        <v>2577</v>
      </c>
      <c r="C232" s="1155"/>
      <c r="D232" s="1162">
        <v>176741</v>
      </c>
      <c r="E232" s="1162">
        <v>176741</v>
      </c>
      <c r="F232" s="1155"/>
      <c r="G232" s="1149">
        <v>7</v>
      </c>
      <c r="H232" s="1149" t="s">
        <v>2951</v>
      </c>
    </row>
    <row r="233" spans="2:16">
      <c r="B233" s="1166" t="s">
        <v>1702</v>
      </c>
      <c r="C233" s="1169">
        <v>7200</v>
      </c>
      <c r="D233" s="1158"/>
      <c r="E233" s="1162">
        <v>7200</v>
      </c>
      <c r="F233" s="1155"/>
      <c r="G233" s="1149">
        <v>7</v>
      </c>
      <c r="H233" s="1149" t="s">
        <v>2951</v>
      </c>
      <c r="I233" s="1159"/>
      <c r="J233" s="1159"/>
      <c r="K233" s="1159"/>
      <c r="L233" s="1159"/>
      <c r="M233" s="1159"/>
      <c r="N233" s="1159"/>
      <c r="O233" s="1159"/>
      <c r="P233" s="1159"/>
    </row>
    <row r="234" spans="2:16" s="1634" customFormat="1">
      <c r="B234" s="1631" t="s">
        <v>2290</v>
      </c>
      <c r="C234" s="1632">
        <v>190</v>
      </c>
      <c r="D234" s="1633"/>
      <c r="E234" s="1633"/>
      <c r="F234" s="1632">
        <v>190</v>
      </c>
      <c r="G234" s="1634">
        <v>7</v>
      </c>
      <c r="H234" s="1634" t="s">
        <v>2951</v>
      </c>
    </row>
    <row r="235" spans="2:16">
      <c r="B235" s="1166" t="s">
        <v>2674</v>
      </c>
      <c r="C235" s="1155"/>
      <c r="D235" s="1162">
        <v>59800</v>
      </c>
      <c r="E235" s="1162">
        <v>67296</v>
      </c>
      <c r="F235" s="1157">
        <v>7496</v>
      </c>
      <c r="G235" s="1149">
        <v>7</v>
      </c>
      <c r="H235" s="1149" t="s">
        <v>2951</v>
      </c>
    </row>
    <row r="236" spans="2:16">
      <c r="B236" s="1167" t="s">
        <v>2578</v>
      </c>
      <c r="C236" s="1155"/>
      <c r="D236" s="1162">
        <v>3167358</v>
      </c>
      <c r="E236" s="1162">
        <v>3308425</v>
      </c>
      <c r="F236" s="1157">
        <v>141067</v>
      </c>
      <c r="G236" s="1149">
        <v>7</v>
      </c>
      <c r="H236" s="1149" t="s">
        <v>2951</v>
      </c>
    </row>
    <row r="237" spans="2:16" s="1505" customFormat="1">
      <c r="B237" s="1507" t="s">
        <v>635</v>
      </c>
      <c r="C237" s="1503">
        <v>11684</v>
      </c>
      <c r="D237" s="1504"/>
      <c r="E237" s="1504"/>
      <c r="F237" s="1503">
        <v>11684</v>
      </c>
      <c r="G237" s="1505">
        <v>7</v>
      </c>
      <c r="H237" s="1505" t="s">
        <v>2951</v>
      </c>
    </row>
    <row r="238" spans="2:16">
      <c r="B238" s="1167" t="s">
        <v>1011</v>
      </c>
      <c r="C238" s="1157">
        <v>55378</v>
      </c>
      <c r="D238" s="1162">
        <v>100600</v>
      </c>
      <c r="E238" s="1162">
        <v>101421</v>
      </c>
      <c r="F238" s="1157">
        <v>56199</v>
      </c>
      <c r="G238" s="1149">
        <v>7</v>
      </c>
      <c r="H238" s="1149" t="s">
        <v>2951</v>
      </c>
    </row>
    <row r="239" spans="2:16">
      <c r="B239" s="1167" t="s">
        <v>2291</v>
      </c>
      <c r="C239" s="1169">
        <v>3500</v>
      </c>
      <c r="D239" s="1162">
        <v>4550</v>
      </c>
      <c r="E239" s="1158"/>
      <c r="F239" s="1169">
        <v>8050</v>
      </c>
      <c r="G239" s="1149">
        <v>17</v>
      </c>
      <c r="H239" s="1149" t="s">
        <v>2949</v>
      </c>
    </row>
    <row r="240" spans="2:16">
      <c r="B240" s="1168" t="s">
        <v>2292</v>
      </c>
      <c r="C240" s="1157">
        <v>5000</v>
      </c>
      <c r="D240" s="1162">
        <v>53000</v>
      </c>
      <c r="E240" s="1162">
        <v>57757</v>
      </c>
      <c r="F240" s="1157">
        <v>9757</v>
      </c>
      <c r="G240" s="1149">
        <v>7</v>
      </c>
      <c r="H240" s="1149" t="s">
        <v>2951</v>
      </c>
    </row>
    <row r="241" spans="2:8">
      <c r="B241" s="1168" t="s">
        <v>2293</v>
      </c>
      <c r="C241" s="1157">
        <v>114895</v>
      </c>
      <c r="D241" s="1162">
        <v>201595</v>
      </c>
      <c r="E241" s="1162">
        <v>104235</v>
      </c>
      <c r="F241" s="1157">
        <v>17535</v>
      </c>
      <c r="G241" s="1149">
        <v>7</v>
      </c>
      <c r="H241" s="1149" t="s">
        <v>2951</v>
      </c>
    </row>
    <row r="242" spans="2:8" s="1634" customFormat="1">
      <c r="B242" s="1631" t="s">
        <v>1977</v>
      </c>
      <c r="C242" s="1632">
        <v>96103</v>
      </c>
      <c r="D242" s="1633"/>
      <c r="E242" s="1633"/>
      <c r="F242" s="1632">
        <v>96103</v>
      </c>
      <c r="G242" s="1634">
        <v>7</v>
      </c>
      <c r="H242" s="1634" t="s">
        <v>2951</v>
      </c>
    </row>
    <row r="243" spans="2:8">
      <c r="B243" s="1166" t="s">
        <v>637</v>
      </c>
      <c r="C243" s="1169">
        <v>6976</v>
      </c>
      <c r="D243" s="1162">
        <v>126786</v>
      </c>
      <c r="E243" s="1162">
        <v>133762</v>
      </c>
      <c r="F243" s="1155"/>
      <c r="G243" s="1149">
        <v>7</v>
      </c>
      <c r="H243" s="1149" t="s">
        <v>2951</v>
      </c>
    </row>
    <row r="244" spans="2:8">
      <c r="B244" s="1167" t="s">
        <v>1440</v>
      </c>
      <c r="C244" s="1169">
        <v>16590</v>
      </c>
      <c r="D244" s="1158"/>
      <c r="E244" s="1158"/>
      <c r="F244" s="1169">
        <v>16590</v>
      </c>
      <c r="G244" s="1149">
        <v>17</v>
      </c>
      <c r="H244" s="1149" t="s">
        <v>2949</v>
      </c>
    </row>
    <row r="245" spans="2:8">
      <c r="B245" s="1167" t="s">
        <v>1976</v>
      </c>
      <c r="C245" s="1157">
        <v>7992</v>
      </c>
      <c r="D245" s="1162">
        <v>44300</v>
      </c>
      <c r="E245" s="1162">
        <v>21878</v>
      </c>
      <c r="F245" s="1169">
        <v>14430</v>
      </c>
      <c r="G245" s="1149">
        <v>17</v>
      </c>
      <c r="H245" s="1149" t="s">
        <v>2949</v>
      </c>
    </row>
    <row r="246" spans="2:8" s="1634" customFormat="1">
      <c r="B246" s="1631" t="s">
        <v>646</v>
      </c>
      <c r="C246" s="1632">
        <v>7808</v>
      </c>
      <c r="D246" s="1633"/>
      <c r="E246" s="1633"/>
      <c r="F246" s="1632">
        <v>7808</v>
      </c>
      <c r="G246" s="1634">
        <v>7</v>
      </c>
      <c r="H246" s="1634" t="s">
        <v>2951</v>
      </c>
    </row>
    <row r="247" spans="2:8">
      <c r="B247" s="1166" t="s">
        <v>645</v>
      </c>
      <c r="C247" s="1169">
        <v>26876</v>
      </c>
      <c r="D247" s="1162">
        <v>698047</v>
      </c>
      <c r="E247" s="1162">
        <v>791449</v>
      </c>
      <c r="F247" s="1157">
        <v>66526</v>
      </c>
      <c r="G247" s="1149">
        <v>7</v>
      </c>
      <c r="H247" s="1149" t="s">
        <v>2951</v>
      </c>
    </row>
    <row r="248" spans="2:8" s="1505" customFormat="1">
      <c r="B248" s="1502" t="s">
        <v>709</v>
      </c>
      <c r="C248" s="1503">
        <v>52224</v>
      </c>
      <c r="D248" s="1504"/>
      <c r="E248" s="1504"/>
      <c r="F248" s="1503">
        <v>52224</v>
      </c>
      <c r="G248" s="1505">
        <v>7</v>
      </c>
      <c r="H248" s="1505" t="s">
        <v>2951</v>
      </c>
    </row>
    <row r="249" spans="2:8">
      <c r="B249" s="1166" t="s">
        <v>649</v>
      </c>
      <c r="C249" s="1157">
        <v>74902</v>
      </c>
      <c r="D249" s="1162">
        <v>60868</v>
      </c>
      <c r="E249" s="1162">
        <v>126789</v>
      </c>
      <c r="F249" s="1157">
        <v>140823</v>
      </c>
      <c r="G249" s="1149">
        <v>7</v>
      </c>
      <c r="H249" s="1149" t="s">
        <v>2951</v>
      </c>
    </row>
    <row r="250" spans="2:8">
      <c r="B250" s="1166" t="s">
        <v>2579</v>
      </c>
      <c r="C250" s="1155"/>
      <c r="D250" s="1162">
        <v>513278</v>
      </c>
      <c r="E250" s="1162">
        <v>628899</v>
      </c>
      <c r="F250" s="1157">
        <v>115621</v>
      </c>
      <c r="G250" s="1149">
        <v>7</v>
      </c>
      <c r="H250" s="1149" t="s">
        <v>2951</v>
      </c>
    </row>
    <row r="251" spans="2:8">
      <c r="B251" s="1166" t="s">
        <v>2295</v>
      </c>
      <c r="C251" s="1157">
        <v>11302</v>
      </c>
      <c r="D251" s="1162">
        <v>92139</v>
      </c>
      <c r="E251" s="1162">
        <v>80837</v>
      </c>
      <c r="F251" s="1155"/>
    </row>
    <row r="252" spans="2:8">
      <c r="B252" s="1166" t="s">
        <v>2580</v>
      </c>
      <c r="C252" s="1155"/>
      <c r="D252" s="1162">
        <v>10000</v>
      </c>
      <c r="E252" s="1158"/>
      <c r="F252" s="1169">
        <v>10000</v>
      </c>
      <c r="G252" s="1149">
        <v>17</v>
      </c>
      <c r="H252" s="1149" t="s">
        <v>2949</v>
      </c>
    </row>
    <row r="253" spans="2:8">
      <c r="B253" s="1167" t="s">
        <v>2581</v>
      </c>
      <c r="C253" s="1155"/>
      <c r="D253" s="1162">
        <v>333668</v>
      </c>
      <c r="E253" s="1162">
        <v>366800</v>
      </c>
      <c r="F253" s="1157">
        <v>33132</v>
      </c>
      <c r="G253" s="1149">
        <v>7</v>
      </c>
      <c r="H253" s="1149" t="s">
        <v>2951</v>
      </c>
    </row>
    <row r="254" spans="2:8">
      <c r="B254" s="1166" t="s">
        <v>1442</v>
      </c>
      <c r="C254" s="1169">
        <v>2420</v>
      </c>
      <c r="D254" s="1158"/>
      <c r="E254" s="1158"/>
      <c r="F254" s="1169">
        <v>2420</v>
      </c>
      <c r="G254" s="1149">
        <v>17</v>
      </c>
      <c r="H254" s="1149" t="s">
        <v>2949</v>
      </c>
    </row>
    <row r="255" spans="2:8">
      <c r="B255" s="1166" t="s">
        <v>2582</v>
      </c>
      <c r="C255" s="1155"/>
      <c r="D255" s="1162">
        <v>38500</v>
      </c>
      <c r="E255" s="1162">
        <v>38845</v>
      </c>
      <c r="F255" s="1157">
        <v>345</v>
      </c>
      <c r="G255" s="1149">
        <v>7</v>
      </c>
      <c r="H255" s="1149" t="s">
        <v>2951</v>
      </c>
    </row>
    <row r="256" spans="2:8" s="1505" customFormat="1">
      <c r="B256" s="1507" t="s">
        <v>650</v>
      </c>
      <c r="C256" s="1503">
        <v>146710</v>
      </c>
      <c r="D256" s="1504"/>
      <c r="E256" s="1504"/>
      <c r="F256" s="1503">
        <v>146710</v>
      </c>
      <c r="G256" s="1505">
        <v>7</v>
      </c>
      <c r="H256" s="1505" t="s">
        <v>2951</v>
      </c>
    </row>
    <row r="257" spans="2:8">
      <c r="B257" s="1166" t="s">
        <v>1703</v>
      </c>
      <c r="C257" s="1169">
        <v>266710</v>
      </c>
      <c r="D257" s="1162">
        <v>1863010</v>
      </c>
      <c r="E257" s="1162">
        <v>2062878</v>
      </c>
      <c r="F257" s="1169">
        <v>66842</v>
      </c>
      <c r="G257" s="1149">
        <v>17</v>
      </c>
      <c r="H257" s="1149" t="s">
        <v>2949</v>
      </c>
    </row>
    <row r="258" spans="2:8" s="1505" customFormat="1">
      <c r="B258" s="1502" t="s">
        <v>1017</v>
      </c>
      <c r="C258" s="1503">
        <v>55169</v>
      </c>
      <c r="D258" s="1504"/>
      <c r="E258" s="1504"/>
      <c r="F258" s="1503">
        <v>55169</v>
      </c>
      <c r="G258" s="1505">
        <v>7</v>
      </c>
      <c r="H258" s="1505" t="s">
        <v>2951</v>
      </c>
    </row>
    <row r="259" spans="2:8">
      <c r="B259" s="1167" t="s">
        <v>2297</v>
      </c>
      <c r="C259" s="1169">
        <v>6000</v>
      </c>
      <c r="D259" s="1158"/>
      <c r="E259" s="1158"/>
      <c r="F259" s="1169">
        <v>6000</v>
      </c>
      <c r="G259" s="1149">
        <v>17</v>
      </c>
      <c r="H259" s="1149" t="s">
        <v>2949</v>
      </c>
    </row>
    <row r="260" spans="2:8" s="1505" customFormat="1">
      <c r="B260" s="1502" t="s">
        <v>2296</v>
      </c>
      <c r="C260" s="1503">
        <v>600</v>
      </c>
      <c r="D260" s="1504"/>
      <c r="E260" s="1504"/>
      <c r="F260" s="1503">
        <v>600</v>
      </c>
      <c r="G260" s="1505">
        <v>7</v>
      </c>
      <c r="H260" s="1505" t="s">
        <v>2951</v>
      </c>
    </row>
    <row r="261" spans="2:8" s="1634" customFormat="1">
      <c r="B261" s="1635" t="s">
        <v>1445</v>
      </c>
      <c r="C261" s="1632">
        <v>6330</v>
      </c>
      <c r="D261" s="1633"/>
      <c r="E261" s="1633"/>
      <c r="F261" s="1632">
        <v>6330</v>
      </c>
      <c r="G261" s="1634">
        <v>7</v>
      </c>
      <c r="H261" s="1634" t="s">
        <v>2951</v>
      </c>
    </row>
    <row r="262" spans="2:8">
      <c r="B262" s="1167" t="s">
        <v>2298</v>
      </c>
      <c r="C262" s="1169">
        <v>124400</v>
      </c>
      <c r="D262" s="1162">
        <v>809775</v>
      </c>
      <c r="E262" s="1162">
        <v>469523</v>
      </c>
      <c r="F262" s="1169">
        <v>464652</v>
      </c>
      <c r="G262" s="1149">
        <v>17</v>
      </c>
      <c r="H262" s="1149" t="s">
        <v>2949</v>
      </c>
    </row>
    <row r="263" spans="2:8">
      <c r="B263" s="1166" t="s">
        <v>1980</v>
      </c>
      <c r="C263" s="1157">
        <v>4136</v>
      </c>
      <c r="D263" s="1162">
        <v>163350</v>
      </c>
      <c r="E263" s="1162">
        <v>127965</v>
      </c>
      <c r="F263" s="1169">
        <v>31249</v>
      </c>
      <c r="G263" s="1149">
        <v>17</v>
      </c>
      <c r="H263" s="1149" t="s">
        <v>2949</v>
      </c>
    </row>
    <row r="264" spans="2:8">
      <c r="B264" s="1168" t="s">
        <v>2583</v>
      </c>
      <c r="C264" s="1155"/>
      <c r="D264" s="1162">
        <v>77265</v>
      </c>
      <c r="E264" s="1162">
        <v>77265</v>
      </c>
      <c r="F264" s="1155"/>
    </row>
    <row r="265" spans="2:8">
      <c r="B265" s="1166" t="s">
        <v>661</v>
      </c>
      <c r="C265" s="1169">
        <v>6500</v>
      </c>
      <c r="D265" s="1162">
        <v>390195</v>
      </c>
      <c r="E265" s="1162">
        <v>396695</v>
      </c>
      <c r="F265" s="1155"/>
    </row>
    <row r="266" spans="2:8">
      <c r="B266" s="1166" t="s">
        <v>2584</v>
      </c>
      <c r="C266" s="1155"/>
      <c r="D266" s="1162">
        <v>27000</v>
      </c>
      <c r="E266" s="1162">
        <v>27000</v>
      </c>
      <c r="F266" s="1155"/>
    </row>
    <row r="267" spans="2:8">
      <c r="B267" s="1168" t="s">
        <v>2585</v>
      </c>
      <c r="C267" s="1155"/>
      <c r="D267" s="1162">
        <v>238524</v>
      </c>
      <c r="E267" s="1162">
        <v>238524</v>
      </c>
      <c r="F267" s="1155"/>
    </row>
    <row r="268" spans="2:8">
      <c r="B268" s="1168" t="s">
        <v>2299</v>
      </c>
      <c r="C268" s="1157">
        <v>11192</v>
      </c>
      <c r="D268" s="1162">
        <v>11192</v>
      </c>
      <c r="E268" s="1158"/>
      <c r="F268" s="1155"/>
    </row>
    <row r="269" spans="2:8">
      <c r="B269" s="1167" t="s">
        <v>2675</v>
      </c>
      <c r="C269" s="1155"/>
      <c r="D269" s="1162">
        <v>56450</v>
      </c>
      <c r="E269" s="1158"/>
      <c r="F269" s="1169">
        <v>56450</v>
      </c>
      <c r="G269" s="1149">
        <v>17</v>
      </c>
      <c r="H269" s="1149" t="s">
        <v>2949</v>
      </c>
    </row>
    <row r="270" spans="2:8">
      <c r="B270" s="1166" t="s">
        <v>665</v>
      </c>
      <c r="C270" s="1157">
        <v>33942</v>
      </c>
      <c r="D270" s="1162">
        <v>241750</v>
      </c>
      <c r="E270" s="1162">
        <v>222547</v>
      </c>
      <c r="F270" s="1157">
        <v>14739</v>
      </c>
      <c r="G270" s="1149">
        <v>7</v>
      </c>
      <c r="H270" s="1149" t="s">
        <v>2951</v>
      </c>
    </row>
    <row r="271" spans="2:8">
      <c r="B271" s="1166" t="s">
        <v>1706</v>
      </c>
      <c r="C271" s="1169">
        <v>1410955.5</v>
      </c>
      <c r="D271" s="1162">
        <v>5599967.3200000003</v>
      </c>
      <c r="E271" s="1162">
        <v>6845075</v>
      </c>
      <c r="F271" s="1169">
        <v>165847.82</v>
      </c>
      <c r="G271" s="1149">
        <v>17</v>
      </c>
      <c r="H271" s="1149" t="s">
        <v>2949</v>
      </c>
    </row>
    <row r="272" spans="2:8">
      <c r="B272" s="1166" t="s">
        <v>2586</v>
      </c>
      <c r="C272" s="1155"/>
      <c r="D272" s="1162">
        <v>130330</v>
      </c>
      <c r="E272" s="1162">
        <v>130660</v>
      </c>
      <c r="F272" s="1157">
        <v>330</v>
      </c>
      <c r="G272" s="1149">
        <v>7</v>
      </c>
      <c r="H272" s="1149" t="s">
        <v>2951</v>
      </c>
    </row>
    <row r="273" spans="2:8">
      <c r="B273" s="1166" t="s">
        <v>667</v>
      </c>
      <c r="C273" s="1157">
        <v>58309</v>
      </c>
      <c r="D273" s="1162">
        <v>48450</v>
      </c>
      <c r="E273" s="1158"/>
      <c r="F273" s="1157">
        <v>9859</v>
      </c>
      <c r="G273" s="1149">
        <v>7</v>
      </c>
      <c r="H273" s="1149" t="s">
        <v>2951</v>
      </c>
    </row>
    <row r="274" spans="2:8">
      <c r="B274" s="1167" t="s">
        <v>1982</v>
      </c>
      <c r="C274" s="1169">
        <v>24550</v>
      </c>
      <c r="D274" s="1162">
        <v>39000</v>
      </c>
      <c r="E274" s="1162">
        <v>63550</v>
      </c>
      <c r="F274" s="1155"/>
      <c r="G274" s="1149">
        <v>7</v>
      </c>
      <c r="H274" s="1149" t="s">
        <v>2951</v>
      </c>
    </row>
    <row r="275" spans="2:8">
      <c r="B275" s="1166" t="s">
        <v>2587</v>
      </c>
      <c r="C275" s="1169">
        <v>32988</v>
      </c>
      <c r="D275" s="1162">
        <v>755042</v>
      </c>
      <c r="E275" s="1162">
        <v>865079</v>
      </c>
      <c r="F275" s="1157">
        <v>77049</v>
      </c>
      <c r="G275" s="1149">
        <v>7</v>
      </c>
      <c r="H275" s="1149" t="s">
        <v>2951</v>
      </c>
    </row>
    <row r="276" spans="2:8">
      <c r="B276" s="1166" t="s">
        <v>2588</v>
      </c>
      <c r="C276" s="1155"/>
      <c r="D276" s="1162">
        <v>13695</v>
      </c>
      <c r="E276" s="1158"/>
      <c r="F276" s="1169">
        <v>13695</v>
      </c>
      <c r="G276" s="1149">
        <v>17</v>
      </c>
      <c r="H276" s="1149" t="s">
        <v>2949</v>
      </c>
    </row>
    <row r="277" spans="2:8">
      <c r="B277" s="1167" t="s">
        <v>1449</v>
      </c>
      <c r="C277" s="1157">
        <v>13434</v>
      </c>
      <c r="D277" s="1162">
        <v>229251</v>
      </c>
      <c r="E277" s="1162">
        <v>226251</v>
      </c>
      <c r="F277" s="1157">
        <v>10434</v>
      </c>
      <c r="G277" s="1149">
        <v>7</v>
      </c>
      <c r="H277" s="1149" t="s">
        <v>2951</v>
      </c>
    </row>
    <row r="278" spans="2:8">
      <c r="B278" s="1166" t="s">
        <v>668</v>
      </c>
      <c r="C278" s="1155"/>
      <c r="D278" s="1162">
        <v>284305</v>
      </c>
      <c r="E278" s="1162">
        <v>292691</v>
      </c>
      <c r="F278" s="1157">
        <v>8386</v>
      </c>
      <c r="G278" s="1149">
        <v>7</v>
      </c>
      <c r="H278" s="1149" t="s">
        <v>2951</v>
      </c>
    </row>
    <row r="279" spans="2:8" s="1634" customFormat="1">
      <c r="B279" s="1631" t="s">
        <v>1672</v>
      </c>
      <c r="C279" s="1637"/>
      <c r="D279" s="1638">
        <v>20000</v>
      </c>
      <c r="E279" s="1638">
        <v>22000</v>
      </c>
      <c r="F279" s="1632">
        <v>2000</v>
      </c>
      <c r="G279" s="1634">
        <v>7</v>
      </c>
      <c r="H279" s="1634" t="s">
        <v>2951</v>
      </c>
    </row>
    <row r="280" spans="2:8">
      <c r="B280" s="1166" t="s">
        <v>2589</v>
      </c>
      <c r="C280" s="1155"/>
      <c r="D280" s="1162">
        <v>65665</v>
      </c>
      <c r="E280" s="1162">
        <v>65665</v>
      </c>
      <c r="F280" s="1155"/>
      <c r="G280" s="1149">
        <v>7</v>
      </c>
      <c r="H280" s="1149" t="s">
        <v>2951</v>
      </c>
    </row>
    <row r="281" spans="2:8">
      <c r="B281" s="1166" t="s">
        <v>669</v>
      </c>
      <c r="C281" s="1169">
        <v>52556</v>
      </c>
      <c r="D281" s="1162">
        <v>1288426</v>
      </c>
      <c r="E281" s="1162">
        <v>1369469</v>
      </c>
      <c r="F281" s="1157">
        <v>28487</v>
      </c>
      <c r="G281" s="1149">
        <v>7</v>
      </c>
      <c r="H281" s="1149" t="s">
        <v>2951</v>
      </c>
    </row>
    <row r="282" spans="2:8">
      <c r="B282" s="1166" t="s">
        <v>1450</v>
      </c>
      <c r="C282" s="1169">
        <v>1387</v>
      </c>
      <c r="D282" s="1162">
        <v>100000</v>
      </c>
      <c r="E282" s="1158"/>
      <c r="F282" s="1169">
        <v>101387</v>
      </c>
      <c r="G282" s="1149">
        <v>17</v>
      </c>
      <c r="H282" s="1149" t="s">
        <v>2949</v>
      </c>
    </row>
    <row r="283" spans="2:8">
      <c r="B283" s="1167" t="s">
        <v>670</v>
      </c>
      <c r="C283" s="1169">
        <v>60639</v>
      </c>
      <c r="D283" s="1162">
        <v>249306.11</v>
      </c>
      <c r="E283" s="1162">
        <v>347904</v>
      </c>
      <c r="F283" s="1157">
        <v>37958.89</v>
      </c>
      <c r="G283" s="1149">
        <v>7</v>
      </c>
      <c r="H283" s="1149" t="s">
        <v>2951</v>
      </c>
    </row>
    <row r="284" spans="2:8">
      <c r="B284" s="1166" t="s">
        <v>2301</v>
      </c>
      <c r="C284" s="1157">
        <v>11207</v>
      </c>
      <c r="D284" s="1162">
        <v>396207</v>
      </c>
      <c r="E284" s="1162">
        <v>385000</v>
      </c>
      <c r="F284" s="1155"/>
    </row>
    <row r="285" spans="2:8">
      <c r="B285" s="1166" t="s">
        <v>2302</v>
      </c>
      <c r="C285" s="1169">
        <v>13</v>
      </c>
      <c r="D285" s="1158"/>
      <c r="E285" s="1158"/>
      <c r="F285" s="1169">
        <v>13</v>
      </c>
      <c r="G285" s="1149">
        <v>17</v>
      </c>
      <c r="H285" s="1149" t="s">
        <v>2949</v>
      </c>
    </row>
    <row r="286" spans="2:8">
      <c r="B286" s="1166" t="s">
        <v>1279</v>
      </c>
      <c r="C286" s="1169">
        <v>264568</v>
      </c>
      <c r="D286" s="1158"/>
      <c r="E286" s="1162">
        <v>264568</v>
      </c>
      <c r="F286" s="1155"/>
    </row>
    <row r="287" spans="2:8">
      <c r="B287" s="1166" t="s">
        <v>2303</v>
      </c>
      <c r="C287" s="1169">
        <v>45530</v>
      </c>
      <c r="D287" s="1162">
        <v>1386002</v>
      </c>
      <c r="E287" s="1162">
        <v>1458335</v>
      </c>
      <c r="F287" s="1157">
        <v>26803</v>
      </c>
      <c r="G287" s="1149">
        <v>7</v>
      </c>
      <c r="H287" s="1149" t="s">
        <v>2951</v>
      </c>
    </row>
    <row r="288" spans="2:8" s="1634" customFormat="1">
      <c r="B288" s="1636" t="s">
        <v>1705</v>
      </c>
      <c r="C288" s="1632">
        <v>13426</v>
      </c>
      <c r="D288" s="1633"/>
      <c r="E288" s="1633"/>
      <c r="F288" s="1632">
        <v>13426</v>
      </c>
      <c r="G288" s="1634">
        <v>7</v>
      </c>
      <c r="H288" s="1634" t="s">
        <v>2951</v>
      </c>
    </row>
    <row r="289" spans="2:8">
      <c r="B289" s="1166" t="s">
        <v>671</v>
      </c>
      <c r="C289" s="1169">
        <v>10000</v>
      </c>
      <c r="D289" s="1158"/>
      <c r="E289" s="1162">
        <v>10000</v>
      </c>
      <c r="F289" s="1155"/>
      <c r="G289" s="1149">
        <v>7</v>
      </c>
      <c r="H289" s="1149" t="s">
        <v>2951</v>
      </c>
    </row>
    <row r="290" spans="2:8">
      <c r="B290" s="1167" t="s">
        <v>1986</v>
      </c>
      <c r="C290" s="1157">
        <v>19697</v>
      </c>
      <c r="D290" s="1162">
        <v>86525</v>
      </c>
      <c r="E290" s="1162">
        <v>66828</v>
      </c>
      <c r="F290" s="1155"/>
    </row>
    <row r="291" spans="2:8">
      <c r="B291" s="1167" t="s">
        <v>673</v>
      </c>
      <c r="C291" s="1155"/>
      <c r="D291" s="1162">
        <v>500</v>
      </c>
      <c r="E291" s="1158"/>
      <c r="F291" s="1169">
        <v>500</v>
      </c>
      <c r="G291" s="1149">
        <v>17</v>
      </c>
      <c r="H291" s="1149" t="s">
        <v>2949</v>
      </c>
    </row>
    <row r="292" spans="2:8">
      <c r="B292" s="1166" t="s">
        <v>1025</v>
      </c>
      <c r="C292" s="1169">
        <v>44685</v>
      </c>
      <c r="D292" s="1162">
        <v>1016779</v>
      </c>
      <c r="E292" s="1162">
        <v>996303</v>
      </c>
      <c r="F292" s="1169">
        <v>65161</v>
      </c>
      <c r="G292" s="1149">
        <v>17</v>
      </c>
      <c r="H292" s="1149" t="s">
        <v>2949</v>
      </c>
    </row>
    <row r="293" spans="2:8">
      <c r="B293" s="1168" t="s">
        <v>1987</v>
      </c>
      <c r="C293" s="1169">
        <v>68870</v>
      </c>
      <c r="D293" s="1158"/>
      <c r="E293" s="1162">
        <v>68870</v>
      </c>
      <c r="F293" s="1155"/>
    </row>
    <row r="294" spans="2:8">
      <c r="B294" s="1168" t="s">
        <v>1455</v>
      </c>
      <c r="C294" s="1169">
        <v>44351</v>
      </c>
      <c r="D294" s="1162">
        <v>389036</v>
      </c>
      <c r="E294" s="1162">
        <v>291295</v>
      </c>
      <c r="F294" s="1169">
        <v>142092</v>
      </c>
      <c r="G294" s="1149">
        <v>17</v>
      </c>
      <c r="H294" s="1149" t="s">
        <v>2949</v>
      </c>
    </row>
    <row r="295" spans="2:8">
      <c r="B295" s="1166" t="s">
        <v>2305</v>
      </c>
      <c r="C295" s="1155"/>
      <c r="D295" s="1162">
        <v>19390</v>
      </c>
      <c r="E295" s="1162">
        <v>19390</v>
      </c>
      <c r="F295" s="1155"/>
    </row>
    <row r="296" spans="2:8">
      <c r="B296" s="1167" t="s">
        <v>677</v>
      </c>
      <c r="C296" s="1169">
        <v>54087</v>
      </c>
      <c r="D296" s="1162">
        <v>15150</v>
      </c>
      <c r="E296" s="1162">
        <v>4150</v>
      </c>
      <c r="F296" s="1169">
        <v>65087</v>
      </c>
      <c r="G296" s="1149">
        <v>17</v>
      </c>
      <c r="H296" s="1149" t="s">
        <v>2949</v>
      </c>
    </row>
    <row r="297" spans="2:8" s="1505" customFormat="1">
      <c r="B297" s="1507" t="s">
        <v>1176</v>
      </c>
      <c r="C297" s="1503">
        <v>11194</v>
      </c>
      <c r="D297" s="1504"/>
      <c r="E297" s="1504"/>
      <c r="F297" s="1503">
        <v>11194</v>
      </c>
      <c r="G297" s="1505">
        <v>7</v>
      </c>
      <c r="H297" s="1505" t="s">
        <v>2951</v>
      </c>
    </row>
    <row r="298" spans="2:8">
      <c r="B298" s="1166" t="s">
        <v>1816</v>
      </c>
      <c r="C298" s="1169">
        <v>22180</v>
      </c>
      <c r="D298" s="1158"/>
      <c r="E298" s="1158"/>
      <c r="F298" s="1169">
        <v>22180</v>
      </c>
      <c r="G298" s="1149">
        <v>17</v>
      </c>
      <c r="H298" s="1149" t="s">
        <v>2949</v>
      </c>
    </row>
    <row r="299" spans="2:8">
      <c r="B299" s="1166" t="s">
        <v>2307</v>
      </c>
      <c r="C299" s="1157">
        <v>64115</v>
      </c>
      <c r="D299" s="1162">
        <v>14700</v>
      </c>
      <c r="E299" s="1158"/>
      <c r="F299" s="1157">
        <v>49415</v>
      </c>
      <c r="G299" s="1149">
        <v>7</v>
      </c>
      <c r="H299" s="1149" t="s">
        <v>2951</v>
      </c>
    </row>
    <row r="300" spans="2:8" s="1505" customFormat="1">
      <c r="B300" s="1502" t="s">
        <v>1691</v>
      </c>
      <c r="C300" s="1503">
        <v>58399</v>
      </c>
      <c r="D300" s="1504"/>
      <c r="E300" s="1504"/>
      <c r="F300" s="1503">
        <v>58399</v>
      </c>
      <c r="G300" s="1505">
        <v>7</v>
      </c>
      <c r="H300" s="1505" t="s">
        <v>2951</v>
      </c>
    </row>
    <row r="301" spans="2:8">
      <c r="B301" s="1168" t="s">
        <v>1712</v>
      </c>
      <c r="C301" s="1169">
        <v>62390</v>
      </c>
      <c r="D301" s="1162">
        <v>3355003.9</v>
      </c>
      <c r="E301" s="1162">
        <v>3517145</v>
      </c>
      <c r="F301" s="1157">
        <v>99751.1</v>
      </c>
      <c r="G301" s="1149">
        <v>7</v>
      </c>
      <c r="H301" s="1149" t="s">
        <v>2951</v>
      </c>
    </row>
    <row r="302" spans="2:8" s="1505" customFormat="1">
      <c r="B302" s="1507" t="s">
        <v>1940</v>
      </c>
      <c r="C302" s="1503">
        <v>5350</v>
      </c>
      <c r="D302" s="1504"/>
      <c r="E302" s="1504"/>
      <c r="F302" s="1503">
        <v>5350</v>
      </c>
      <c r="G302" s="1505">
        <v>7</v>
      </c>
      <c r="H302" s="1505" t="s">
        <v>2951</v>
      </c>
    </row>
    <row r="303" spans="2:8">
      <c r="B303" s="1167" t="s">
        <v>685</v>
      </c>
      <c r="C303" s="1169">
        <v>290000</v>
      </c>
      <c r="D303" s="1158"/>
      <c r="E303" s="1158"/>
      <c r="F303" s="1169">
        <v>290000</v>
      </c>
      <c r="G303" s="1149">
        <v>17</v>
      </c>
      <c r="H303" s="1149" t="s">
        <v>2949</v>
      </c>
    </row>
    <row r="304" spans="2:8">
      <c r="B304" s="1166" t="s">
        <v>2310</v>
      </c>
      <c r="C304" s="1169">
        <v>400000</v>
      </c>
      <c r="D304" s="1162">
        <v>151500</v>
      </c>
      <c r="E304" s="1162">
        <v>551500</v>
      </c>
      <c r="F304" s="1155"/>
      <c r="G304" s="1149">
        <v>7</v>
      </c>
      <c r="H304" s="1149" t="s">
        <v>2951</v>
      </c>
    </row>
    <row r="305" spans="2:8" s="1505" customFormat="1">
      <c r="B305" s="1502" t="s">
        <v>1831</v>
      </c>
      <c r="C305" s="1503">
        <v>5241</v>
      </c>
      <c r="D305" s="1504"/>
      <c r="E305" s="1504"/>
      <c r="F305" s="1503">
        <v>5241</v>
      </c>
      <c r="G305" s="1505">
        <v>7</v>
      </c>
      <c r="H305" s="1505" t="s">
        <v>2951</v>
      </c>
    </row>
    <row r="306" spans="2:8">
      <c r="B306" s="1166" t="s">
        <v>2311</v>
      </c>
      <c r="C306" s="1157">
        <v>330441</v>
      </c>
      <c r="D306" s="1162">
        <v>4023637</v>
      </c>
      <c r="E306" s="1162">
        <v>3702456</v>
      </c>
      <c r="F306" s="1157">
        <v>9260</v>
      </c>
      <c r="G306" s="1149">
        <v>7</v>
      </c>
      <c r="H306" s="1149" t="s">
        <v>2951</v>
      </c>
    </row>
    <row r="307" spans="2:8">
      <c r="B307" s="1168" t="s">
        <v>2590</v>
      </c>
      <c r="C307" s="1155"/>
      <c r="D307" s="1162">
        <v>76155</v>
      </c>
      <c r="E307" s="1162">
        <v>115475</v>
      </c>
      <c r="F307" s="1157">
        <v>39320</v>
      </c>
      <c r="G307" s="1149">
        <v>7</v>
      </c>
      <c r="H307" s="1149" t="s">
        <v>2951</v>
      </c>
    </row>
    <row r="308" spans="2:8">
      <c r="B308" s="1166" t="s">
        <v>2591</v>
      </c>
      <c r="C308" s="1155"/>
      <c r="D308" s="1162">
        <v>278000</v>
      </c>
      <c r="E308" s="1162">
        <v>278000</v>
      </c>
      <c r="F308" s="1155"/>
      <c r="G308" s="1149">
        <v>7</v>
      </c>
      <c r="H308" s="1149" t="s">
        <v>2951</v>
      </c>
    </row>
    <row r="309" spans="2:8">
      <c r="B309" s="1167" t="s">
        <v>1277</v>
      </c>
      <c r="C309" s="1155"/>
      <c r="D309" s="1162">
        <v>815680</v>
      </c>
      <c r="E309" s="1162">
        <v>820455</v>
      </c>
      <c r="F309" s="1157">
        <v>4775</v>
      </c>
      <c r="G309" s="1149">
        <v>7</v>
      </c>
      <c r="H309" s="1149" t="s">
        <v>2951</v>
      </c>
    </row>
    <row r="310" spans="2:8">
      <c r="B310" s="1167" t="s">
        <v>1029</v>
      </c>
      <c r="C310" s="1157">
        <v>299</v>
      </c>
      <c r="D310" s="1162">
        <v>414600</v>
      </c>
      <c r="E310" s="1162">
        <v>326036</v>
      </c>
      <c r="F310" s="1169">
        <v>88265</v>
      </c>
      <c r="G310" s="1149">
        <v>17</v>
      </c>
      <c r="H310" s="1149" t="s">
        <v>2949</v>
      </c>
    </row>
    <row r="311" spans="2:8">
      <c r="B311" s="1166" t="s">
        <v>2312</v>
      </c>
      <c r="C311" s="1157">
        <v>215</v>
      </c>
      <c r="D311" s="1162">
        <v>28507</v>
      </c>
      <c r="E311" s="1158"/>
      <c r="F311" s="1169">
        <v>28292</v>
      </c>
      <c r="G311" s="1149">
        <v>17</v>
      </c>
      <c r="H311" s="1149" t="s">
        <v>2949</v>
      </c>
    </row>
    <row r="312" spans="2:8">
      <c r="B312" s="1166" t="s">
        <v>2313</v>
      </c>
      <c r="C312" s="1169">
        <v>33000</v>
      </c>
      <c r="D312" s="1162">
        <v>524250</v>
      </c>
      <c r="E312" s="1162">
        <v>569590</v>
      </c>
      <c r="F312" s="1157">
        <v>12340</v>
      </c>
      <c r="G312" s="1149">
        <v>7</v>
      </c>
      <c r="H312" s="1149" t="s">
        <v>2951</v>
      </c>
    </row>
    <row r="313" spans="2:8">
      <c r="B313" s="1166" t="s">
        <v>2676</v>
      </c>
      <c r="C313" s="1155"/>
      <c r="D313" s="1162">
        <v>609570</v>
      </c>
      <c r="E313" s="1162">
        <v>633999</v>
      </c>
      <c r="F313" s="1157">
        <v>24429</v>
      </c>
      <c r="G313" s="1149">
        <v>7</v>
      </c>
      <c r="H313" s="1149" t="s">
        <v>2951</v>
      </c>
    </row>
    <row r="314" spans="2:8">
      <c r="B314" s="1166" t="s">
        <v>1031</v>
      </c>
      <c r="C314" s="1169">
        <v>1236753</v>
      </c>
      <c r="D314" s="1162">
        <v>5191265</v>
      </c>
      <c r="E314" s="1162">
        <v>6364765</v>
      </c>
      <c r="F314" s="1169">
        <v>63253</v>
      </c>
      <c r="G314" s="1149">
        <v>17</v>
      </c>
      <c r="H314" s="1149" t="s">
        <v>2949</v>
      </c>
    </row>
    <row r="315" spans="2:8" s="1634" customFormat="1">
      <c r="B315" s="1636" t="s">
        <v>1991</v>
      </c>
      <c r="C315" s="1632">
        <v>23582</v>
      </c>
      <c r="D315" s="1633"/>
      <c r="E315" s="1633"/>
      <c r="F315" s="1632">
        <v>23582</v>
      </c>
      <c r="G315" s="1634">
        <v>7</v>
      </c>
      <c r="H315" s="1634" t="s">
        <v>2951</v>
      </c>
    </row>
    <row r="316" spans="2:8">
      <c r="B316" s="1166" t="s">
        <v>2592</v>
      </c>
      <c r="C316" s="1155"/>
      <c r="D316" s="1162">
        <v>126558</v>
      </c>
      <c r="E316" s="1162">
        <v>155760</v>
      </c>
      <c r="F316" s="1157">
        <v>29202</v>
      </c>
      <c r="G316" s="1149">
        <v>7</v>
      </c>
      <c r="H316" s="1149" t="s">
        <v>2951</v>
      </c>
    </row>
    <row r="317" spans="2:8">
      <c r="B317" s="1166" t="s">
        <v>2314</v>
      </c>
      <c r="C317" s="1157">
        <v>12300</v>
      </c>
      <c r="D317" s="1162">
        <v>13000</v>
      </c>
      <c r="E317" s="1162">
        <v>20927</v>
      </c>
      <c r="F317" s="1157">
        <v>20227</v>
      </c>
      <c r="G317" s="1149">
        <v>7</v>
      </c>
      <c r="H317" s="1149" t="s">
        <v>2951</v>
      </c>
    </row>
    <row r="318" spans="2:8" s="1505" customFormat="1">
      <c r="B318" s="1507" t="s">
        <v>2304</v>
      </c>
      <c r="C318" s="1503">
        <v>327</v>
      </c>
      <c r="D318" s="1504"/>
      <c r="E318" s="1504"/>
      <c r="F318" s="1503">
        <v>327</v>
      </c>
      <c r="G318" s="1505">
        <v>7</v>
      </c>
      <c r="H318" s="1505" t="s">
        <v>2951</v>
      </c>
    </row>
    <row r="319" spans="2:8">
      <c r="B319" s="1166" t="s">
        <v>1822</v>
      </c>
      <c r="C319" s="1155"/>
      <c r="D319" s="1162">
        <v>17250</v>
      </c>
      <c r="E319" s="1162">
        <v>12200</v>
      </c>
      <c r="F319" s="1169">
        <v>5050</v>
      </c>
      <c r="G319" s="1149">
        <v>17</v>
      </c>
      <c r="H319" s="1149" t="s">
        <v>2949</v>
      </c>
    </row>
    <row r="320" spans="2:8" s="1505" customFormat="1">
      <c r="B320" s="1507" t="s">
        <v>2306</v>
      </c>
      <c r="C320" s="1503">
        <v>3150</v>
      </c>
      <c r="D320" s="1504"/>
      <c r="E320" s="1504"/>
      <c r="F320" s="1503">
        <v>3150</v>
      </c>
      <c r="G320" s="1505">
        <v>7</v>
      </c>
      <c r="H320" s="1505" t="s">
        <v>2951</v>
      </c>
    </row>
    <row r="321" spans="2:8">
      <c r="B321" s="1166" t="s">
        <v>2593</v>
      </c>
      <c r="C321" s="1155"/>
      <c r="D321" s="1162">
        <v>75000</v>
      </c>
      <c r="E321" s="1158"/>
      <c r="F321" s="1169">
        <v>75000</v>
      </c>
      <c r="G321" s="1149">
        <v>17</v>
      </c>
      <c r="H321" s="1149" t="s">
        <v>2949</v>
      </c>
    </row>
    <row r="322" spans="2:8">
      <c r="B322" s="1166" t="s">
        <v>2315</v>
      </c>
      <c r="C322" s="1169">
        <v>20000</v>
      </c>
      <c r="D322" s="1158"/>
      <c r="E322" s="1162">
        <v>20000</v>
      </c>
      <c r="F322" s="1155"/>
    </row>
    <row r="323" spans="2:8">
      <c r="B323" s="1166" t="s">
        <v>2316</v>
      </c>
      <c r="C323" s="1169">
        <v>2800</v>
      </c>
      <c r="D323" s="1158"/>
      <c r="E323" s="1162">
        <v>2800</v>
      </c>
      <c r="F323" s="1155"/>
      <c r="G323" s="1149">
        <v>7</v>
      </c>
      <c r="H323" s="1149" t="s">
        <v>2951</v>
      </c>
    </row>
    <row r="324" spans="2:8" s="1505" customFormat="1">
      <c r="B324" s="1507" t="s">
        <v>1464</v>
      </c>
      <c r="C324" s="1503">
        <v>1200</v>
      </c>
      <c r="D324" s="1504"/>
      <c r="E324" s="1504"/>
      <c r="F324" s="1503">
        <v>1200</v>
      </c>
      <c r="G324" s="1505">
        <v>7</v>
      </c>
      <c r="H324" s="1505" t="s">
        <v>2951</v>
      </c>
    </row>
    <row r="325" spans="2:8" s="1505" customFormat="1">
      <c r="B325" s="1502" t="s">
        <v>1834</v>
      </c>
      <c r="C325" s="1503">
        <v>4042</v>
      </c>
      <c r="D325" s="1504"/>
      <c r="E325" s="1504"/>
      <c r="F325" s="1503">
        <v>4042</v>
      </c>
      <c r="G325" s="1505">
        <v>7</v>
      </c>
      <c r="H325" s="1505" t="s">
        <v>2951</v>
      </c>
    </row>
    <row r="326" spans="2:8" s="1505" customFormat="1">
      <c r="B326" s="1502" t="s">
        <v>1027</v>
      </c>
      <c r="C326" s="1503">
        <v>9225</v>
      </c>
      <c r="D326" s="1504"/>
      <c r="E326" s="1504"/>
      <c r="F326" s="1503">
        <v>9225</v>
      </c>
      <c r="G326" s="1505">
        <v>7</v>
      </c>
      <c r="H326" s="1505" t="s">
        <v>2951</v>
      </c>
    </row>
    <row r="327" spans="2:8">
      <c r="B327" s="1167" t="s">
        <v>1994</v>
      </c>
      <c r="C327" s="1169">
        <v>19426</v>
      </c>
      <c r="D327" s="1158"/>
      <c r="E327" s="1162">
        <v>19426</v>
      </c>
      <c r="F327" s="1155"/>
      <c r="G327" s="1149">
        <v>7</v>
      </c>
      <c r="H327" s="1149" t="s">
        <v>2951</v>
      </c>
    </row>
    <row r="328" spans="2:8">
      <c r="B328" s="1166" t="s">
        <v>2677</v>
      </c>
      <c r="C328" s="1155"/>
      <c r="D328" s="1162">
        <v>1000</v>
      </c>
      <c r="E328" s="1162">
        <v>1200</v>
      </c>
      <c r="F328" s="1157">
        <v>200</v>
      </c>
      <c r="G328" s="1149">
        <v>7</v>
      </c>
      <c r="H328" s="1149" t="s">
        <v>2951</v>
      </c>
    </row>
    <row r="329" spans="2:8" s="1634" customFormat="1">
      <c r="B329" s="1631" t="s">
        <v>2309</v>
      </c>
      <c r="C329" s="1632">
        <v>150</v>
      </c>
      <c r="D329" s="1633"/>
      <c r="E329" s="1633"/>
      <c r="F329" s="1632">
        <v>150</v>
      </c>
      <c r="G329" s="1634">
        <v>7</v>
      </c>
      <c r="H329" s="1634" t="s">
        <v>2951</v>
      </c>
    </row>
    <row r="330" spans="2:8">
      <c r="B330" s="1167" t="s">
        <v>656</v>
      </c>
      <c r="C330" s="1169">
        <v>12679</v>
      </c>
      <c r="D330" s="1158"/>
      <c r="E330" s="1158"/>
      <c r="F330" s="1169">
        <v>12679</v>
      </c>
      <c r="G330" s="1149">
        <v>17</v>
      </c>
      <c r="H330" s="1149" t="s">
        <v>2949</v>
      </c>
    </row>
    <row r="331" spans="2:8" s="1505" customFormat="1">
      <c r="B331" s="1507" t="s">
        <v>1819</v>
      </c>
      <c r="C331" s="1503">
        <v>6465</v>
      </c>
      <c r="D331" s="1504"/>
      <c r="E331" s="1504"/>
      <c r="F331" s="1503">
        <v>6465</v>
      </c>
      <c r="G331" s="1505">
        <v>7</v>
      </c>
      <c r="H331" s="1505" t="s">
        <v>2951</v>
      </c>
    </row>
    <row r="332" spans="2:8">
      <c r="B332" s="1167" t="s">
        <v>2317</v>
      </c>
      <c r="C332" s="1157">
        <v>1670</v>
      </c>
      <c r="D332" s="1162">
        <v>16500</v>
      </c>
      <c r="E332" s="1158"/>
      <c r="F332" s="1169">
        <v>14830</v>
      </c>
      <c r="G332" s="1149">
        <v>17</v>
      </c>
      <c r="H332" s="1149" t="s">
        <v>2949</v>
      </c>
    </row>
    <row r="333" spans="2:8" s="1505" customFormat="1">
      <c r="B333" s="1506" t="s">
        <v>1270</v>
      </c>
      <c r="C333" s="1503">
        <v>20000</v>
      </c>
      <c r="D333" s="1504"/>
      <c r="E333" s="1504"/>
      <c r="F333" s="1503">
        <v>20000</v>
      </c>
      <c r="G333" s="1505">
        <v>7</v>
      </c>
      <c r="H333" s="1505" t="s">
        <v>2951</v>
      </c>
    </row>
    <row r="334" spans="2:8">
      <c r="B334" s="1167" t="s">
        <v>1037</v>
      </c>
      <c r="C334" s="1169">
        <v>36187</v>
      </c>
      <c r="D334" s="1162">
        <v>128050</v>
      </c>
      <c r="E334" s="1162">
        <v>17950</v>
      </c>
      <c r="F334" s="1169">
        <v>146287</v>
      </c>
      <c r="G334" s="1149">
        <v>17</v>
      </c>
      <c r="H334" s="1149" t="s">
        <v>2949</v>
      </c>
    </row>
    <row r="335" spans="2:8">
      <c r="B335" s="1166" t="s">
        <v>695</v>
      </c>
      <c r="C335" s="1157">
        <v>1300</v>
      </c>
      <c r="D335" s="1158"/>
      <c r="E335" s="1162">
        <v>1150</v>
      </c>
      <c r="F335" s="1157">
        <v>2450</v>
      </c>
      <c r="G335" s="1149">
        <v>7</v>
      </c>
      <c r="H335" s="1149" t="s">
        <v>2951</v>
      </c>
    </row>
    <row r="336" spans="2:8" s="1505" customFormat="1">
      <c r="B336" s="1502" t="s">
        <v>696</v>
      </c>
      <c r="C336" s="1503">
        <v>11035</v>
      </c>
      <c r="D336" s="1504"/>
      <c r="E336" s="1504"/>
      <c r="F336" s="1503">
        <v>11035</v>
      </c>
      <c r="G336" s="1505">
        <v>7</v>
      </c>
      <c r="H336" s="1505" t="s">
        <v>2951</v>
      </c>
    </row>
    <row r="337" spans="2:8">
      <c r="B337" s="1166" t="s">
        <v>697</v>
      </c>
      <c r="C337" s="1157">
        <v>19234</v>
      </c>
      <c r="D337" s="1162">
        <v>115900</v>
      </c>
      <c r="E337" s="1162">
        <v>66936</v>
      </c>
      <c r="F337" s="1169">
        <v>29730</v>
      </c>
      <c r="G337" s="1149">
        <v>17</v>
      </c>
      <c r="H337" s="1149" t="s">
        <v>2949</v>
      </c>
    </row>
    <row r="338" spans="2:8">
      <c r="B338" s="1165" t="s">
        <v>944</v>
      </c>
      <c r="C338" s="1176">
        <v>1063297.6000000001</v>
      </c>
      <c r="D338" s="1177">
        <v>31023213.16</v>
      </c>
      <c r="E338" s="1177">
        <v>38504831</v>
      </c>
      <c r="F338" s="1178">
        <v>6418320.2400000002</v>
      </c>
      <c r="G338" s="1149">
        <v>7</v>
      </c>
      <c r="H338" s="1149" t="s">
        <v>2951</v>
      </c>
    </row>
    <row r="339" spans="2:8">
      <c r="B339" s="1168" t="s">
        <v>2594</v>
      </c>
      <c r="C339" s="1155"/>
      <c r="D339" s="1162">
        <v>8100</v>
      </c>
      <c r="E339" s="1158"/>
      <c r="F339" s="1169">
        <v>8100</v>
      </c>
      <c r="G339" s="1149">
        <v>17</v>
      </c>
      <c r="H339" s="1149" t="s">
        <v>2949</v>
      </c>
    </row>
    <row r="340" spans="2:8">
      <c r="B340" s="1167" t="s">
        <v>2319</v>
      </c>
      <c r="C340" s="1155"/>
      <c r="D340" s="1162">
        <v>39600</v>
      </c>
      <c r="E340" s="1162">
        <v>39600</v>
      </c>
      <c r="F340" s="1155"/>
      <c r="G340" s="1149">
        <v>7</v>
      </c>
      <c r="H340" s="1149" t="s">
        <v>2951</v>
      </c>
    </row>
    <row r="341" spans="2:8">
      <c r="B341" s="1166" t="s">
        <v>2595</v>
      </c>
      <c r="C341" s="1155"/>
      <c r="D341" s="1158"/>
      <c r="E341" s="1162">
        <v>118914</v>
      </c>
      <c r="F341" s="1157">
        <v>118914</v>
      </c>
      <c r="G341" s="1149">
        <v>7</v>
      </c>
      <c r="H341" s="1149" t="s">
        <v>2951</v>
      </c>
    </row>
    <row r="342" spans="2:8">
      <c r="B342" s="1166" t="s">
        <v>1039</v>
      </c>
      <c r="C342" s="1155"/>
      <c r="D342" s="1162">
        <v>3150000</v>
      </c>
      <c r="E342" s="1162">
        <v>3324995</v>
      </c>
      <c r="F342" s="1157">
        <v>174995</v>
      </c>
      <c r="G342" s="1149">
        <v>7</v>
      </c>
      <c r="H342" s="1149" t="s">
        <v>2951</v>
      </c>
    </row>
    <row r="343" spans="2:8">
      <c r="B343" s="1166" t="s">
        <v>1997</v>
      </c>
      <c r="C343" s="1169">
        <v>3500</v>
      </c>
      <c r="D343" s="1158"/>
      <c r="E343" s="1162">
        <v>3500</v>
      </c>
      <c r="F343" s="1155"/>
      <c r="G343" s="1149">
        <v>7</v>
      </c>
      <c r="H343" s="1149" t="s">
        <v>2951</v>
      </c>
    </row>
    <row r="344" spans="2:8">
      <c r="B344" s="1168" t="s">
        <v>2596</v>
      </c>
      <c r="C344" s="1155"/>
      <c r="D344" s="1162">
        <v>336890</v>
      </c>
      <c r="E344" s="1162">
        <v>336890</v>
      </c>
      <c r="F344" s="1155"/>
      <c r="G344" s="1149">
        <v>7</v>
      </c>
      <c r="H344" s="1149" t="s">
        <v>2951</v>
      </c>
    </row>
    <row r="345" spans="2:8">
      <c r="B345" s="1168" t="s">
        <v>2597</v>
      </c>
      <c r="C345" s="1155"/>
      <c r="D345" s="1162">
        <v>1058950</v>
      </c>
      <c r="E345" s="1162">
        <v>3473719</v>
      </c>
      <c r="F345" s="1157">
        <v>2414769</v>
      </c>
      <c r="G345" s="1149">
        <v>7</v>
      </c>
      <c r="H345" s="1149" t="s">
        <v>2951</v>
      </c>
    </row>
    <row r="346" spans="2:8">
      <c r="B346" s="1166" t="s">
        <v>2678</v>
      </c>
      <c r="C346" s="1157">
        <v>85500</v>
      </c>
      <c r="D346" s="1162">
        <v>297200</v>
      </c>
      <c r="E346" s="1162">
        <v>211700</v>
      </c>
      <c r="F346" s="1155"/>
      <c r="G346" s="1149">
        <v>7</v>
      </c>
      <c r="H346" s="1149" t="s">
        <v>2951</v>
      </c>
    </row>
    <row r="347" spans="2:8">
      <c r="B347" s="1172" t="s">
        <v>1716</v>
      </c>
      <c r="C347" s="1169">
        <v>45026</v>
      </c>
      <c r="D347" s="1162">
        <v>734750</v>
      </c>
      <c r="E347" s="1162">
        <v>734764</v>
      </c>
      <c r="F347" s="1169">
        <v>45012</v>
      </c>
      <c r="G347" s="1149">
        <v>17</v>
      </c>
      <c r="H347" s="1149" t="s">
        <v>2949</v>
      </c>
    </row>
    <row r="348" spans="2:8" s="1505" customFormat="1">
      <c r="B348" s="1502" t="s">
        <v>1992</v>
      </c>
      <c r="C348" s="1503">
        <v>1600</v>
      </c>
      <c r="D348" s="1504"/>
      <c r="E348" s="1504"/>
      <c r="F348" s="1503">
        <v>1600</v>
      </c>
      <c r="G348" s="1505">
        <v>7</v>
      </c>
      <c r="H348" s="1505" t="s">
        <v>2951</v>
      </c>
    </row>
    <row r="349" spans="2:8">
      <c r="B349" s="1172" t="s">
        <v>2679</v>
      </c>
      <c r="C349" s="1155"/>
      <c r="D349" s="1162">
        <v>168200</v>
      </c>
      <c r="E349" s="1162">
        <v>213000</v>
      </c>
      <c r="F349" s="1157">
        <v>44800</v>
      </c>
      <c r="G349" s="1149">
        <v>7</v>
      </c>
      <c r="H349" s="1149" t="s">
        <v>2951</v>
      </c>
    </row>
    <row r="350" spans="2:8">
      <c r="B350" s="1167" t="s">
        <v>1999</v>
      </c>
      <c r="C350" s="1157">
        <v>75000</v>
      </c>
      <c r="D350" s="1162">
        <v>100000</v>
      </c>
      <c r="E350" s="1162">
        <v>25000</v>
      </c>
      <c r="F350" s="1155"/>
      <c r="G350" s="1149">
        <v>7</v>
      </c>
      <c r="H350" s="1149" t="s">
        <v>2951</v>
      </c>
    </row>
    <row r="351" spans="2:8">
      <c r="B351" s="1168" t="s">
        <v>2598</v>
      </c>
      <c r="C351" s="1155"/>
      <c r="D351" s="1162">
        <v>261755</v>
      </c>
      <c r="E351" s="1162">
        <v>242641</v>
      </c>
      <c r="F351" s="1169">
        <v>19114</v>
      </c>
      <c r="G351" s="1149">
        <v>17</v>
      </c>
      <c r="H351" s="1149" t="s">
        <v>2949</v>
      </c>
    </row>
    <row r="352" spans="2:8">
      <c r="B352" s="1168" t="s">
        <v>2322</v>
      </c>
      <c r="C352" s="1157">
        <v>64016</v>
      </c>
      <c r="D352" s="1162">
        <v>64016</v>
      </c>
      <c r="E352" s="1158"/>
      <c r="F352" s="1155"/>
      <c r="G352" s="1149">
        <v>7</v>
      </c>
      <c r="H352" s="1149" t="s">
        <v>2951</v>
      </c>
    </row>
    <row r="353" spans="2:8">
      <c r="B353" s="1166" t="s">
        <v>707</v>
      </c>
      <c r="C353" s="1157">
        <v>507450.2</v>
      </c>
      <c r="D353" s="1162">
        <v>6134711.1600000001</v>
      </c>
      <c r="E353" s="1162">
        <v>6077520</v>
      </c>
      <c r="F353" s="1157">
        <v>450259.04</v>
      </c>
      <c r="G353" s="1149">
        <v>7</v>
      </c>
      <c r="H353" s="1149" t="s">
        <v>2951</v>
      </c>
    </row>
    <row r="354" spans="2:8">
      <c r="B354" s="1166" t="s">
        <v>1717</v>
      </c>
      <c r="C354" s="1157">
        <v>47851.199999999997</v>
      </c>
      <c r="D354" s="1162">
        <v>247660</v>
      </c>
      <c r="E354" s="1162">
        <v>247660</v>
      </c>
      <c r="F354" s="1157">
        <v>47851.199999999997</v>
      </c>
      <c r="G354" s="1149">
        <v>7</v>
      </c>
      <c r="H354" s="1149" t="s">
        <v>2951</v>
      </c>
    </row>
    <row r="355" spans="2:8">
      <c r="B355" s="1168" t="s">
        <v>2599</v>
      </c>
      <c r="C355" s="1155"/>
      <c r="D355" s="1162">
        <v>139000</v>
      </c>
      <c r="E355" s="1162">
        <v>139000</v>
      </c>
      <c r="F355" s="1155"/>
      <c r="G355" s="1149">
        <v>7</v>
      </c>
      <c r="H355" s="1149" t="s">
        <v>2951</v>
      </c>
    </row>
    <row r="356" spans="2:8">
      <c r="B356" s="1168" t="s">
        <v>2324</v>
      </c>
      <c r="C356" s="1169">
        <v>6863</v>
      </c>
      <c r="D356" s="1158"/>
      <c r="E356" s="1162">
        <v>6863</v>
      </c>
      <c r="F356" s="1155"/>
      <c r="G356" s="1149">
        <v>7</v>
      </c>
      <c r="H356" s="1149" t="s">
        <v>2951</v>
      </c>
    </row>
    <row r="357" spans="2:8">
      <c r="B357" s="1168" t="s">
        <v>2325</v>
      </c>
      <c r="C357" s="1169">
        <v>2024127</v>
      </c>
      <c r="D357" s="1162">
        <v>10014497</v>
      </c>
      <c r="E357" s="1162">
        <v>14279356</v>
      </c>
      <c r="F357" s="1157">
        <v>2240732</v>
      </c>
      <c r="G357" s="1149">
        <v>7</v>
      </c>
      <c r="H357" s="1149" t="s">
        <v>2951</v>
      </c>
    </row>
    <row r="358" spans="2:8">
      <c r="B358" s="1166" t="s">
        <v>2680</v>
      </c>
      <c r="C358" s="1155"/>
      <c r="D358" s="1162">
        <v>35750</v>
      </c>
      <c r="E358" s="1162">
        <v>55000</v>
      </c>
      <c r="F358" s="1157">
        <v>19250</v>
      </c>
      <c r="G358" s="1149">
        <v>7</v>
      </c>
      <c r="H358" s="1149" t="s">
        <v>2951</v>
      </c>
    </row>
    <row r="359" spans="2:8" s="1505" customFormat="1">
      <c r="B359" s="1502" t="s">
        <v>1467</v>
      </c>
      <c r="C359" s="1503">
        <v>2090</v>
      </c>
      <c r="D359" s="1504"/>
      <c r="E359" s="1504"/>
      <c r="F359" s="1503">
        <v>2090</v>
      </c>
      <c r="G359" s="1505">
        <v>7</v>
      </c>
      <c r="H359" s="1505" t="s">
        <v>2951</v>
      </c>
    </row>
    <row r="360" spans="2:8">
      <c r="B360" s="1167" t="s">
        <v>2681</v>
      </c>
      <c r="C360" s="1155"/>
      <c r="D360" s="1162">
        <v>152950</v>
      </c>
      <c r="E360" s="1162">
        <v>152950</v>
      </c>
      <c r="F360" s="1155"/>
      <c r="G360" s="1149">
        <v>7</v>
      </c>
      <c r="H360" s="1149" t="s">
        <v>2951</v>
      </c>
    </row>
    <row r="361" spans="2:8">
      <c r="B361" s="1167" t="s">
        <v>1475</v>
      </c>
      <c r="C361" s="1157">
        <v>232670</v>
      </c>
      <c r="D361" s="1162">
        <v>204700</v>
      </c>
      <c r="E361" s="1162">
        <v>174800</v>
      </c>
      <c r="F361" s="1157">
        <v>202770</v>
      </c>
      <c r="G361" s="1149">
        <v>7</v>
      </c>
      <c r="H361" s="1149" t="s">
        <v>2951</v>
      </c>
    </row>
    <row r="362" spans="2:8">
      <c r="B362" s="1166" t="s">
        <v>2600</v>
      </c>
      <c r="C362" s="1155"/>
      <c r="D362" s="1162">
        <v>28327</v>
      </c>
      <c r="E362" s="1162">
        <v>28327</v>
      </c>
      <c r="F362" s="1155"/>
      <c r="G362" s="1149">
        <v>7</v>
      </c>
      <c r="H362" s="1149" t="s">
        <v>2951</v>
      </c>
    </row>
    <row r="363" spans="2:8">
      <c r="B363" s="1166" t="s">
        <v>2601</v>
      </c>
      <c r="C363" s="1155"/>
      <c r="D363" s="1162">
        <v>1550000</v>
      </c>
      <c r="E363" s="1162">
        <v>1891508</v>
      </c>
      <c r="F363" s="1157">
        <v>341508</v>
      </c>
      <c r="G363" s="1149">
        <v>7</v>
      </c>
      <c r="H363" s="1149" t="s">
        <v>2951</v>
      </c>
    </row>
    <row r="364" spans="2:8">
      <c r="B364" s="1168" t="s">
        <v>2328</v>
      </c>
      <c r="C364" s="1169">
        <v>990000</v>
      </c>
      <c r="D364" s="1162">
        <v>1280202</v>
      </c>
      <c r="E364" s="1162">
        <v>2270202</v>
      </c>
      <c r="F364" s="1155"/>
      <c r="G364" s="1149">
        <v>7</v>
      </c>
      <c r="H364" s="1149" t="s">
        <v>2951</v>
      </c>
    </row>
    <row r="365" spans="2:8">
      <c r="B365" s="1168" t="s">
        <v>2329</v>
      </c>
      <c r="C365" s="1169">
        <v>50858</v>
      </c>
      <c r="D365" s="1158"/>
      <c r="E365" s="1162">
        <v>50858</v>
      </c>
      <c r="F365" s="1155"/>
      <c r="G365" s="1149">
        <v>7</v>
      </c>
      <c r="H365" s="1149" t="s">
        <v>2951</v>
      </c>
    </row>
    <row r="366" spans="2:8" s="1634" customFormat="1">
      <c r="B366" s="1635" t="s">
        <v>1032</v>
      </c>
      <c r="C366" s="1632">
        <v>316617.93</v>
      </c>
      <c r="D366" s="1633"/>
      <c r="E366" s="1633"/>
      <c r="F366" s="1632">
        <v>316617.93</v>
      </c>
      <c r="G366" s="1634">
        <v>7</v>
      </c>
      <c r="H366" s="1634" t="s">
        <v>2951</v>
      </c>
    </row>
    <row r="367" spans="2:8">
      <c r="B367" s="1166" t="s">
        <v>2330</v>
      </c>
      <c r="C367" s="1157">
        <v>60500</v>
      </c>
      <c r="D367" s="1162">
        <v>107250</v>
      </c>
      <c r="E367" s="1162">
        <v>46750</v>
      </c>
      <c r="F367" s="1155"/>
      <c r="G367" s="1149">
        <v>7</v>
      </c>
      <c r="H367" s="1149" t="s">
        <v>2951</v>
      </c>
    </row>
    <row r="368" spans="2:8">
      <c r="B368" s="1172" t="s">
        <v>2682</v>
      </c>
      <c r="C368" s="1155"/>
      <c r="D368" s="1162">
        <v>18000</v>
      </c>
      <c r="E368" s="1162">
        <v>18000</v>
      </c>
      <c r="F368" s="1155"/>
      <c r="G368" s="1149">
        <v>7</v>
      </c>
      <c r="H368" s="1149" t="s">
        <v>2951</v>
      </c>
    </row>
    <row r="369" spans="2:8">
      <c r="B369" s="1167" t="s">
        <v>2683</v>
      </c>
      <c r="C369" s="1155"/>
      <c r="D369" s="1162">
        <v>33000</v>
      </c>
      <c r="E369" s="1162">
        <v>33000</v>
      </c>
      <c r="F369" s="1155"/>
      <c r="G369" s="1149">
        <v>7</v>
      </c>
      <c r="H369" s="1149" t="s">
        <v>2951</v>
      </c>
    </row>
    <row r="370" spans="2:8">
      <c r="B370" s="1166" t="s">
        <v>2331</v>
      </c>
      <c r="C370" s="1157">
        <v>36919</v>
      </c>
      <c r="D370" s="1162">
        <v>37500</v>
      </c>
      <c r="E370" s="1162">
        <v>40871</v>
      </c>
      <c r="F370" s="1157">
        <v>40290</v>
      </c>
      <c r="G370" s="1149">
        <v>7</v>
      </c>
      <c r="H370" s="1149" t="s">
        <v>2951</v>
      </c>
    </row>
    <row r="371" spans="2:8" s="1505" customFormat="1">
      <c r="B371" s="1508" t="s">
        <v>1063</v>
      </c>
      <c r="C371" s="1503">
        <v>32203.14</v>
      </c>
      <c r="D371" s="1504"/>
      <c r="E371" s="1504"/>
      <c r="F371" s="1503">
        <v>32203.14</v>
      </c>
      <c r="G371" s="1505">
        <v>5</v>
      </c>
      <c r="H371" s="1505" t="s">
        <v>2710</v>
      </c>
    </row>
    <row r="372" spans="2:8">
      <c r="B372" s="1166" t="s">
        <v>1835</v>
      </c>
      <c r="C372" s="1157">
        <v>110000</v>
      </c>
      <c r="D372" s="1162">
        <v>82500</v>
      </c>
      <c r="E372" s="1158"/>
      <c r="F372" s="1157">
        <v>27500</v>
      </c>
      <c r="G372" s="1149">
        <v>7</v>
      </c>
      <c r="H372" s="1149" t="s">
        <v>2951</v>
      </c>
    </row>
    <row r="373" spans="2:8">
      <c r="B373" s="1166" t="s">
        <v>2333</v>
      </c>
      <c r="C373" s="1157">
        <v>506466</v>
      </c>
      <c r="D373" s="1162">
        <v>1492307</v>
      </c>
      <c r="E373" s="1162">
        <v>985841</v>
      </c>
      <c r="F373" s="1155"/>
      <c r="G373" s="1149">
        <v>7</v>
      </c>
      <c r="H373" s="1149" t="s">
        <v>2951</v>
      </c>
    </row>
    <row r="374" spans="2:8">
      <c r="B374" s="1166" t="s">
        <v>2334</v>
      </c>
      <c r="C374" s="1157">
        <v>94190</v>
      </c>
      <c r="D374" s="1162">
        <v>81531</v>
      </c>
      <c r="E374" s="1158"/>
      <c r="F374" s="1157">
        <v>12659</v>
      </c>
      <c r="G374" s="1149">
        <v>7</v>
      </c>
      <c r="H374" s="1149" t="s">
        <v>2951</v>
      </c>
    </row>
    <row r="375" spans="2:8">
      <c r="B375" s="1168" t="s">
        <v>2684</v>
      </c>
      <c r="C375" s="1155"/>
      <c r="D375" s="1162">
        <v>12400</v>
      </c>
      <c r="E375" s="1162">
        <v>12400</v>
      </c>
      <c r="F375" s="1155"/>
      <c r="G375" s="1149">
        <v>7</v>
      </c>
      <c r="H375" s="1149" t="s">
        <v>2951</v>
      </c>
    </row>
    <row r="376" spans="2:8">
      <c r="B376" s="1166" t="s">
        <v>2602</v>
      </c>
      <c r="C376" s="1155"/>
      <c r="D376" s="1162">
        <v>315000</v>
      </c>
      <c r="E376" s="1162">
        <v>315000</v>
      </c>
      <c r="F376" s="1155"/>
      <c r="G376" s="1149">
        <v>7</v>
      </c>
      <c r="H376" s="1149" t="s">
        <v>2951</v>
      </c>
    </row>
    <row r="377" spans="2:8">
      <c r="B377" s="1167" t="s">
        <v>2336</v>
      </c>
      <c r="C377" s="1157">
        <v>14400</v>
      </c>
      <c r="D377" s="1162">
        <v>576950</v>
      </c>
      <c r="E377" s="1162">
        <v>561250</v>
      </c>
      <c r="F377" s="1169">
        <v>1300</v>
      </c>
      <c r="G377" s="1149">
        <v>17</v>
      </c>
      <c r="H377" s="1149" t="s">
        <v>2949</v>
      </c>
    </row>
    <row r="378" spans="2:8">
      <c r="B378" s="1167" t="s">
        <v>2603</v>
      </c>
      <c r="C378" s="1155"/>
      <c r="D378" s="1162">
        <v>173140</v>
      </c>
      <c r="E378" s="1162">
        <v>173140</v>
      </c>
      <c r="F378" s="1155"/>
      <c r="G378" s="1149">
        <v>7</v>
      </c>
      <c r="H378" s="1149" t="s">
        <v>2951</v>
      </c>
    </row>
    <row r="379" spans="2:8">
      <c r="B379" s="1168" t="s">
        <v>2604</v>
      </c>
      <c r="C379" s="1155"/>
      <c r="D379" s="1162">
        <v>997623</v>
      </c>
      <c r="E379" s="1162">
        <v>1444165</v>
      </c>
      <c r="F379" s="1157">
        <v>446542</v>
      </c>
      <c r="G379" s="1149">
        <v>7</v>
      </c>
      <c r="H379" s="1149" t="s">
        <v>2951</v>
      </c>
    </row>
    <row r="380" spans="2:8">
      <c r="B380" s="1166" t="s">
        <v>2338</v>
      </c>
      <c r="C380" s="1169">
        <v>3000</v>
      </c>
      <c r="D380" s="1158"/>
      <c r="E380" s="1162">
        <v>3000</v>
      </c>
      <c r="F380" s="1155"/>
      <c r="G380" s="1149">
        <v>7</v>
      </c>
      <c r="H380" s="1149" t="s">
        <v>2951</v>
      </c>
    </row>
    <row r="381" spans="2:8" s="1505" customFormat="1">
      <c r="B381" s="1507" t="s">
        <v>700</v>
      </c>
      <c r="C381" s="1503">
        <v>42983</v>
      </c>
      <c r="D381" s="1504"/>
      <c r="E381" s="1504"/>
      <c r="F381" s="1503">
        <v>42983</v>
      </c>
      <c r="G381" s="1505">
        <v>7</v>
      </c>
      <c r="H381" s="1505" t="s">
        <v>2951</v>
      </c>
    </row>
    <row r="382" spans="2:8">
      <c r="B382" s="1166" t="s">
        <v>721</v>
      </c>
      <c r="C382" s="1155"/>
      <c r="D382" s="1162">
        <v>93450</v>
      </c>
      <c r="E382" s="1162">
        <v>93450</v>
      </c>
      <c r="F382" s="1155"/>
      <c r="G382" s="1149">
        <v>7</v>
      </c>
      <c r="H382" s="1149" t="s">
        <v>2951</v>
      </c>
    </row>
    <row r="383" spans="2:8">
      <c r="B383" s="1167" t="s">
        <v>2339</v>
      </c>
      <c r="C383" s="1157">
        <v>3932</v>
      </c>
      <c r="D383" s="1162">
        <v>79079</v>
      </c>
      <c r="E383" s="1162">
        <v>75147</v>
      </c>
      <c r="F383" s="1155"/>
      <c r="G383" s="1149">
        <v>7</v>
      </c>
      <c r="H383" s="1149" t="s">
        <v>2951</v>
      </c>
    </row>
    <row r="384" spans="2:8">
      <c r="B384" s="1168" t="s">
        <v>2605</v>
      </c>
      <c r="C384" s="1155"/>
      <c r="D384" s="1162">
        <v>355550</v>
      </c>
      <c r="E384" s="1162">
        <v>355550</v>
      </c>
      <c r="F384" s="1155"/>
      <c r="G384" s="1149">
        <v>7</v>
      </c>
      <c r="H384" s="1149" t="s">
        <v>2951</v>
      </c>
    </row>
    <row r="385" spans="2:8">
      <c r="B385" s="1167" t="s">
        <v>2606</v>
      </c>
      <c r="C385" s="1155"/>
      <c r="D385" s="1162">
        <v>326875</v>
      </c>
      <c r="E385" s="1158"/>
      <c r="F385" s="1169">
        <v>326875</v>
      </c>
      <c r="G385" s="1149">
        <v>17</v>
      </c>
      <c r="H385" s="1149" t="s">
        <v>2949</v>
      </c>
    </row>
    <row r="386" spans="2:8">
      <c r="B386" s="1166" t="s">
        <v>1482</v>
      </c>
      <c r="C386" s="1155"/>
      <c r="D386" s="1162">
        <v>37100</v>
      </c>
      <c r="E386" s="1162">
        <v>84800</v>
      </c>
      <c r="F386" s="1157">
        <v>47700</v>
      </c>
      <c r="G386" s="1149">
        <v>7</v>
      </c>
      <c r="H386" s="1149" t="s">
        <v>2951</v>
      </c>
    </row>
    <row r="387" spans="2:8">
      <c r="B387" s="1166" t="s">
        <v>1044</v>
      </c>
      <c r="C387" s="1155"/>
      <c r="D387" s="1162">
        <v>60500</v>
      </c>
      <c r="E387" s="1162">
        <v>60500</v>
      </c>
      <c r="F387" s="1155"/>
      <c r="G387" s="1149">
        <v>7</v>
      </c>
      <c r="H387" s="1149" t="s">
        <v>2951</v>
      </c>
    </row>
    <row r="388" spans="2:8">
      <c r="B388" s="1167" t="s">
        <v>2008</v>
      </c>
      <c r="C388" s="1157">
        <v>88000</v>
      </c>
      <c r="D388" s="1162">
        <v>49500</v>
      </c>
      <c r="E388" s="1162">
        <v>16500</v>
      </c>
      <c r="F388" s="1157">
        <v>55000</v>
      </c>
      <c r="G388" s="1149">
        <v>7</v>
      </c>
      <c r="H388" s="1149" t="s">
        <v>2951</v>
      </c>
    </row>
    <row r="389" spans="2:8">
      <c r="B389" s="1166" t="s">
        <v>2685</v>
      </c>
      <c r="C389" s="1155"/>
      <c r="D389" s="1162">
        <v>69600</v>
      </c>
      <c r="E389" s="1162">
        <v>69600</v>
      </c>
      <c r="F389" s="1155"/>
      <c r="G389" s="1149">
        <v>7</v>
      </c>
      <c r="H389" s="1149" t="s">
        <v>2951</v>
      </c>
    </row>
    <row r="390" spans="2:8">
      <c r="B390" s="1166" t="s">
        <v>2686</v>
      </c>
      <c r="C390" s="1155"/>
      <c r="D390" s="1162">
        <v>17100</v>
      </c>
      <c r="E390" s="1162">
        <v>17100</v>
      </c>
      <c r="F390" s="1155"/>
      <c r="G390" s="1149">
        <v>7</v>
      </c>
      <c r="H390" s="1149" t="s">
        <v>2951</v>
      </c>
    </row>
    <row r="391" spans="2:8">
      <c r="B391" s="1156" t="s">
        <v>1177</v>
      </c>
      <c r="C391" s="1155"/>
      <c r="D391" s="1162">
        <v>7147460</v>
      </c>
      <c r="E391" s="1162">
        <v>7147460</v>
      </c>
      <c r="F391" s="1155"/>
    </row>
    <row r="392" spans="2:8">
      <c r="B392" s="1156" t="s">
        <v>1062</v>
      </c>
      <c r="C392" s="1157">
        <v>78862</v>
      </c>
      <c r="D392" s="1158"/>
      <c r="E392" s="1158"/>
      <c r="F392" s="1157">
        <v>78862</v>
      </c>
      <c r="G392" s="1149">
        <v>5</v>
      </c>
      <c r="H392" s="1149" t="s">
        <v>2710</v>
      </c>
    </row>
    <row r="393" spans="2:8">
      <c r="B393" s="1170" t="s">
        <v>2015</v>
      </c>
      <c r="C393" s="1157">
        <v>11161938</v>
      </c>
      <c r="D393" s="1162">
        <v>12842507</v>
      </c>
      <c r="E393" s="1162">
        <v>1680569</v>
      </c>
      <c r="F393" s="1155"/>
      <c r="G393" s="1149">
        <v>9</v>
      </c>
    </row>
    <row r="394" spans="2:8">
      <c r="B394" s="1170" t="s">
        <v>91</v>
      </c>
      <c r="C394" s="1157">
        <v>294347</v>
      </c>
      <c r="D394" s="1158"/>
      <c r="E394" s="1158"/>
      <c r="F394" s="1157">
        <v>294347</v>
      </c>
      <c r="G394" s="1149">
        <v>5</v>
      </c>
      <c r="H394" s="1149" t="s">
        <v>2710</v>
      </c>
    </row>
    <row r="395" spans="2:8" s="1505" customFormat="1">
      <c r="B395" s="1502" t="s">
        <v>1993</v>
      </c>
      <c r="C395" s="1503">
        <v>3800</v>
      </c>
      <c r="D395" s="1504"/>
      <c r="E395" s="1504"/>
      <c r="F395" s="1503">
        <v>3800</v>
      </c>
      <c r="G395" s="1505">
        <v>7</v>
      </c>
      <c r="H395" s="1505" t="s">
        <v>2951</v>
      </c>
    </row>
    <row r="396" spans="2:8">
      <c r="B396" s="1153" t="s">
        <v>39</v>
      </c>
      <c r="C396" s="1179">
        <v>50568296.259999998</v>
      </c>
      <c r="D396" s="1160">
        <v>4110866</v>
      </c>
      <c r="E396" s="1160">
        <v>313644</v>
      </c>
      <c r="F396" s="1179">
        <v>54365518.259999998</v>
      </c>
    </row>
    <row r="397" spans="2:8">
      <c r="B397" s="1156" t="s">
        <v>92</v>
      </c>
      <c r="C397" s="1169">
        <v>868251</v>
      </c>
      <c r="D397" s="1158"/>
      <c r="E397" s="1158"/>
      <c r="F397" s="1169">
        <v>868251</v>
      </c>
      <c r="G397" s="1149">
        <v>10</v>
      </c>
    </row>
    <row r="398" spans="2:8">
      <c r="B398" s="1156" t="s">
        <v>2381</v>
      </c>
      <c r="C398" s="1169">
        <v>627039.80000000005</v>
      </c>
      <c r="D398" s="1162">
        <v>255089</v>
      </c>
      <c r="E398" s="1158"/>
      <c r="F398" s="1169">
        <v>882128.8</v>
      </c>
      <c r="G398" s="1149">
        <v>10</v>
      </c>
    </row>
    <row r="399" spans="2:8">
      <c r="B399" s="1170" t="s">
        <v>94</v>
      </c>
      <c r="C399" s="1169">
        <v>34086.35</v>
      </c>
      <c r="D399" s="1158"/>
      <c r="E399" s="1158"/>
      <c r="F399" s="1169">
        <v>34086.35</v>
      </c>
      <c r="G399" s="1149">
        <v>10</v>
      </c>
    </row>
    <row r="400" spans="2:8">
      <c r="B400" s="1156" t="s">
        <v>83</v>
      </c>
      <c r="C400" s="1169">
        <v>44957761.630000003</v>
      </c>
      <c r="D400" s="1162">
        <v>3855777</v>
      </c>
      <c r="E400" s="1162">
        <v>313644</v>
      </c>
      <c r="F400" s="1169">
        <v>48499894.630000003</v>
      </c>
      <c r="G400" s="1149">
        <v>10</v>
      </c>
    </row>
    <row r="401" spans="2:10">
      <c r="B401" s="1156" t="s">
        <v>942</v>
      </c>
      <c r="C401" s="1169">
        <v>4081157.48</v>
      </c>
      <c r="D401" s="1158"/>
      <c r="E401" s="1158"/>
      <c r="F401" s="1169">
        <v>4081157.48</v>
      </c>
      <c r="G401" s="1149">
        <v>10</v>
      </c>
    </row>
    <row r="402" spans="2:10">
      <c r="B402" s="1153" t="s">
        <v>96</v>
      </c>
      <c r="C402" s="1179">
        <v>85488694.280000001</v>
      </c>
      <c r="D402" s="1160">
        <v>860576753.42999995</v>
      </c>
      <c r="E402" s="1160">
        <v>850683808.49000001</v>
      </c>
      <c r="F402" s="1179">
        <v>95381639.219999999</v>
      </c>
      <c r="I402" s="1451"/>
    </row>
    <row r="403" spans="2:10">
      <c r="B403" s="1161" t="s">
        <v>97</v>
      </c>
      <c r="C403" s="1180">
        <v>22168775</v>
      </c>
      <c r="D403" s="1158"/>
      <c r="E403" s="1158" t="s">
        <v>1158</v>
      </c>
      <c r="F403" s="1180">
        <v>22168775</v>
      </c>
    </row>
    <row r="404" spans="2:10">
      <c r="B404" s="1167" t="s">
        <v>2016</v>
      </c>
      <c r="C404" s="1180">
        <v>1718775</v>
      </c>
      <c r="D404" s="1155"/>
      <c r="E404" s="1155"/>
      <c r="F404" s="1180">
        <v>1718775</v>
      </c>
      <c r="G404" s="1149">
        <v>17</v>
      </c>
      <c r="H404" s="1149" t="s">
        <v>1348</v>
      </c>
    </row>
    <row r="405" spans="2:10" ht="17.850000000000001" customHeight="1">
      <c r="B405" s="1156" t="s">
        <v>730</v>
      </c>
      <c r="C405" s="1180">
        <v>20450000</v>
      </c>
      <c r="D405" s="1155"/>
      <c r="E405" s="1155"/>
      <c r="F405" s="1180">
        <v>20450000</v>
      </c>
      <c r="G405" s="1149" t="s">
        <v>2701</v>
      </c>
    </row>
    <row r="406" spans="2:10" ht="14.1" customHeight="1">
      <c r="B406" s="1163" t="s">
        <v>98</v>
      </c>
      <c r="C406" s="1180">
        <v>44232310.450000003</v>
      </c>
      <c r="D406" s="1162">
        <v>302416818.29000002</v>
      </c>
      <c r="E406" s="1162">
        <v>287768668.12</v>
      </c>
      <c r="F406" s="1180">
        <v>58880460.619999997</v>
      </c>
    </row>
    <row r="407" spans="2:10">
      <c r="B407" s="1172" t="s">
        <v>2017</v>
      </c>
      <c r="C407" s="1180">
        <v>1309800</v>
      </c>
      <c r="D407" s="1155"/>
      <c r="E407" s="1155"/>
      <c r="F407" s="1180">
        <v>1309800</v>
      </c>
      <c r="G407" s="1149">
        <v>15</v>
      </c>
      <c r="H407" s="1149" t="s">
        <v>2953</v>
      </c>
    </row>
    <row r="408" spans="2:10">
      <c r="B408" s="1172" t="s">
        <v>732</v>
      </c>
      <c r="C408" s="1180">
        <v>155431</v>
      </c>
      <c r="D408" s="1155"/>
      <c r="E408" s="1155"/>
      <c r="F408" s="1450">
        <v>155431</v>
      </c>
      <c r="G408" s="1149">
        <v>15</v>
      </c>
      <c r="H408" s="1149" t="s">
        <v>2953</v>
      </c>
      <c r="J408" s="1149" t="s">
        <v>2964</v>
      </c>
    </row>
    <row r="409" spans="2:10">
      <c r="B409" s="1172" t="s">
        <v>733</v>
      </c>
      <c r="C409" s="1180">
        <v>236250</v>
      </c>
      <c r="D409" s="1155"/>
      <c r="E409" s="1155"/>
      <c r="F409" s="1450">
        <v>236250</v>
      </c>
      <c r="G409" s="1149">
        <v>15</v>
      </c>
      <c r="H409" s="1149" t="s">
        <v>2953</v>
      </c>
      <c r="J409" s="1149" t="s">
        <v>2964</v>
      </c>
    </row>
    <row r="410" spans="2:10">
      <c r="B410" s="1172" t="s">
        <v>734</v>
      </c>
      <c r="C410" s="1180">
        <v>545590</v>
      </c>
      <c r="D410" s="1155"/>
      <c r="E410" s="1155"/>
      <c r="F410" s="1450">
        <v>545590</v>
      </c>
      <c r="G410" s="1149">
        <v>15</v>
      </c>
      <c r="H410" s="1149" t="s">
        <v>2953</v>
      </c>
      <c r="J410" s="1149" t="s">
        <v>2964</v>
      </c>
    </row>
    <row r="411" spans="2:10">
      <c r="B411" s="1167" t="s">
        <v>1263</v>
      </c>
      <c r="C411" s="1180">
        <v>1020296</v>
      </c>
      <c r="D411" s="1155"/>
      <c r="E411" s="1155"/>
      <c r="F411" s="1180">
        <v>1020296</v>
      </c>
      <c r="G411" s="1149">
        <v>15</v>
      </c>
      <c r="H411" s="1149" t="s">
        <v>2953</v>
      </c>
    </row>
    <row r="412" spans="2:10">
      <c r="B412" s="1167" t="s">
        <v>736</v>
      </c>
      <c r="C412" s="1180">
        <v>1765600</v>
      </c>
      <c r="D412" s="1155"/>
      <c r="E412" s="1155"/>
      <c r="F412" s="1180">
        <v>1765600</v>
      </c>
      <c r="G412" s="1149">
        <v>15</v>
      </c>
      <c r="H412" s="1149" t="s">
        <v>2953</v>
      </c>
    </row>
    <row r="413" spans="2:10">
      <c r="B413" s="1172" t="s">
        <v>737</v>
      </c>
      <c r="C413" s="1180">
        <v>626800</v>
      </c>
      <c r="D413" s="1155"/>
      <c r="E413" s="1155"/>
      <c r="F413" s="1180">
        <v>626800</v>
      </c>
      <c r="G413" s="1149">
        <v>15</v>
      </c>
      <c r="H413" s="1149" t="s">
        <v>2953</v>
      </c>
    </row>
    <row r="414" spans="2:10">
      <c r="B414" s="1172" t="s">
        <v>2019</v>
      </c>
      <c r="C414" s="1180">
        <v>2756079.28</v>
      </c>
      <c r="D414" s="1155"/>
      <c r="E414" s="1160">
        <v>1500000</v>
      </c>
      <c r="F414" s="1180">
        <v>1256079.28</v>
      </c>
      <c r="G414" s="1149">
        <v>15</v>
      </c>
      <c r="H414" s="1149" t="s">
        <v>2953</v>
      </c>
    </row>
    <row r="415" spans="2:10">
      <c r="B415" s="1172" t="s">
        <v>2020</v>
      </c>
      <c r="C415" s="1180">
        <v>15442.74</v>
      </c>
      <c r="D415" s="1155"/>
      <c r="E415" s="1155"/>
      <c r="F415" s="1180">
        <v>15442.74</v>
      </c>
      <c r="G415" s="1149">
        <v>15</v>
      </c>
      <c r="H415" s="1149" t="s">
        <v>2953</v>
      </c>
    </row>
    <row r="416" spans="2:10">
      <c r="B416" s="1167" t="s">
        <v>2021</v>
      </c>
      <c r="C416" s="1180">
        <v>746352</v>
      </c>
      <c r="D416" s="1155"/>
      <c r="E416" s="1160">
        <v>746352</v>
      </c>
      <c r="F416" s="1158"/>
      <c r="G416" s="1149">
        <v>15</v>
      </c>
      <c r="H416" s="1149" t="s">
        <v>2953</v>
      </c>
    </row>
    <row r="417" spans="2:8">
      <c r="B417" s="1167" t="s">
        <v>2022</v>
      </c>
      <c r="C417" s="1180">
        <v>90615.34</v>
      </c>
      <c r="D417" s="1155"/>
      <c r="E417" s="1155"/>
      <c r="F417" s="1180">
        <v>90615.34</v>
      </c>
      <c r="G417" s="1149">
        <v>15</v>
      </c>
      <c r="H417" s="1149" t="s">
        <v>2953</v>
      </c>
    </row>
    <row r="418" spans="2:8">
      <c r="B418" s="1172" t="s">
        <v>1335</v>
      </c>
      <c r="C418" s="1180">
        <v>1132133.6599999999</v>
      </c>
      <c r="D418" s="1155"/>
      <c r="E418" s="1155"/>
      <c r="F418" s="1180">
        <v>1132133.6599999999</v>
      </c>
      <c r="G418" s="1149">
        <v>15</v>
      </c>
      <c r="H418" s="1149" t="s">
        <v>2953</v>
      </c>
    </row>
    <row r="419" spans="2:8">
      <c r="B419" s="1172" t="s">
        <v>2342</v>
      </c>
      <c r="C419" s="1180">
        <v>52490.6</v>
      </c>
      <c r="D419" s="1155"/>
      <c r="E419" s="1160">
        <v>52490.6</v>
      </c>
      <c r="F419" s="1158"/>
      <c r="G419" s="1149">
        <v>15</v>
      </c>
      <c r="H419" s="1149" t="s">
        <v>2953</v>
      </c>
    </row>
    <row r="420" spans="2:8">
      <c r="B420" s="1167" t="s">
        <v>1064</v>
      </c>
      <c r="C420" s="1180">
        <v>219102</v>
      </c>
      <c r="D420" s="1155"/>
      <c r="E420" s="1155"/>
      <c r="F420" s="1180">
        <v>219102</v>
      </c>
      <c r="G420" s="1149">
        <v>15</v>
      </c>
      <c r="H420" s="1149" t="s">
        <v>2953</v>
      </c>
    </row>
    <row r="421" spans="2:8">
      <c r="B421" s="1167" t="s">
        <v>2343</v>
      </c>
      <c r="C421" s="1180">
        <v>2525542</v>
      </c>
      <c r="D421" s="1155"/>
      <c r="E421" s="1160">
        <v>41164</v>
      </c>
      <c r="F421" s="1180">
        <v>2484378</v>
      </c>
      <c r="G421" s="1149">
        <v>15</v>
      </c>
      <c r="H421" s="1149" t="s">
        <v>2953</v>
      </c>
    </row>
    <row r="422" spans="2:8">
      <c r="B422" s="1167" t="s">
        <v>1721</v>
      </c>
      <c r="C422" s="1164">
        <v>237.34</v>
      </c>
      <c r="D422" s="1160">
        <v>3400626.66</v>
      </c>
      <c r="E422" s="1160">
        <v>2865157</v>
      </c>
      <c r="F422" s="1180">
        <v>535232.31999999995</v>
      </c>
      <c r="G422" s="1149">
        <v>15</v>
      </c>
      <c r="H422" s="1149" t="s">
        <v>2953</v>
      </c>
    </row>
    <row r="423" spans="2:8">
      <c r="B423" s="1172" t="s">
        <v>2607</v>
      </c>
      <c r="C423" s="1158"/>
      <c r="D423" s="1160">
        <v>45232883.359999999</v>
      </c>
      <c r="E423" s="1160">
        <v>45232883.359999999</v>
      </c>
      <c r="F423" s="1158"/>
      <c r="G423" s="1149">
        <v>15</v>
      </c>
      <c r="H423" s="1149" t="s">
        <v>2953</v>
      </c>
    </row>
    <row r="424" spans="2:8">
      <c r="B424" s="1167" t="s">
        <v>2608</v>
      </c>
      <c r="C424" s="1158"/>
      <c r="D424" s="1160">
        <v>5048276</v>
      </c>
      <c r="E424" s="1160">
        <v>1906206</v>
      </c>
      <c r="F424" s="1180">
        <v>3142070</v>
      </c>
      <c r="G424" s="1149">
        <v>15</v>
      </c>
      <c r="H424" s="1149" t="s">
        <v>2953</v>
      </c>
    </row>
    <row r="425" spans="2:8">
      <c r="B425" s="1167" t="s">
        <v>2344</v>
      </c>
      <c r="C425" s="1164">
        <v>3774</v>
      </c>
      <c r="D425" s="1160">
        <v>4017203</v>
      </c>
      <c r="E425" s="1160">
        <v>3899718</v>
      </c>
      <c r="F425" s="1180">
        <v>113711</v>
      </c>
      <c r="G425" s="1149">
        <v>15</v>
      </c>
      <c r="H425" s="1149" t="s">
        <v>2953</v>
      </c>
    </row>
    <row r="426" spans="2:8">
      <c r="B426" s="1167" t="s">
        <v>2024</v>
      </c>
      <c r="C426" s="1180">
        <v>4496413.9800000004</v>
      </c>
      <c r="D426" s="1160">
        <v>790382.88</v>
      </c>
      <c r="E426" s="1160">
        <v>55327</v>
      </c>
      <c r="F426" s="1180">
        <v>5231469.8600000003</v>
      </c>
      <c r="G426" s="1149">
        <v>15</v>
      </c>
      <c r="H426" s="1149" t="s">
        <v>2953</v>
      </c>
    </row>
    <row r="427" spans="2:8">
      <c r="B427" s="1167" t="s">
        <v>2609</v>
      </c>
      <c r="C427" s="1158"/>
      <c r="D427" s="1160">
        <v>8228077.1600000001</v>
      </c>
      <c r="E427" s="1160">
        <v>2028619</v>
      </c>
      <c r="F427" s="1180">
        <v>6199458.1600000001</v>
      </c>
      <c r="G427" s="1149">
        <v>15</v>
      </c>
      <c r="H427" s="1149" t="s">
        <v>2953</v>
      </c>
    </row>
    <row r="428" spans="2:8">
      <c r="B428" s="1167" t="s">
        <v>2345</v>
      </c>
      <c r="C428" s="1180">
        <v>110255.6</v>
      </c>
      <c r="D428" s="1155"/>
      <c r="E428" s="1160">
        <v>110255.6</v>
      </c>
      <c r="F428" s="1158"/>
      <c r="G428" s="1149">
        <v>15</v>
      </c>
      <c r="H428" s="1149" t="s">
        <v>2953</v>
      </c>
    </row>
    <row r="429" spans="2:8">
      <c r="B429" s="1167" t="s">
        <v>750</v>
      </c>
      <c r="C429" s="1180">
        <v>1262140</v>
      </c>
      <c r="D429" s="1155"/>
      <c r="E429" s="1155"/>
      <c r="F429" s="1180">
        <v>1262140</v>
      </c>
      <c r="G429" s="1149">
        <v>15</v>
      </c>
      <c r="H429" s="1149" t="s">
        <v>2953</v>
      </c>
    </row>
    <row r="430" spans="2:8">
      <c r="B430" s="1167" t="s">
        <v>2610</v>
      </c>
      <c r="C430" s="1158"/>
      <c r="D430" s="1160">
        <v>10819779.48</v>
      </c>
      <c r="E430" s="1160">
        <v>6382233.3399999999</v>
      </c>
      <c r="F430" s="1180">
        <v>4437546.1399999997</v>
      </c>
      <c r="G430" s="1149">
        <v>15</v>
      </c>
      <c r="H430" s="1149" t="s">
        <v>2953</v>
      </c>
    </row>
    <row r="431" spans="2:8">
      <c r="B431" s="1167" t="s">
        <v>752</v>
      </c>
      <c r="C431" s="1180">
        <v>200133</v>
      </c>
      <c r="D431" s="1155"/>
      <c r="E431" s="1160">
        <v>200133</v>
      </c>
      <c r="F431" s="1158"/>
      <c r="G431" s="1149">
        <v>15</v>
      </c>
      <c r="H431" s="1149" t="s">
        <v>2953</v>
      </c>
    </row>
    <row r="432" spans="2:8">
      <c r="B432" s="1172" t="s">
        <v>753</v>
      </c>
      <c r="C432" s="1180">
        <v>607145.86</v>
      </c>
      <c r="D432" s="1155"/>
      <c r="E432" s="1155"/>
      <c r="F432" s="1180">
        <v>607145.86</v>
      </c>
      <c r="G432" s="1149">
        <v>15</v>
      </c>
      <c r="H432" s="1149" t="s">
        <v>2953</v>
      </c>
    </row>
    <row r="433" spans="2:14">
      <c r="B433" s="1167" t="s">
        <v>1723</v>
      </c>
      <c r="C433" s="1180">
        <v>169068</v>
      </c>
      <c r="D433" s="1155"/>
      <c r="E433" s="1160">
        <v>169068</v>
      </c>
      <c r="F433" s="1158"/>
      <c r="G433" s="1149">
        <v>15</v>
      </c>
      <c r="H433" s="1149" t="s">
        <v>2953</v>
      </c>
    </row>
    <row r="434" spans="2:14">
      <c r="B434" s="1167" t="s">
        <v>2611</v>
      </c>
      <c r="C434" s="1158"/>
      <c r="D434" s="1160">
        <v>2478000</v>
      </c>
      <c r="E434" s="1160">
        <v>2478000</v>
      </c>
      <c r="F434" s="1158"/>
      <c r="G434" s="1149">
        <v>15</v>
      </c>
      <c r="H434" s="1149" t="s">
        <v>2953</v>
      </c>
    </row>
    <row r="435" spans="2:14">
      <c r="B435" s="1167" t="s">
        <v>2612</v>
      </c>
      <c r="C435" s="1158"/>
      <c r="D435" s="1155"/>
      <c r="E435" s="1160">
        <v>360000</v>
      </c>
      <c r="F435" s="1448">
        <v>360000</v>
      </c>
      <c r="G435" s="1149">
        <v>8</v>
      </c>
      <c r="H435" s="1149" t="s">
        <v>2433</v>
      </c>
      <c r="J435" s="1149" t="s">
        <v>2963</v>
      </c>
      <c r="L435" s="1509"/>
      <c r="M435" s="1171"/>
      <c r="N435" s="1149" t="s">
        <v>2966</v>
      </c>
    </row>
    <row r="436" spans="2:14">
      <c r="B436" s="1167" t="s">
        <v>2613</v>
      </c>
      <c r="C436" s="1158"/>
      <c r="D436" s="1160">
        <v>149999.24</v>
      </c>
      <c r="E436" s="1160">
        <v>147750</v>
      </c>
      <c r="F436" s="1180">
        <v>2249.2399999999998</v>
      </c>
      <c r="G436" s="1149">
        <v>15</v>
      </c>
      <c r="H436" s="1149" t="s">
        <v>2953</v>
      </c>
    </row>
    <row r="437" spans="2:14">
      <c r="B437" s="1167" t="s">
        <v>2026</v>
      </c>
      <c r="C437" s="1180">
        <v>7749735.5</v>
      </c>
      <c r="D437" s="1155"/>
      <c r="E437" s="1160">
        <v>7700120.8399999999</v>
      </c>
      <c r="F437" s="1180">
        <v>49614.66</v>
      </c>
      <c r="G437" s="1149">
        <v>15</v>
      </c>
      <c r="H437" s="1149" t="s">
        <v>2953</v>
      </c>
    </row>
    <row r="438" spans="2:14">
      <c r="B438" s="1172" t="s">
        <v>757</v>
      </c>
      <c r="C438" s="1164">
        <v>376638</v>
      </c>
      <c r="D438" s="1155"/>
      <c r="E438" s="1155"/>
      <c r="F438" s="1448">
        <v>376638</v>
      </c>
      <c r="G438" s="1149">
        <v>8</v>
      </c>
      <c r="H438" s="1149" t="s">
        <v>2433</v>
      </c>
      <c r="J438" s="1149" t="s">
        <v>2963</v>
      </c>
      <c r="L438" s="1509">
        <f>F438/118*100</f>
        <v>319184.74576271186</v>
      </c>
      <c r="M438" s="1171">
        <f>F438-L438</f>
        <v>57453.254237288143</v>
      </c>
      <c r="N438" s="1149" t="s">
        <v>2966</v>
      </c>
    </row>
    <row r="439" spans="2:14" s="1464" customFormat="1">
      <c r="B439" s="1460" t="s">
        <v>2347</v>
      </c>
      <c r="C439" s="1461"/>
      <c r="D439" s="1462">
        <v>35756582.549999997</v>
      </c>
      <c r="E439" s="1462">
        <v>35798024.380000003</v>
      </c>
      <c r="F439" s="1463">
        <v>41441.83</v>
      </c>
      <c r="G439" s="1464">
        <v>8</v>
      </c>
      <c r="H439" s="1464" t="s">
        <v>2433</v>
      </c>
      <c r="J439" s="1465">
        <f>-F439+J2</f>
        <v>197169.16999999998</v>
      </c>
    </row>
    <row r="440" spans="2:14">
      <c r="B440" s="1172" t="s">
        <v>2027</v>
      </c>
      <c r="C440" s="1180">
        <v>192591.64</v>
      </c>
      <c r="D440" s="1155"/>
      <c r="E440" s="1155"/>
      <c r="F440" s="1180">
        <v>192591.64</v>
      </c>
      <c r="G440" s="1149">
        <v>15</v>
      </c>
      <c r="H440" s="1149" t="s">
        <v>2953</v>
      </c>
    </row>
    <row r="441" spans="2:14">
      <c r="B441" s="1167" t="s">
        <v>2614</v>
      </c>
      <c r="C441" s="1158"/>
      <c r="D441" s="1160">
        <v>12160964.359999999</v>
      </c>
      <c r="E441" s="1160">
        <v>6481152.3399999999</v>
      </c>
      <c r="F441" s="1180">
        <v>5679812.0199999996</v>
      </c>
      <c r="G441" s="1149">
        <v>15</v>
      </c>
      <c r="H441" s="1149" t="s">
        <v>2953</v>
      </c>
    </row>
    <row r="442" spans="2:14">
      <c r="B442" s="1167" t="s">
        <v>1256</v>
      </c>
      <c r="C442" s="1180">
        <v>328423.65999999997</v>
      </c>
      <c r="D442" s="1155"/>
      <c r="E442" s="1155"/>
      <c r="F442" s="1180">
        <v>328423.65999999997</v>
      </c>
      <c r="G442" s="1149">
        <v>15</v>
      </c>
      <c r="H442" s="1149" t="s">
        <v>2953</v>
      </c>
    </row>
    <row r="443" spans="2:14">
      <c r="B443" s="1167" t="s">
        <v>2348</v>
      </c>
      <c r="C443" s="1180">
        <v>233641</v>
      </c>
      <c r="D443" s="1155"/>
      <c r="E443" s="1160">
        <v>233641</v>
      </c>
      <c r="F443" s="1158"/>
      <c r="G443" s="1149">
        <v>15</v>
      </c>
      <c r="H443" s="1149" t="s">
        <v>2953</v>
      </c>
    </row>
    <row r="444" spans="2:14">
      <c r="B444" s="1172" t="s">
        <v>1490</v>
      </c>
      <c r="C444" s="1164">
        <v>55773</v>
      </c>
      <c r="D444" s="1155"/>
      <c r="E444" s="1155"/>
      <c r="F444" s="1448">
        <v>55773</v>
      </c>
      <c r="G444" s="1149">
        <v>8</v>
      </c>
      <c r="H444" s="1149" t="s">
        <v>2433</v>
      </c>
      <c r="J444" s="1149" t="s">
        <v>2963</v>
      </c>
      <c r="L444" s="1509">
        <f>F444/118*100</f>
        <v>47265.254237288136</v>
      </c>
      <c r="M444" s="1171">
        <f>F444-L444</f>
        <v>8507.7457627118638</v>
      </c>
      <c r="N444" s="1149" t="s">
        <v>2966</v>
      </c>
    </row>
    <row r="445" spans="2:14">
      <c r="B445" s="1167" t="s">
        <v>2349</v>
      </c>
      <c r="C445" s="1164">
        <v>1500000</v>
      </c>
      <c r="D445" s="1160">
        <v>7080000</v>
      </c>
      <c r="E445" s="1160">
        <v>6994800</v>
      </c>
      <c r="F445" s="1448">
        <v>1414800</v>
      </c>
      <c r="G445" s="1149">
        <v>8</v>
      </c>
      <c r="H445" s="1149" t="s">
        <v>2433</v>
      </c>
      <c r="J445" s="1149" t="s">
        <v>2963</v>
      </c>
      <c r="L445" s="1509">
        <f>F445/118*100</f>
        <v>1198983.0508474577</v>
      </c>
      <c r="M445" s="1171">
        <f>F445-L445</f>
        <v>215816.94915254228</v>
      </c>
      <c r="N445" s="1149" t="s">
        <v>2966</v>
      </c>
    </row>
    <row r="446" spans="2:14">
      <c r="B446" s="1167" t="s">
        <v>2350</v>
      </c>
      <c r="C446" s="1180">
        <v>176400</v>
      </c>
      <c r="D446" s="1160">
        <v>1652000</v>
      </c>
      <c r="E446" s="1160">
        <v>1828400</v>
      </c>
      <c r="F446" s="1158"/>
      <c r="G446" s="1149">
        <v>15</v>
      </c>
      <c r="H446" s="1149" t="s">
        <v>2953</v>
      </c>
    </row>
    <row r="447" spans="2:14">
      <c r="B447" s="1167" t="s">
        <v>1492</v>
      </c>
      <c r="C447" s="1180">
        <v>865531</v>
      </c>
      <c r="D447" s="1155"/>
      <c r="E447" s="1160">
        <v>865531</v>
      </c>
      <c r="F447" s="1158"/>
      <c r="G447" s="1149">
        <v>15</v>
      </c>
      <c r="H447" s="1149" t="s">
        <v>2953</v>
      </c>
    </row>
    <row r="448" spans="2:14">
      <c r="B448" s="1172" t="s">
        <v>2351</v>
      </c>
      <c r="C448" s="1180">
        <v>10101</v>
      </c>
      <c r="D448" s="1160">
        <v>9189840</v>
      </c>
      <c r="E448" s="1160">
        <v>8544643.4299999997</v>
      </c>
      <c r="F448" s="1180">
        <v>655297.56999999995</v>
      </c>
      <c r="G448" s="1149">
        <v>15</v>
      </c>
      <c r="H448" s="1149" t="s">
        <v>2953</v>
      </c>
    </row>
    <row r="449" spans="2:16">
      <c r="B449" s="1167" t="s">
        <v>2615</v>
      </c>
      <c r="C449" s="1158"/>
      <c r="D449" s="1160">
        <v>13018371.24</v>
      </c>
      <c r="E449" s="1160">
        <v>10460496</v>
      </c>
      <c r="F449" s="1180">
        <v>2557875.2400000002</v>
      </c>
      <c r="G449" s="1149">
        <v>15</v>
      </c>
      <c r="H449" s="1149" t="s">
        <v>2953</v>
      </c>
    </row>
    <row r="450" spans="2:16">
      <c r="B450" s="1167" t="s">
        <v>2352</v>
      </c>
      <c r="C450" s="1180">
        <v>1890540.36</v>
      </c>
      <c r="D450" s="1160">
        <v>3129429.62</v>
      </c>
      <c r="E450" s="1160">
        <v>4760787</v>
      </c>
      <c r="F450" s="1180">
        <v>259182.98</v>
      </c>
      <c r="G450" s="1149">
        <v>15</v>
      </c>
      <c r="H450" s="1149" t="s">
        <v>2953</v>
      </c>
    </row>
    <row r="451" spans="2:16">
      <c r="B451" s="1172" t="s">
        <v>2616</v>
      </c>
      <c r="C451" s="1158"/>
      <c r="D451" s="1160">
        <v>14348800</v>
      </c>
      <c r="E451" s="1160">
        <v>12578000</v>
      </c>
      <c r="F451" s="1180">
        <v>1770800</v>
      </c>
      <c r="G451" s="1149">
        <v>15</v>
      </c>
      <c r="H451" s="1149" t="s">
        <v>2953</v>
      </c>
    </row>
    <row r="452" spans="2:16">
      <c r="B452" s="1167" t="s">
        <v>1728</v>
      </c>
      <c r="C452" s="1180">
        <v>924102.08</v>
      </c>
      <c r="D452" s="1155"/>
      <c r="E452" s="1155"/>
      <c r="F452" s="1180">
        <v>924102.08</v>
      </c>
      <c r="G452" s="1149">
        <v>15</v>
      </c>
      <c r="H452" s="1149" t="s">
        <v>2953</v>
      </c>
    </row>
    <row r="453" spans="2:16">
      <c r="B453" s="1167" t="s">
        <v>2353</v>
      </c>
      <c r="C453" s="1180">
        <v>1408.83</v>
      </c>
      <c r="D453" s="1160">
        <v>35949440.969999999</v>
      </c>
      <c r="E453" s="1160">
        <v>34089196</v>
      </c>
      <c r="F453" s="1180">
        <v>1861653.8</v>
      </c>
      <c r="G453" s="1149">
        <v>15</v>
      </c>
      <c r="H453" s="1149" t="s">
        <v>2953</v>
      </c>
    </row>
    <row r="454" spans="2:16">
      <c r="B454" s="1167" t="s">
        <v>2617</v>
      </c>
      <c r="C454" s="1158"/>
      <c r="D454" s="1160">
        <v>1855040</v>
      </c>
      <c r="E454" s="1160">
        <v>350000</v>
      </c>
      <c r="F454" s="1180">
        <v>1505040</v>
      </c>
      <c r="G454" s="1149">
        <v>15</v>
      </c>
      <c r="H454" s="1149" t="s">
        <v>2953</v>
      </c>
    </row>
    <row r="455" spans="2:16">
      <c r="B455" s="1167" t="s">
        <v>2354</v>
      </c>
      <c r="C455" s="1158"/>
      <c r="D455" s="1160">
        <v>3500000.36</v>
      </c>
      <c r="E455" s="1160">
        <v>3500000.36</v>
      </c>
      <c r="F455" s="1158"/>
      <c r="G455" s="1149">
        <v>15</v>
      </c>
      <c r="H455" s="1149" t="s">
        <v>2953</v>
      </c>
    </row>
    <row r="456" spans="2:16" s="366" customFormat="1">
      <c r="B456" s="1452" t="s">
        <v>2618</v>
      </c>
      <c r="C456" s="1453"/>
      <c r="D456" s="1454">
        <v>7721301.8200000003</v>
      </c>
      <c r="E456" s="1454">
        <v>7066952</v>
      </c>
      <c r="F456" s="1455">
        <v>654349.81999999995</v>
      </c>
      <c r="G456" s="366">
        <v>15</v>
      </c>
      <c r="H456" s="366" t="s">
        <v>2953</v>
      </c>
      <c r="J456" s="100"/>
      <c r="K456" s="100">
        <v>327175.82</v>
      </c>
      <c r="L456" s="366" t="s">
        <v>2967</v>
      </c>
      <c r="N456" s="100">
        <v>327175.82</v>
      </c>
      <c r="O456" s="366" t="s">
        <v>2968</v>
      </c>
      <c r="P456" s="366" t="s">
        <v>2969</v>
      </c>
    </row>
    <row r="457" spans="2:16">
      <c r="B457" s="1167" t="s">
        <v>2619</v>
      </c>
      <c r="C457" s="1158"/>
      <c r="D457" s="1160">
        <v>7801968.8399999999</v>
      </c>
      <c r="E457" s="1160">
        <v>3410275</v>
      </c>
      <c r="F457" s="1180">
        <v>4391693.84</v>
      </c>
      <c r="G457" s="1149">
        <v>15</v>
      </c>
      <c r="H457" s="1149" t="s">
        <v>2953</v>
      </c>
    </row>
    <row r="458" spans="2:16">
      <c r="B458" s="1167" t="s">
        <v>2030</v>
      </c>
      <c r="C458" s="1180">
        <v>217158.19</v>
      </c>
      <c r="D458" s="1160">
        <v>2527810.2799999998</v>
      </c>
      <c r="E458" s="1160">
        <v>2558029.0699999998</v>
      </c>
      <c r="F458" s="1180">
        <v>186939.4</v>
      </c>
      <c r="G458" s="1149">
        <v>15</v>
      </c>
      <c r="H458" s="1149" t="s">
        <v>2953</v>
      </c>
    </row>
    <row r="459" spans="2:16">
      <c r="B459" s="1167" t="s">
        <v>2031</v>
      </c>
      <c r="C459" s="1180">
        <v>3152137.75</v>
      </c>
      <c r="D459" s="1160">
        <v>1227383.9099999999</v>
      </c>
      <c r="E459" s="1160">
        <v>1619275.15</v>
      </c>
      <c r="F459" s="1180">
        <v>2760246.51</v>
      </c>
      <c r="G459" s="1149">
        <v>15</v>
      </c>
      <c r="H459" s="1149" t="s">
        <v>2953</v>
      </c>
    </row>
    <row r="460" spans="2:16">
      <c r="B460" s="1167" t="s">
        <v>1730</v>
      </c>
      <c r="C460" s="1164">
        <v>755991.43</v>
      </c>
      <c r="D460" s="1155"/>
      <c r="E460" s="1155"/>
      <c r="F460" s="1164">
        <v>755991.43</v>
      </c>
      <c r="G460" s="1149">
        <v>8</v>
      </c>
      <c r="H460" s="1149" t="s">
        <v>2433</v>
      </c>
    </row>
    <row r="461" spans="2:16">
      <c r="B461" s="1167" t="s">
        <v>2355</v>
      </c>
      <c r="C461" s="1164">
        <v>110800.85</v>
      </c>
      <c r="D461" s="1155"/>
      <c r="E461" s="1160">
        <v>21465</v>
      </c>
      <c r="F461" s="1164">
        <v>132265.85</v>
      </c>
      <c r="G461" s="1149">
        <v>8</v>
      </c>
      <c r="H461" s="1149" t="s">
        <v>2433</v>
      </c>
    </row>
    <row r="462" spans="2:16">
      <c r="B462" s="1167" t="s">
        <v>2356</v>
      </c>
      <c r="C462" s="1164">
        <v>294438.48</v>
      </c>
      <c r="D462" s="1160">
        <v>33640958.659999996</v>
      </c>
      <c r="E462" s="1160">
        <v>33346520.18</v>
      </c>
      <c r="F462" s="1158"/>
      <c r="G462" s="1149">
        <v>15</v>
      </c>
      <c r="H462" s="1149" t="s">
        <v>2953</v>
      </c>
    </row>
    <row r="463" spans="2:16">
      <c r="B463" s="1167" t="s">
        <v>2357</v>
      </c>
      <c r="C463" s="1180">
        <v>3383693</v>
      </c>
      <c r="D463" s="1160">
        <v>3942380</v>
      </c>
      <c r="E463" s="1160">
        <v>6491150</v>
      </c>
      <c r="F463" s="1180">
        <v>834923</v>
      </c>
      <c r="G463" s="1149">
        <v>15</v>
      </c>
      <c r="H463" s="1149" t="s">
        <v>2953</v>
      </c>
    </row>
    <row r="464" spans="2:16">
      <c r="B464" s="1172" t="s">
        <v>778</v>
      </c>
      <c r="C464" s="1180">
        <v>718081</v>
      </c>
      <c r="D464" s="1155"/>
      <c r="E464" s="1155"/>
      <c r="F464" s="1180">
        <v>718081</v>
      </c>
      <c r="G464" s="1149">
        <v>15</v>
      </c>
      <c r="H464" s="1149" t="s">
        <v>2953</v>
      </c>
    </row>
    <row r="465" spans="2:14">
      <c r="B465" s="1172" t="s">
        <v>1255</v>
      </c>
      <c r="C465" s="1180">
        <v>127610</v>
      </c>
      <c r="D465" s="1155"/>
      <c r="E465" s="1155"/>
      <c r="F465" s="1180">
        <v>127610</v>
      </c>
      <c r="G465" s="1149">
        <v>15</v>
      </c>
      <c r="H465" s="1149" t="s">
        <v>2953</v>
      </c>
    </row>
    <row r="466" spans="2:14">
      <c r="B466" s="1167" t="s">
        <v>1497</v>
      </c>
      <c r="C466" s="1158"/>
      <c r="D466" s="1155"/>
      <c r="E466" s="1160">
        <v>485000</v>
      </c>
      <c r="F466" s="1448">
        <v>485000</v>
      </c>
      <c r="G466" s="1149">
        <v>8</v>
      </c>
      <c r="H466" s="1149" t="s">
        <v>2433</v>
      </c>
      <c r="J466" s="1149" t="s">
        <v>2963</v>
      </c>
      <c r="L466" s="1449">
        <f>F466/118*100</f>
        <v>411016.94915254239</v>
      </c>
      <c r="M466" s="1509">
        <f>F466-L466</f>
        <v>73983.050847457605</v>
      </c>
      <c r="N466" s="1149" t="s">
        <v>2966</v>
      </c>
    </row>
    <row r="467" spans="2:14">
      <c r="B467" s="1167" t="s">
        <v>782</v>
      </c>
      <c r="C467" s="1180">
        <v>836602</v>
      </c>
      <c r="D467" s="1155"/>
      <c r="E467" s="1160">
        <v>836602</v>
      </c>
      <c r="F467" s="1158"/>
      <c r="G467" s="1149">
        <v>15</v>
      </c>
      <c r="H467" s="1149" t="s">
        <v>2953</v>
      </c>
    </row>
    <row r="468" spans="2:14">
      <c r="B468" s="1167" t="s">
        <v>1254</v>
      </c>
      <c r="C468" s="1180">
        <v>1183593</v>
      </c>
      <c r="D468" s="1155"/>
      <c r="E468" s="1155"/>
      <c r="F468" s="1180">
        <v>1183593</v>
      </c>
      <c r="G468" s="1149">
        <v>15</v>
      </c>
      <c r="H468" s="1149" t="s">
        <v>2953</v>
      </c>
    </row>
    <row r="469" spans="2:14">
      <c r="B469" s="1167" t="s">
        <v>2032</v>
      </c>
      <c r="C469" s="1180">
        <v>965.5</v>
      </c>
      <c r="D469" s="1160">
        <v>62345.5</v>
      </c>
      <c r="E469" s="1160">
        <v>63311</v>
      </c>
      <c r="F469" s="1158"/>
      <c r="G469" s="1149">
        <v>15</v>
      </c>
      <c r="H469" s="1149" t="s">
        <v>2953</v>
      </c>
    </row>
    <row r="470" spans="2:14">
      <c r="B470" s="1167" t="s">
        <v>1499</v>
      </c>
      <c r="C470" s="1164">
        <v>400000</v>
      </c>
      <c r="D470" s="1155"/>
      <c r="E470" s="1155"/>
      <c r="F470" s="1448">
        <v>400000</v>
      </c>
      <c r="G470" s="1149">
        <v>8</v>
      </c>
      <c r="H470" s="1149" t="s">
        <v>2433</v>
      </c>
      <c r="J470" s="1149" t="s">
        <v>2963</v>
      </c>
      <c r="L470" s="1510">
        <f>F470/118*100</f>
        <v>338983.05084745761</v>
      </c>
      <c r="M470" s="1509">
        <f>F470-L470</f>
        <v>61016.949152542395</v>
      </c>
      <c r="N470" s="1149" t="s">
        <v>2966</v>
      </c>
    </row>
    <row r="471" spans="2:14">
      <c r="B471" s="1167" t="s">
        <v>2358</v>
      </c>
      <c r="C471" s="1180">
        <v>195946.86</v>
      </c>
      <c r="D471" s="1160">
        <v>1217801.3</v>
      </c>
      <c r="E471" s="1160">
        <v>669121</v>
      </c>
      <c r="F471" s="1180">
        <v>744627.16</v>
      </c>
      <c r="G471" s="1149">
        <v>15</v>
      </c>
      <c r="H471" s="1149" t="s">
        <v>2953</v>
      </c>
    </row>
    <row r="472" spans="2:14">
      <c r="B472" s="1172" t="s">
        <v>2359</v>
      </c>
      <c r="C472" s="1180">
        <v>4487374.62</v>
      </c>
      <c r="D472" s="1160">
        <v>16830986.280000001</v>
      </c>
      <c r="E472" s="1160">
        <v>20027634.109999999</v>
      </c>
      <c r="F472" s="1180">
        <v>1290726.79</v>
      </c>
      <c r="G472" s="1149">
        <v>15</v>
      </c>
      <c r="H472" s="1149" t="s">
        <v>2953</v>
      </c>
    </row>
    <row r="473" spans="2:14">
      <c r="B473" s="1167" t="s">
        <v>2360</v>
      </c>
      <c r="C473" s="1158"/>
      <c r="D473" s="1160">
        <v>7260000</v>
      </c>
      <c r="E473" s="1160">
        <v>6435000</v>
      </c>
      <c r="F473" s="1180">
        <v>825000</v>
      </c>
      <c r="G473" s="1149">
        <v>15</v>
      </c>
      <c r="H473" s="1149" t="s">
        <v>2953</v>
      </c>
    </row>
    <row r="474" spans="2:14">
      <c r="B474" s="1172" t="s">
        <v>2620</v>
      </c>
      <c r="C474" s="1158"/>
      <c r="D474" s="1160">
        <v>900000</v>
      </c>
      <c r="E474" s="1160">
        <v>900000</v>
      </c>
      <c r="F474" s="1158"/>
      <c r="G474" s="1149">
        <v>15</v>
      </c>
      <c r="H474" s="1149" t="s">
        <v>2953</v>
      </c>
    </row>
    <row r="475" spans="2:14">
      <c r="B475" s="1167" t="s">
        <v>1248</v>
      </c>
      <c r="C475" s="1180">
        <v>517480</v>
      </c>
      <c r="D475" s="1155"/>
      <c r="E475" s="1155"/>
      <c r="F475" s="1180">
        <v>517480</v>
      </c>
      <c r="G475" s="1149">
        <v>15</v>
      </c>
      <c r="H475" s="1149" t="s">
        <v>2953</v>
      </c>
      <c r="J475" s="1181">
        <f>F477</f>
        <v>0</v>
      </c>
    </row>
    <row r="476" spans="2:14">
      <c r="B476" s="1172" t="s">
        <v>1501</v>
      </c>
      <c r="C476" s="1180">
        <v>494165.96</v>
      </c>
      <c r="D476" s="1155"/>
      <c r="E476" s="1155"/>
      <c r="F476" s="1180">
        <v>494165.96</v>
      </c>
      <c r="G476" s="1149">
        <v>15</v>
      </c>
      <c r="H476" s="1149" t="s">
        <v>2953</v>
      </c>
      <c r="I476" s="1149" t="s">
        <v>2952</v>
      </c>
      <c r="J476" s="1149">
        <v>62902371</v>
      </c>
    </row>
    <row r="477" spans="2:14">
      <c r="B477" s="1167" t="s">
        <v>2361</v>
      </c>
      <c r="C477" s="1164">
        <v>0.46</v>
      </c>
      <c r="D477" s="1160">
        <v>1478184.82</v>
      </c>
      <c r="E477" s="1160">
        <v>1478184.36</v>
      </c>
      <c r="F477" s="1182"/>
      <c r="G477" s="1149">
        <v>15</v>
      </c>
      <c r="H477" s="1149" t="s">
        <v>2953</v>
      </c>
    </row>
    <row r="478" spans="2:14">
      <c r="B478" s="1163" t="s">
        <v>69</v>
      </c>
      <c r="C478" s="1180">
        <v>9921</v>
      </c>
      <c r="D478" s="1162">
        <v>54951112.07</v>
      </c>
      <c r="E478" s="1162">
        <v>54757847.32</v>
      </c>
      <c r="F478" s="1180">
        <v>203185.75</v>
      </c>
      <c r="G478" s="1149" t="s">
        <v>2698</v>
      </c>
    </row>
    <row r="479" spans="2:14">
      <c r="B479" s="1163" t="s">
        <v>70</v>
      </c>
      <c r="C479" s="1180">
        <v>13466985.83</v>
      </c>
      <c r="D479" s="1162">
        <v>497552202.06999999</v>
      </c>
      <c r="E479" s="1162">
        <v>504163446.05000001</v>
      </c>
      <c r="F479" s="1180">
        <v>6855741.8499999996</v>
      </c>
      <c r="G479" s="1149" t="s">
        <v>2700</v>
      </c>
    </row>
    <row r="480" spans="2:14">
      <c r="B480" s="1183" t="s">
        <v>804</v>
      </c>
      <c r="C480" s="1169">
        <v>11420557.57</v>
      </c>
      <c r="D480" s="1160">
        <v>478270469.06999999</v>
      </c>
      <c r="E480" s="1160">
        <v>483341631.88999999</v>
      </c>
      <c r="F480" s="1169">
        <v>6349394.75</v>
      </c>
    </row>
    <row r="481" spans="2:9">
      <c r="B481" s="1183" t="s">
        <v>815</v>
      </c>
      <c r="C481" s="1169">
        <v>2046428.26</v>
      </c>
      <c r="D481" s="1160">
        <v>19281733</v>
      </c>
      <c r="E481" s="1160">
        <v>20821814.16</v>
      </c>
      <c r="F481" s="1169">
        <v>506347.1</v>
      </c>
      <c r="I481" s="1149" t="s">
        <v>1158</v>
      </c>
    </row>
    <row r="482" spans="2:9">
      <c r="B482" s="1170" t="s">
        <v>2687</v>
      </c>
      <c r="C482" s="1169">
        <v>5610702</v>
      </c>
      <c r="D482" s="1162">
        <v>5656621</v>
      </c>
      <c r="E482" s="1162">
        <v>3993847</v>
      </c>
      <c r="F482" s="1169">
        <v>7273476</v>
      </c>
    </row>
    <row r="483" spans="2:9">
      <c r="B483" s="1153" t="s">
        <v>100</v>
      </c>
      <c r="C483" s="1179">
        <v>6179529.25</v>
      </c>
      <c r="D483" s="1160">
        <v>137753517.59</v>
      </c>
      <c r="E483" s="1160">
        <v>135949490.97999999</v>
      </c>
      <c r="F483" s="1179">
        <v>7983555.8600000003</v>
      </c>
      <c r="G483" s="1149" t="s">
        <v>2699</v>
      </c>
    </row>
    <row r="484" spans="2:9">
      <c r="B484" s="1156" t="s">
        <v>822</v>
      </c>
      <c r="C484" s="1157">
        <v>201</v>
      </c>
      <c r="D484" s="1158"/>
      <c r="E484" s="1158"/>
      <c r="F484" s="1157">
        <v>201</v>
      </c>
    </row>
    <row r="485" spans="2:9">
      <c r="B485" s="1170" t="s">
        <v>1246</v>
      </c>
      <c r="C485" s="1157">
        <v>34050</v>
      </c>
      <c r="D485" s="1158"/>
      <c r="E485" s="1158"/>
      <c r="F485" s="1157">
        <v>34050</v>
      </c>
    </row>
    <row r="486" spans="2:9">
      <c r="B486" s="1170" t="s">
        <v>1245</v>
      </c>
      <c r="C486" s="1157">
        <v>1544</v>
      </c>
      <c r="D486" s="1158"/>
      <c r="E486" s="1158"/>
      <c r="F486" s="1157">
        <v>1544</v>
      </c>
    </row>
    <row r="487" spans="2:9">
      <c r="B487" s="1170" t="s">
        <v>823</v>
      </c>
      <c r="C487" s="1157">
        <v>2</v>
      </c>
      <c r="D487" s="1158"/>
      <c r="E487" s="1158"/>
      <c r="F487" s="1157">
        <v>2</v>
      </c>
    </row>
    <row r="488" spans="2:9">
      <c r="B488" s="1156" t="s">
        <v>2038</v>
      </c>
      <c r="C488" s="1169">
        <v>2500</v>
      </c>
      <c r="D488" s="1158"/>
      <c r="E488" s="1158"/>
      <c r="F488" s="1169">
        <v>2500</v>
      </c>
    </row>
    <row r="489" spans="2:9">
      <c r="B489" s="1170" t="s">
        <v>2040</v>
      </c>
      <c r="C489" s="1169">
        <v>1300</v>
      </c>
      <c r="D489" s="1158"/>
      <c r="E489" s="1158"/>
      <c r="F489" s="1169">
        <v>1300</v>
      </c>
    </row>
    <row r="490" spans="2:9">
      <c r="B490" s="1170" t="s">
        <v>824</v>
      </c>
      <c r="C490" s="1157">
        <v>800</v>
      </c>
      <c r="D490" s="1158"/>
      <c r="E490" s="1158"/>
      <c r="F490" s="1157">
        <v>800</v>
      </c>
    </row>
    <row r="491" spans="2:9">
      <c r="B491" s="1170" t="s">
        <v>1839</v>
      </c>
      <c r="C491" s="1169">
        <v>23043</v>
      </c>
      <c r="D491" s="1162">
        <v>34151</v>
      </c>
      <c r="E491" s="1162">
        <v>34151</v>
      </c>
      <c r="F491" s="1169">
        <v>23043</v>
      </c>
    </row>
    <row r="492" spans="2:9">
      <c r="B492" s="1170" t="s">
        <v>825</v>
      </c>
      <c r="C492" s="1169">
        <v>2727</v>
      </c>
      <c r="D492" s="1158"/>
      <c r="E492" s="1158"/>
      <c r="F492" s="1169">
        <v>2727</v>
      </c>
    </row>
    <row r="493" spans="2:9">
      <c r="B493" s="1170" t="s">
        <v>1078</v>
      </c>
      <c r="C493" s="1169">
        <v>45000</v>
      </c>
      <c r="D493" s="1158"/>
      <c r="E493" s="1158"/>
      <c r="F493" s="1169">
        <v>45000</v>
      </c>
    </row>
    <row r="494" spans="2:9">
      <c r="B494" s="1170" t="s">
        <v>1733</v>
      </c>
      <c r="C494" s="1169">
        <v>78066</v>
      </c>
      <c r="D494" s="1162">
        <v>984129</v>
      </c>
      <c r="E494" s="1162">
        <v>1062195</v>
      </c>
      <c r="F494" s="1155"/>
    </row>
    <row r="495" spans="2:9">
      <c r="B495" s="1156" t="s">
        <v>2178</v>
      </c>
      <c r="C495" s="1169">
        <v>215152</v>
      </c>
      <c r="D495" s="1162">
        <v>12526529.5</v>
      </c>
      <c r="E495" s="1162">
        <v>12162677</v>
      </c>
      <c r="F495" s="1169">
        <v>579004.5</v>
      </c>
    </row>
    <row r="496" spans="2:9">
      <c r="B496" s="1156" t="s">
        <v>830</v>
      </c>
      <c r="C496" s="1169">
        <v>11460</v>
      </c>
      <c r="D496" s="1162">
        <v>4021287.36</v>
      </c>
      <c r="E496" s="1162">
        <v>4023337.11</v>
      </c>
      <c r="F496" s="1169">
        <v>9410.25</v>
      </c>
    </row>
    <row r="497" spans="2:6">
      <c r="B497" s="1170" t="s">
        <v>2179</v>
      </c>
      <c r="C497" s="1169">
        <v>146476</v>
      </c>
      <c r="D497" s="1162">
        <v>996355</v>
      </c>
      <c r="E497" s="1162">
        <v>1142831</v>
      </c>
      <c r="F497" s="1155"/>
    </row>
    <row r="498" spans="2:6">
      <c r="B498" s="1170" t="s">
        <v>2043</v>
      </c>
      <c r="C498" s="1169">
        <v>63946</v>
      </c>
      <c r="D498" s="1158"/>
      <c r="E498" s="1162">
        <v>63946</v>
      </c>
      <c r="F498" s="1155"/>
    </row>
    <row r="499" spans="2:6">
      <c r="B499" s="1170" t="s">
        <v>1505</v>
      </c>
      <c r="C499" s="1169">
        <v>5875</v>
      </c>
      <c r="D499" s="1158"/>
      <c r="E499" s="1158"/>
      <c r="F499" s="1169">
        <v>5875</v>
      </c>
    </row>
    <row r="500" spans="2:6">
      <c r="B500" s="1170" t="s">
        <v>833</v>
      </c>
      <c r="C500" s="1169">
        <v>6924</v>
      </c>
      <c r="D500" s="1158"/>
      <c r="E500" s="1158"/>
      <c r="F500" s="1169">
        <v>6924</v>
      </c>
    </row>
    <row r="501" spans="2:6">
      <c r="B501" s="1170" t="s">
        <v>1506</v>
      </c>
      <c r="C501" s="1157">
        <v>41010</v>
      </c>
      <c r="D501" s="1158"/>
      <c r="E501" s="1158"/>
      <c r="F501" s="1157">
        <v>41010</v>
      </c>
    </row>
    <row r="502" spans="2:6">
      <c r="B502" s="1170" t="s">
        <v>2180</v>
      </c>
      <c r="C502" s="1169">
        <v>134338</v>
      </c>
      <c r="D502" s="1162">
        <v>2753459</v>
      </c>
      <c r="E502" s="1162">
        <v>2575479</v>
      </c>
      <c r="F502" s="1169">
        <v>312318</v>
      </c>
    </row>
    <row r="503" spans="2:6">
      <c r="B503" s="1170" t="s">
        <v>2623</v>
      </c>
      <c r="C503" s="1155"/>
      <c r="D503" s="1162">
        <v>2667522</v>
      </c>
      <c r="E503" s="1162">
        <v>2389158</v>
      </c>
      <c r="F503" s="1169">
        <v>278364</v>
      </c>
    </row>
    <row r="504" spans="2:6">
      <c r="B504" s="1156" t="s">
        <v>835</v>
      </c>
      <c r="C504" s="1157">
        <v>2000</v>
      </c>
      <c r="D504" s="1158"/>
      <c r="E504" s="1158"/>
      <c r="F504" s="1157">
        <v>2000</v>
      </c>
    </row>
    <row r="505" spans="2:6">
      <c r="B505" s="1170" t="s">
        <v>2045</v>
      </c>
      <c r="C505" s="1169">
        <v>46026</v>
      </c>
      <c r="D505" s="1162">
        <v>48440</v>
      </c>
      <c r="E505" s="1162">
        <v>94466</v>
      </c>
      <c r="F505" s="1155"/>
    </row>
    <row r="506" spans="2:6">
      <c r="B506" s="1170" t="s">
        <v>1737</v>
      </c>
      <c r="C506" s="1157">
        <v>65855</v>
      </c>
      <c r="D506" s="1158"/>
      <c r="E506" s="1158"/>
      <c r="F506" s="1157">
        <v>65855</v>
      </c>
    </row>
    <row r="507" spans="2:6">
      <c r="B507" s="1170" t="s">
        <v>2624</v>
      </c>
      <c r="C507" s="1155"/>
      <c r="D507" s="1162">
        <v>303000</v>
      </c>
      <c r="E507" s="1162">
        <v>153886</v>
      </c>
      <c r="F507" s="1169">
        <v>149114</v>
      </c>
    </row>
    <row r="508" spans="2:6">
      <c r="B508" s="1170" t="s">
        <v>2625</v>
      </c>
      <c r="C508" s="1155"/>
      <c r="D508" s="1162">
        <v>1654539</v>
      </c>
      <c r="E508" s="1162">
        <v>1558135</v>
      </c>
      <c r="F508" s="1169">
        <v>96404</v>
      </c>
    </row>
    <row r="509" spans="2:6">
      <c r="B509" s="1170" t="s">
        <v>2626</v>
      </c>
      <c r="C509" s="1155"/>
      <c r="D509" s="1162">
        <v>360696</v>
      </c>
      <c r="E509" s="1162">
        <v>279267</v>
      </c>
      <c r="F509" s="1169">
        <v>81429</v>
      </c>
    </row>
    <row r="510" spans="2:6">
      <c r="B510" s="1170" t="s">
        <v>2627</v>
      </c>
      <c r="C510" s="1155"/>
      <c r="D510" s="1162">
        <v>110000</v>
      </c>
      <c r="E510" s="1162">
        <v>24987</v>
      </c>
      <c r="F510" s="1169">
        <v>85013</v>
      </c>
    </row>
    <row r="511" spans="2:6">
      <c r="B511" s="1170" t="s">
        <v>2046</v>
      </c>
      <c r="C511" s="1155"/>
      <c r="D511" s="1162">
        <v>498939</v>
      </c>
      <c r="E511" s="1162">
        <v>498639</v>
      </c>
      <c r="F511" s="1169">
        <v>300</v>
      </c>
    </row>
    <row r="512" spans="2:6">
      <c r="B512" s="1170" t="s">
        <v>2047</v>
      </c>
      <c r="C512" s="1169">
        <v>20545</v>
      </c>
      <c r="D512" s="1162">
        <v>214573.69</v>
      </c>
      <c r="E512" s="1162">
        <v>56444</v>
      </c>
      <c r="F512" s="1169">
        <v>178674.69</v>
      </c>
    </row>
    <row r="513" spans="2:6">
      <c r="B513" s="1170" t="s">
        <v>2628</v>
      </c>
      <c r="C513" s="1155"/>
      <c r="D513" s="1162">
        <v>197448</v>
      </c>
      <c r="E513" s="1162">
        <v>170448</v>
      </c>
      <c r="F513" s="1169">
        <v>27000</v>
      </c>
    </row>
    <row r="514" spans="2:6">
      <c r="B514" s="1170" t="s">
        <v>2181</v>
      </c>
      <c r="C514" s="1169">
        <v>343687</v>
      </c>
      <c r="D514" s="1162">
        <v>8471408.6099999994</v>
      </c>
      <c r="E514" s="1162">
        <v>8605732</v>
      </c>
      <c r="F514" s="1169">
        <v>209363.61</v>
      </c>
    </row>
    <row r="515" spans="2:6">
      <c r="B515" s="1156" t="s">
        <v>836</v>
      </c>
      <c r="C515" s="1169">
        <v>88647</v>
      </c>
      <c r="D515" s="1158"/>
      <c r="E515" s="1158"/>
      <c r="F515" s="1169">
        <v>88647</v>
      </c>
    </row>
    <row r="516" spans="2:6">
      <c r="B516" s="1170" t="s">
        <v>1243</v>
      </c>
      <c r="C516" s="1169">
        <v>32269</v>
      </c>
      <c r="D516" s="1158"/>
      <c r="E516" s="1158"/>
      <c r="F516" s="1169">
        <v>32269</v>
      </c>
    </row>
    <row r="517" spans="2:6">
      <c r="B517" s="1156" t="s">
        <v>2048</v>
      </c>
      <c r="C517" s="1157">
        <v>3000</v>
      </c>
      <c r="D517" s="1158"/>
      <c r="E517" s="1158"/>
      <c r="F517" s="1157">
        <v>3000</v>
      </c>
    </row>
    <row r="518" spans="2:6">
      <c r="B518" s="1170" t="s">
        <v>837</v>
      </c>
      <c r="C518" s="1169">
        <v>75</v>
      </c>
      <c r="D518" s="1158"/>
      <c r="E518" s="1158"/>
      <c r="F518" s="1169">
        <v>75</v>
      </c>
    </row>
    <row r="519" spans="2:6">
      <c r="B519" s="1170" t="s">
        <v>838</v>
      </c>
      <c r="C519" s="1169">
        <v>5578</v>
      </c>
      <c r="D519" s="1158"/>
      <c r="E519" s="1158"/>
      <c r="F519" s="1169">
        <v>5578</v>
      </c>
    </row>
    <row r="520" spans="2:6">
      <c r="B520" s="1170" t="s">
        <v>839</v>
      </c>
      <c r="C520" s="1169">
        <v>22244</v>
      </c>
      <c r="D520" s="1158"/>
      <c r="E520" s="1158"/>
      <c r="F520" s="1169">
        <v>22244</v>
      </c>
    </row>
    <row r="521" spans="2:6">
      <c r="B521" s="1170" t="s">
        <v>840</v>
      </c>
      <c r="C521" s="1169">
        <v>18095</v>
      </c>
      <c r="D521" s="1158"/>
      <c r="E521" s="1158"/>
      <c r="F521" s="1169">
        <v>18095</v>
      </c>
    </row>
    <row r="522" spans="2:6">
      <c r="B522" s="1170" t="s">
        <v>841</v>
      </c>
      <c r="C522" s="1169">
        <v>31056</v>
      </c>
      <c r="D522" s="1158"/>
      <c r="E522" s="1158"/>
      <c r="F522" s="1169">
        <v>31056</v>
      </c>
    </row>
    <row r="523" spans="2:6">
      <c r="B523" s="1170" t="s">
        <v>842</v>
      </c>
      <c r="C523" s="1169">
        <v>27512</v>
      </c>
      <c r="D523" s="1158"/>
      <c r="E523" s="1158"/>
      <c r="F523" s="1169">
        <v>27512</v>
      </c>
    </row>
    <row r="524" spans="2:6">
      <c r="B524" s="1156" t="s">
        <v>843</v>
      </c>
      <c r="C524" s="1157">
        <v>2000</v>
      </c>
      <c r="D524" s="1158"/>
      <c r="E524" s="1158"/>
      <c r="F524" s="1157">
        <v>2000</v>
      </c>
    </row>
    <row r="525" spans="2:6">
      <c r="B525" s="1170" t="s">
        <v>2629</v>
      </c>
      <c r="C525" s="1155"/>
      <c r="D525" s="1162">
        <v>6748414</v>
      </c>
      <c r="E525" s="1162">
        <v>5694062</v>
      </c>
      <c r="F525" s="1169">
        <v>1054352</v>
      </c>
    </row>
    <row r="526" spans="2:6">
      <c r="B526" s="1170" t="s">
        <v>2630</v>
      </c>
      <c r="C526" s="1155"/>
      <c r="D526" s="1162">
        <v>647500</v>
      </c>
      <c r="E526" s="1162">
        <v>279573</v>
      </c>
      <c r="F526" s="1169">
        <v>367927</v>
      </c>
    </row>
    <row r="527" spans="2:6">
      <c r="B527" s="1170" t="s">
        <v>844</v>
      </c>
      <c r="C527" s="1157">
        <v>2100</v>
      </c>
      <c r="D527" s="1158"/>
      <c r="E527" s="1158"/>
      <c r="F527" s="1157">
        <v>2100</v>
      </c>
    </row>
    <row r="528" spans="2:6">
      <c r="B528" s="1170" t="s">
        <v>1841</v>
      </c>
      <c r="C528" s="1169">
        <v>23239</v>
      </c>
      <c r="D528" s="1158"/>
      <c r="E528" s="1158"/>
      <c r="F528" s="1169">
        <v>23239</v>
      </c>
    </row>
    <row r="529" spans="2:6">
      <c r="B529" s="1170" t="s">
        <v>845</v>
      </c>
      <c r="C529" s="1157">
        <v>5745</v>
      </c>
      <c r="D529" s="1158"/>
      <c r="E529" s="1158"/>
      <c r="F529" s="1157">
        <v>5745</v>
      </c>
    </row>
    <row r="530" spans="2:6">
      <c r="B530" s="1170" t="s">
        <v>846</v>
      </c>
      <c r="C530" s="1169">
        <v>3188</v>
      </c>
      <c r="D530" s="1158"/>
      <c r="E530" s="1158"/>
      <c r="F530" s="1169">
        <v>3188</v>
      </c>
    </row>
    <row r="531" spans="2:6">
      <c r="B531" s="1156" t="s">
        <v>1516</v>
      </c>
      <c r="C531" s="1157">
        <v>60</v>
      </c>
      <c r="D531" s="1158"/>
      <c r="E531" s="1158"/>
      <c r="F531" s="1157">
        <v>60</v>
      </c>
    </row>
    <row r="532" spans="2:6">
      <c r="B532" s="1156" t="s">
        <v>941</v>
      </c>
      <c r="C532" s="1169">
        <v>3752</v>
      </c>
      <c r="D532" s="1158"/>
      <c r="E532" s="1158"/>
      <c r="F532" s="1169">
        <v>3752</v>
      </c>
    </row>
    <row r="533" spans="2:6">
      <c r="B533" s="1170" t="s">
        <v>2050</v>
      </c>
      <c r="C533" s="1155"/>
      <c r="D533" s="1162">
        <v>985902.8</v>
      </c>
      <c r="E533" s="1162">
        <v>985902.8</v>
      </c>
      <c r="F533" s="1155"/>
    </row>
    <row r="534" spans="2:6">
      <c r="B534" s="1170" t="s">
        <v>2182</v>
      </c>
      <c r="C534" s="1169">
        <v>236233.55</v>
      </c>
      <c r="D534" s="1162">
        <v>1516772</v>
      </c>
      <c r="E534" s="1162">
        <v>1699280</v>
      </c>
      <c r="F534" s="1169">
        <v>53725.55</v>
      </c>
    </row>
    <row r="535" spans="2:6">
      <c r="B535" s="1170" t="s">
        <v>2631</v>
      </c>
      <c r="C535" s="1155"/>
      <c r="D535" s="1162">
        <v>924500</v>
      </c>
      <c r="E535" s="1162">
        <v>614507</v>
      </c>
      <c r="F535" s="1169">
        <v>309993</v>
      </c>
    </row>
    <row r="536" spans="2:6">
      <c r="B536" s="1170" t="s">
        <v>2202</v>
      </c>
      <c r="C536" s="1155"/>
      <c r="D536" s="1162">
        <v>7342478.2999999998</v>
      </c>
      <c r="E536" s="1162">
        <v>7342491.2999999998</v>
      </c>
      <c r="F536" s="1157">
        <v>13</v>
      </c>
    </row>
    <row r="537" spans="2:6">
      <c r="B537" s="1156" t="s">
        <v>1517</v>
      </c>
      <c r="C537" s="1169">
        <v>29772</v>
      </c>
      <c r="D537" s="1158"/>
      <c r="E537" s="1158"/>
      <c r="F537" s="1169">
        <v>29772</v>
      </c>
    </row>
    <row r="538" spans="2:6">
      <c r="B538" s="1170" t="s">
        <v>849</v>
      </c>
      <c r="C538" s="1157">
        <v>1000</v>
      </c>
      <c r="D538" s="1158"/>
      <c r="E538" s="1158"/>
      <c r="F538" s="1157">
        <v>1000</v>
      </c>
    </row>
    <row r="539" spans="2:6">
      <c r="B539" s="1170" t="s">
        <v>850</v>
      </c>
      <c r="C539" s="1169">
        <v>2950</v>
      </c>
      <c r="D539" s="1158"/>
      <c r="E539" s="1158"/>
      <c r="F539" s="1169">
        <v>2950</v>
      </c>
    </row>
    <row r="540" spans="2:6">
      <c r="B540" s="1170" t="s">
        <v>2183</v>
      </c>
      <c r="C540" s="1169">
        <v>138071</v>
      </c>
      <c r="D540" s="1162">
        <v>2621972.25</v>
      </c>
      <c r="E540" s="1162">
        <v>2712564.25</v>
      </c>
      <c r="F540" s="1169">
        <v>47479</v>
      </c>
    </row>
    <row r="541" spans="2:6">
      <c r="B541" s="1170" t="s">
        <v>1739</v>
      </c>
      <c r="C541" s="1169">
        <v>5501</v>
      </c>
      <c r="D541" s="1158"/>
      <c r="E541" s="1158"/>
      <c r="F541" s="1169">
        <v>5501</v>
      </c>
    </row>
    <row r="542" spans="2:6">
      <c r="B542" s="1170" t="s">
        <v>1240</v>
      </c>
      <c r="C542" s="1169">
        <v>15054</v>
      </c>
      <c r="D542" s="1158"/>
      <c r="E542" s="1158"/>
      <c r="F542" s="1169">
        <v>15054</v>
      </c>
    </row>
    <row r="543" spans="2:6">
      <c r="B543" s="1156" t="s">
        <v>2184</v>
      </c>
      <c r="C543" s="1169">
        <v>163549</v>
      </c>
      <c r="D543" s="1162">
        <v>4958594</v>
      </c>
      <c r="E543" s="1162">
        <v>4798607</v>
      </c>
      <c r="F543" s="1169">
        <v>323536</v>
      </c>
    </row>
    <row r="544" spans="2:6">
      <c r="B544" s="1156" t="s">
        <v>2185</v>
      </c>
      <c r="C544" s="1169">
        <v>286775</v>
      </c>
      <c r="D544" s="1162">
        <v>1421085</v>
      </c>
      <c r="E544" s="1162">
        <v>1393885.7</v>
      </c>
      <c r="F544" s="1169">
        <v>313974.3</v>
      </c>
    </row>
    <row r="545" spans="2:6">
      <c r="B545" s="1170" t="s">
        <v>2186</v>
      </c>
      <c r="C545" s="1169">
        <v>268050</v>
      </c>
      <c r="D545" s="1162">
        <v>7561281</v>
      </c>
      <c r="E545" s="1162">
        <v>7425096</v>
      </c>
      <c r="F545" s="1169">
        <v>404235</v>
      </c>
    </row>
    <row r="546" spans="2:6">
      <c r="B546" s="1170" t="s">
        <v>854</v>
      </c>
      <c r="C546" s="1157">
        <v>2494</v>
      </c>
      <c r="D546" s="1158"/>
      <c r="E546" s="1158"/>
      <c r="F546" s="1157">
        <v>2494</v>
      </c>
    </row>
    <row r="547" spans="2:6">
      <c r="B547" s="1170" t="s">
        <v>2187</v>
      </c>
      <c r="C547" s="1169">
        <v>42452</v>
      </c>
      <c r="D547" s="1162">
        <v>67422</v>
      </c>
      <c r="E547" s="1162">
        <v>95757</v>
      </c>
      <c r="F547" s="1169">
        <v>14117</v>
      </c>
    </row>
    <row r="548" spans="2:6">
      <c r="B548" s="1170" t="s">
        <v>1521</v>
      </c>
      <c r="C548" s="1157">
        <v>1577</v>
      </c>
      <c r="D548" s="1158"/>
      <c r="E548" s="1158"/>
      <c r="F548" s="1157">
        <v>1577</v>
      </c>
    </row>
    <row r="549" spans="2:6">
      <c r="B549" s="1156" t="s">
        <v>2188</v>
      </c>
      <c r="C549" s="1169">
        <v>316481.8</v>
      </c>
      <c r="D549" s="1162">
        <v>4111406.5</v>
      </c>
      <c r="E549" s="1162">
        <v>4039273</v>
      </c>
      <c r="F549" s="1169">
        <v>388615.3</v>
      </c>
    </row>
    <row r="550" spans="2:6">
      <c r="B550" s="1170" t="s">
        <v>2189</v>
      </c>
      <c r="C550" s="1169">
        <v>625721</v>
      </c>
      <c r="D550" s="1162">
        <v>7343175.25</v>
      </c>
      <c r="E550" s="1162">
        <v>7779139</v>
      </c>
      <c r="F550" s="1169">
        <v>189757.25</v>
      </c>
    </row>
    <row r="551" spans="2:6">
      <c r="B551" s="1170" t="s">
        <v>2203</v>
      </c>
      <c r="C551" s="1169">
        <v>55674</v>
      </c>
      <c r="D551" s="1162">
        <v>2212641.2000000002</v>
      </c>
      <c r="E551" s="1162">
        <v>2268330.31</v>
      </c>
      <c r="F551" s="1157">
        <v>15.11</v>
      </c>
    </row>
    <row r="552" spans="2:6">
      <c r="B552" s="1170" t="s">
        <v>2190</v>
      </c>
      <c r="C552" s="1169">
        <v>5000</v>
      </c>
      <c r="D552" s="1162">
        <v>4988235</v>
      </c>
      <c r="E552" s="1162">
        <v>4953490</v>
      </c>
      <c r="F552" s="1169">
        <v>39745</v>
      </c>
    </row>
    <row r="553" spans="2:6">
      <c r="B553" s="1170" t="s">
        <v>2632</v>
      </c>
      <c r="C553" s="1155"/>
      <c r="D553" s="1162">
        <v>4449889</v>
      </c>
      <c r="E553" s="1162">
        <v>4288852</v>
      </c>
      <c r="F553" s="1169">
        <v>161037</v>
      </c>
    </row>
    <row r="554" spans="2:6">
      <c r="B554" s="1156" t="s">
        <v>1743</v>
      </c>
      <c r="C554" s="1169">
        <v>3530</v>
      </c>
      <c r="D554" s="1158"/>
      <c r="E554" s="1158"/>
      <c r="F554" s="1169">
        <v>3530</v>
      </c>
    </row>
    <row r="555" spans="2:6">
      <c r="B555" s="1170" t="s">
        <v>2053</v>
      </c>
      <c r="C555" s="1169">
        <v>334884</v>
      </c>
      <c r="D555" s="1162">
        <v>4468032.75</v>
      </c>
      <c r="E555" s="1162">
        <v>4742319</v>
      </c>
      <c r="F555" s="1169">
        <v>60597.75</v>
      </c>
    </row>
    <row r="556" spans="2:6">
      <c r="B556" s="1170" t="s">
        <v>2191</v>
      </c>
      <c r="C556" s="1169">
        <v>437197</v>
      </c>
      <c r="D556" s="1162">
        <v>9034348.5</v>
      </c>
      <c r="E556" s="1162">
        <v>9400629.75</v>
      </c>
      <c r="F556" s="1169">
        <v>70915.75</v>
      </c>
    </row>
    <row r="557" spans="2:6">
      <c r="B557" s="1170" t="s">
        <v>855</v>
      </c>
      <c r="C557" s="1169">
        <v>1314066.7</v>
      </c>
      <c r="D557" s="1162">
        <v>459937</v>
      </c>
      <c r="E557" s="1162">
        <v>401950</v>
      </c>
      <c r="F557" s="1169">
        <v>1372053.7</v>
      </c>
    </row>
    <row r="558" spans="2:6">
      <c r="B558" s="1170" t="s">
        <v>2192</v>
      </c>
      <c r="C558" s="1157">
        <v>160461</v>
      </c>
      <c r="D558" s="1162">
        <v>1207298</v>
      </c>
      <c r="E558" s="1162">
        <v>1046837</v>
      </c>
      <c r="F558" s="1155"/>
    </row>
    <row r="559" spans="2:6">
      <c r="B559" s="1170" t="s">
        <v>1239</v>
      </c>
      <c r="C559" s="1169">
        <v>1500</v>
      </c>
      <c r="D559" s="1158"/>
      <c r="E559" s="1158"/>
      <c r="F559" s="1169">
        <v>1500</v>
      </c>
    </row>
    <row r="560" spans="2:6">
      <c r="B560" s="1170" t="s">
        <v>256</v>
      </c>
      <c r="C560" s="1169">
        <v>250414068.30000001</v>
      </c>
      <c r="D560" s="1162">
        <v>16522661.6</v>
      </c>
      <c r="E560" s="1162">
        <v>19671</v>
      </c>
      <c r="F560" s="1169">
        <v>266917058.90000001</v>
      </c>
    </row>
    <row r="561" spans="2:6">
      <c r="B561" s="1170" t="s">
        <v>856</v>
      </c>
      <c r="C561" s="1157">
        <v>4625707</v>
      </c>
      <c r="D561" s="1158"/>
      <c r="E561" s="1162">
        <v>985902.8</v>
      </c>
      <c r="F561" s="1157">
        <v>5611609.7999999998</v>
      </c>
    </row>
    <row r="562" spans="2:6">
      <c r="B562" s="1170" t="s">
        <v>857</v>
      </c>
      <c r="C562" s="1157">
        <v>167339051</v>
      </c>
      <c r="D562" s="1158"/>
      <c r="E562" s="1162">
        <v>9765298.3000000007</v>
      </c>
      <c r="F562" s="1157">
        <v>177104349.30000001</v>
      </c>
    </row>
    <row r="563" spans="2:6">
      <c r="B563" s="1170" t="s">
        <v>858</v>
      </c>
      <c r="C563" s="1157">
        <v>78449310.299999997</v>
      </c>
      <c r="D563" s="1162">
        <v>19671</v>
      </c>
      <c r="E563" s="1162">
        <v>5771460.5</v>
      </c>
      <c r="F563" s="1157">
        <v>84201099.799999997</v>
      </c>
    </row>
    <row r="564" spans="2:6">
      <c r="B564" s="1156" t="s">
        <v>859</v>
      </c>
      <c r="C564" s="1169">
        <v>10812</v>
      </c>
      <c r="D564" s="1158"/>
      <c r="E564" s="1158"/>
      <c r="F564" s="1169">
        <v>10812</v>
      </c>
    </row>
    <row r="565" spans="2:6">
      <c r="B565" s="1170" t="s">
        <v>860</v>
      </c>
      <c r="C565" s="1169">
        <v>6042</v>
      </c>
      <c r="D565" s="1158"/>
      <c r="E565" s="1158"/>
      <c r="F565" s="1169">
        <v>6042</v>
      </c>
    </row>
    <row r="566" spans="2:6">
      <c r="B566" s="1170" t="s">
        <v>861</v>
      </c>
      <c r="C566" s="1157">
        <v>6589</v>
      </c>
      <c r="D566" s="1158"/>
      <c r="E566" s="1158"/>
      <c r="F566" s="1157">
        <v>6589</v>
      </c>
    </row>
    <row r="567" spans="2:6">
      <c r="B567" s="1170" t="s">
        <v>2193</v>
      </c>
      <c r="C567" s="1169">
        <v>15189</v>
      </c>
      <c r="D567" s="1162">
        <v>606202.5</v>
      </c>
      <c r="E567" s="1162">
        <v>622691.5</v>
      </c>
      <c r="F567" s="1157">
        <v>1300</v>
      </c>
    </row>
    <row r="568" spans="2:6">
      <c r="B568" s="1170" t="s">
        <v>1237</v>
      </c>
      <c r="C568" s="1169">
        <v>69540</v>
      </c>
      <c r="D568" s="1158"/>
      <c r="E568" s="1158"/>
      <c r="F568" s="1169">
        <v>69540</v>
      </c>
    </row>
    <row r="569" spans="2:6">
      <c r="B569" s="1170" t="s">
        <v>863</v>
      </c>
      <c r="C569" s="1169">
        <v>6023</v>
      </c>
      <c r="D569" s="1162">
        <v>100000</v>
      </c>
      <c r="E569" s="1162">
        <v>100000</v>
      </c>
      <c r="F569" s="1169">
        <v>6023</v>
      </c>
    </row>
    <row r="570" spans="2:6">
      <c r="B570" s="1170" t="s">
        <v>1089</v>
      </c>
      <c r="C570" s="1169">
        <v>40029.199999999997</v>
      </c>
      <c r="D570" s="1158"/>
      <c r="E570" s="1158"/>
      <c r="F570" s="1169">
        <v>40029.199999999997</v>
      </c>
    </row>
    <row r="571" spans="2:6">
      <c r="B571" s="1170" t="s">
        <v>1236</v>
      </c>
      <c r="C571" s="1169">
        <v>38444</v>
      </c>
      <c r="D571" s="1158"/>
      <c r="E571" s="1158"/>
      <c r="F571" s="1169">
        <v>38444</v>
      </c>
    </row>
    <row r="572" spans="2:6">
      <c r="B572" s="1170" t="s">
        <v>1235</v>
      </c>
      <c r="C572" s="1157">
        <v>2987</v>
      </c>
      <c r="D572" s="1158"/>
      <c r="E572" s="1158"/>
      <c r="F572" s="1157">
        <v>2987</v>
      </c>
    </row>
    <row r="573" spans="2:6">
      <c r="B573" s="1156" t="s">
        <v>864</v>
      </c>
      <c r="C573" s="1169">
        <v>19090</v>
      </c>
      <c r="D573" s="1158"/>
      <c r="E573" s="1158"/>
      <c r="F573" s="1169">
        <v>19090</v>
      </c>
    </row>
    <row r="574" spans="2:6">
      <c r="B574" s="1156" t="s">
        <v>2194</v>
      </c>
      <c r="C574" s="1169">
        <v>582048</v>
      </c>
      <c r="D574" s="1162">
        <v>6243071.4800000004</v>
      </c>
      <c r="E574" s="1162">
        <v>6514943.3600000003</v>
      </c>
      <c r="F574" s="1169">
        <v>310176.12</v>
      </c>
    </row>
    <row r="575" spans="2:6">
      <c r="B575" s="1156" t="s">
        <v>2204</v>
      </c>
      <c r="C575" s="1169">
        <v>7281</v>
      </c>
      <c r="D575" s="1162">
        <v>4994655.5999999996</v>
      </c>
      <c r="E575" s="1162">
        <v>4957305.5999999996</v>
      </c>
      <c r="F575" s="1169">
        <v>44631</v>
      </c>
    </row>
    <row r="576" spans="2:6">
      <c r="B576" s="1170" t="s">
        <v>865</v>
      </c>
      <c r="C576" s="1169">
        <v>6188</v>
      </c>
      <c r="D576" s="1158"/>
      <c r="E576" s="1158"/>
      <c r="F576" s="1169">
        <v>6188</v>
      </c>
    </row>
    <row r="577" spans="2:8">
      <c r="B577" s="1170" t="s">
        <v>866</v>
      </c>
      <c r="C577" s="1169">
        <v>6576</v>
      </c>
      <c r="D577" s="1158"/>
      <c r="E577" s="1158"/>
      <c r="F577" s="1169">
        <v>6576</v>
      </c>
    </row>
    <row r="578" spans="2:8">
      <c r="B578" s="1170" t="s">
        <v>867</v>
      </c>
      <c r="C578" s="1169">
        <v>486</v>
      </c>
      <c r="D578" s="1158"/>
      <c r="E578" s="1158"/>
      <c r="F578" s="1169">
        <v>486</v>
      </c>
    </row>
    <row r="579" spans="2:8">
      <c r="B579" s="1170" t="s">
        <v>868</v>
      </c>
      <c r="C579" s="1169">
        <v>2101</v>
      </c>
      <c r="D579" s="1158"/>
      <c r="E579" s="1158"/>
      <c r="F579" s="1169">
        <v>2101</v>
      </c>
    </row>
    <row r="580" spans="2:8">
      <c r="B580" s="1170" t="s">
        <v>869</v>
      </c>
      <c r="C580" s="1157">
        <v>300</v>
      </c>
      <c r="D580" s="1158"/>
      <c r="E580" s="1158"/>
      <c r="F580" s="1157">
        <v>300</v>
      </c>
    </row>
    <row r="581" spans="2:8">
      <c r="B581" s="1156" t="s">
        <v>1530</v>
      </c>
      <c r="C581" s="1169">
        <v>18273</v>
      </c>
      <c r="D581" s="1162">
        <v>353893.7</v>
      </c>
      <c r="E581" s="1162">
        <v>353893.7</v>
      </c>
      <c r="F581" s="1169">
        <v>18273</v>
      </c>
    </row>
    <row r="582" spans="2:8">
      <c r="B582" s="1153" t="s">
        <v>101</v>
      </c>
      <c r="C582" s="1179">
        <v>1569066</v>
      </c>
      <c r="D582" s="1160">
        <v>36441164.799999997</v>
      </c>
      <c r="E582" s="1160">
        <v>36241194.799999997</v>
      </c>
      <c r="F582" s="1179">
        <v>1769036</v>
      </c>
      <c r="G582" s="1149">
        <v>13</v>
      </c>
      <c r="H582" s="1184" t="s">
        <v>2646</v>
      </c>
    </row>
    <row r="583" spans="2:8">
      <c r="B583" s="1170" t="s">
        <v>2195</v>
      </c>
      <c r="C583" s="1169">
        <v>15500</v>
      </c>
      <c r="D583" s="1158"/>
      <c r="E583" s="1162">
        <v>5500</v>
      </c>
      <c r="F583" s="1169">
        <v>10000</v>
      </c>
      <c r="G583" s="1149">
        <v>13</v>
      </c>
      <c r="H583" s="1184" t="s">
        <v>2646</v>
      </c>
    </row>
    <row r="584" spans="2:8">
      <c r="B584" s="1156" t="s">
        <v>870</v>
      </c>
      <c r="C584" s="1169">
        <v>13943.5</v>
      </c>
      <c r="D584" s="1162">
        <v>469350</v>
      </c>
      <c r="E584" s="1162">
        <v>480679</v>
      </c>
      <c r="F584" s="1169">
        <v>2614.5</v>
      </c>
      <c r="G584" s="1149">
        <v>13</v>
      </c>
      <c r="H584" s="1184" t="s">
        <v>2646</v>
      </c>
    </row>
    <row r="585" spans="2:8">
      <c r="B585" s="1156" t="s">
        <v>871</v>
      </c>
      <c r="C585" s="1157">
        <v>92.5</v>
      </c>
      <c r="D585" s="1158"/>
      <c r="E585" s="1158"/>
      <c r="F585" s="1157">
        <v>92.5</v>
      </c>
      <c r="G585" s="1149">
        <v>13</v>
      </c>
      <c r="H585" s="1184" t="s">
        <v>2646</v>
      </c>
    </row>
    <row r="586" spans="2:8">
      <c r="B586" s="1156" t="s">
        <v>872</v>
      </c>
      <c r="C586" s="1169">
        <v>5000</v>
      </c>
      <c r="D586" s="1158"/>
      <c r="E586" s="1162">
        <v>5095</v>
      </c>
      <c r="F586" s="1157">
        <v>95</v>
      </c>
      <c r="G586" s="1149">
        <v>13</v>
      </c>
      <c r="H586" s="1184" t="s">
        <v>2646</v>
      </c>
    </row>
    <row r="587" spans="2:8">
      <c r="B587" s="1156" t="s">
        <v>873</v>
      </c>
      <c r="C587" s="1169">
        <v>16084</v>
      </c>
      <c r="D587" s="1162">
        <v>5000</v>
      </c>
      <c r="E587" s="1162">
        <v>1450</v>
      </c>
      <c r="F587" s="1169">
        <v>19634</v>
      </c>
      <c r="G587" s="1149">
        <v>13</v>
      </c>
      <c r="H587" s="1184" t="s">
        <v>2646</v>
      </c>
    </row>
    <row r="588" spans="2:8">
      <c r="B588" s="1156" t="s">
        <v>2198</v>
      </c>
      <c r="C588" s="1169">
        <v>3000</v>
      </c>
      <c r="D588" s="1158"/>
      <c r="E588" s="1158"/>
      <c r="F588" s="1169">
        <v>3000</v>
      </c>
      <c r="G588" s="1149">
        <v>13</v>
      </c>
      <c r="H588" s="1184" t="s">
        <v>2646</v>
      </c>
    </row>
    <row r="589" spans="2:8">
      <c r="B589" s="1156" t="s">
        <v>874</v>
      </c>
      <c r="C589" s="1169">
        <v>27136.2</v>
      </c>
      <c r="D589" s="1162">
        <v>12000</v>
      </c>
      <c r="E589" s="1162">
        <v>25493</v>
      </c>
      <c r="F589" s="1169">
        <v>13643.2</v>
      </c>
      <c r="G589" s="1149">
        <v>13</v>
      </c>
      <c r="H589" s="1184" t="s">
        <v>2646</v>
      </c>
    </row>
    <row r="590" spans="2:8">
      <c r="B590" s="1156" t="s">
        <v>875</v>
      </c>
      <c r="C590" s="1169">
        <v>908</v>
      </c>
      <c r="D590" s="1158"/>
      <c r="E590" s="1158"/>
      <c r="F590" s="1169">
        <v>908</v>
      </c>
      <c r="G590" s="1149">
        <v>13</v>
      </c>
      <c r="H590" s="1184" t="s">
        <v>2646</v>
      </c>
    </row>
    <row r="591" spans="2:8">
      <c r="B591" s="1156" t="s">
        <v>2633</v>
      </c>
      <c r="C591" s="1155"/>
      <c r="D591" s="1162">
        <v>725</v>
      </c>
      <c r="E591" s="1158"/>
      <c r="F591" s="1169">
        <v>725</v>
      </c>
      <c r="G591" s="1149">
        <v>13</v>
      </c>
      <c r="H591" s="1184" t="s">
        <v>2646</v>
      </c>
    </row>
    <row r="592" spans="2:8">
      <c r="B592" s="1156" t="s">
        <v>1747</v>
      </c>
      <c r="C592" s="1169">
        <v>31332</v>
      </c>
      <c r="D592" s="1158"/>
      <c r="E592" s="1158"/>
      <c r="F592" s="1169">
        <v>31332</v>
      </c>
      <c r="G592" s="1149">
        <v>13</v>
      </c>
      <c r="H592" s="1184" t="s">
        <v>2646</v>
      </c>
    </row>
    <row r="593" spans="2:8">
      <c r="B593" s="1156" t="s">
        <v>876</v>
      </c>
      <c r="C593" s="1169">
        <v>7628</v>
      </c>
      <c r="D593" s="1158"/>
      <c r="E593" s="1158"/>
      <c r="F593" s="1169">
        <v>7628</v>
      </c>
      <c r="G593" s="1149">
        <v>13</v>
      </c>
      <c r="H593" s="1184" t="s">
        <v>2646</v>
      </c>
    </row>
    <row r="594" spans="2:8">
      <c r="B594" s="1156" t="s">
        <v>877</v>
      </c>
      <c r="C594" s="1169">
        <v>171993</v>
      </c>
      <c r="D594" s="1162">
        <v>12344</v>
      </c>
      <c r="E594" s="1158"/>
      <c r="F594" s="1169">
        <v>184337</v>
      </c>
      <c r="G594" s="1149">
        <v>13</v>
      </c>
      <c r="H594" s="1184" t="s">
        <v>2646</v>
      </c>
    </row>
    <row r="595" spans="2:8">
      <c r="B595" s="1170" t="s">
        <v>2062</v>
      </c>
      <c r="C595" s="1157">
        <v>3000</v>
      </c>
      <c r="D595" s="1158"/>
      <c r="E595" s="1158"/>
      <c r="F595" s="1157">
        <v>3000</v>
      </c>
      <c r="G595" s="1149">
        <v>13</v>
      </c>
      <c r="H595" s="1184" t="s">
        <v>2646</v>
      </c>
    </row>
    <row r="596" spans="2:8">
      <c r="B596" s="1156" t="s">
        <v>879</v>
      </c>
      <c r="C596" s="1169">
        <v>4603</v>
      </c>
      <c r="D596" s="1162">
        <v>74500</v>
      </c>
      <c r="E596" s="1162">
        <v>7860</v>
      </c>
      <c r="F596" s="1169">
        <v>71243</v>
      </c>
      <c r="G596" s="1149">
        <v>13</v>
      </c>
      <c r="H596" s="1184" t="s">
        <v>2646</v>
      </c>
    </row>
    <row r="597" spans="2:8">
      <c r="B597" s="1170" t="s">
        <v>2063</v>
      </c>
      <c r="C597" s="1157">
        <v>6764</v>
      </c>
      <c r="D597" s="1158"/>
      <c r="E597" s="1158"/>
      <c r="F597" s="1157">
        <v>6764</v>
      </c>
      <c r="G597" s="1149">
        <v>13</v>
      </c>
      <c r="H597" s="1184" t="s">
        <v>2646</v>
      </c>
    </row>
    <row r="598" spans="2:8">
      <c r="B598" s="1156" t="s">
        <v>1532</v>
      </c>
      <c r="C598" s="1157">
        <v>1</v>
      </c>
      <c r="D598" s="1158"/>
      <c r="E598" s="1158"/>
      <c r="F598" s="1157">
        <v>1</v>
      </c>
      <c r="G598" s="1149">
        <v>13</v>
      </c>
      <c r="H598" s="1184" t="s">
        <v>2646</v>
      </c>
    </row>
    <row r="599" spans="2:8">
      <c r="B599" s="1156" t="s">
        <v>880</v>
      </c>
      <c r="C599" s="1169">
        <v>1917.5</v>
      </c>
      <c r="D599" s="1162">
        <v>9000</v>
      </c>
      <c r="E599" s="1162">
        <v>20048</v>
      </c>
      <c r="F599" s="1157">
        <v>9130.5</v>
      </c>
      <c r="G599" s="1149">
        <v>13</v>
      </c>
      <c r="H599" s="1184" t="s">
        <v>2646</v>
      </c>
    </row>
    <row r="600" spans="2:8">
      <c r="B600" s="1156" t="s">
        <v>881</v>
      </c>
      <c r="C600" s="1169">
        <v>8000</v>
      </c>
      <c r="D600" s="1158"/>
      <c r="E600" s="1162">
        <v>15468</v>
      </c>
      <c r="F600" s="1157">
        <v>7468</v>
      </c>
      <c r="G600" s="1149">
        <v>13</v>
      </c>
      <c r="H600" s="1184" t="s">
        <v>2646</v>
      </c>
    </row>
    <row r="601" spans="2:8">
      <c r="B601" s="1156" t="s">
        <v>1533</v>
      </c>
      <c r="C601" s="1169">
        <v>55137</v>
      </c>
      <c r="D601" s="1162">
        <v>247000</v>
      </c>
      <c r="E601" s="1162">
        <v>261013</v>
      </c>
      <c r="F601" s="1169">
        <v>41124</v>
      </c>
      <c r="G601" s="1149">
        <v>13</v>
      </c>
      <c r="H601" s="1184" t="s">
        <v>2646</v>
      </c>
    </row>
    <row r="602" spans="2:8">
      <c r="B602" s="1156" t="s">
        <v>1534</v>
      </c>
      <c r="C602" s="1169">
        <v>4415</v>
      </c>
      <c r="D602" s="1158"/>
      <c r="E602" s="1158"/>
      <c r="F602" s="1169">
        <v>4415</v>
      </c>
      <c r="G602" s="1149">
        <v>13</v>
      </c>
      <c r="H602" s="1184" t="s">
        <v>2646</v>
      </c>
    </row>
    <row r="603" spans="2:8">
      <c r="B603" s="1156" t="s">
        <v>883</v>
      </c>
      <c r="C603" s="1169">
        <v>6676</v>
      </c>
      <c r="D603" s="1162">
        <v>44000</v>
      </c>
      <c r="E603" s="1162">
        <v>56620</v>
      </c>
      <c r="F603" s="1157">
        <v>5944</v>
      </c>
      <c r="G603" s="1149">
        <v>13</v>
      </c>
      <c r="H603" s="1184" t="s">
        <v>2646</v>
      </c>
    </row>
    <row r="604" spans="2:8">
      <c r="B604" s="1156" t="s">
        <v>884</v>
      </c>
      <c r="C604" s="1169">
        <v>42488.3</v>
      </c>
      <c r="D604" s="1162">
        <v>534584</v>
      </c>
      <c r="E604" s="1162">
        <v>531028</v>
      </c>
      <c r="F604" s="1169">
        <v>46044.3</v>
      </c>
      <c r="G604" s="1149">
        <v>13</v>
      </c>
      <c r="H604" s="1184" t="s">
        <v>2646</v>
      </c>
    </row>
    <row r="605" spans="2:8">
      <c r="B605" s="1156" t="s">
        <v>885</v>
      </c>
      <c r="C605" s="1169">
        <v>600</v>
      </c>
      <c r="D605" s="1158"/>
      <c r="E605" s="1158"/>
      <c r="F605" s="1169">
        <v>600</v>
      </c>
      <c r="G605" s="1149">
        <v>13</v>
      </c>
      <c r="H605" s="1184" t="s">
        <v>2646</v>
      </c>
    </row>
    <row r="606" spans="2:8">
      <c r="B606" s="1170" t="s">
        <v>2064</v>
      </c>
      <c r="C606" s="1169">
        <v>1125489</v>
      </c>
      <c r="D606" s="1162">
        <v>35032661.799999997</v>
      </c>
      <c r="E606" s="1162">
        <v>34826400.799999997</v>
      </c>
      <c r="F606" s="1169">
        <v>1331750</v>
      </c>
      <c r="G606" s="1149">
        <v>13</v>
      </c>
      <c r="H606" s="1184" t="s">
        <v>2646</v>
      </c>
    </row>
    <row r="607" spans="2:8">
      <c r="B607" s="1156" t="s">
        <v>1748</v>
      </c>
      <c r="C607" s="1169">
        <v>18383</v>
      </c>
      <c r="D607" s="1158"/>
      <c r="E607" s="1158"/>
      <c r="F607" s="1169">
        <v>18383</v>
      </c>
      <c r="G607" s="1149">
        <v>13</v>
      </c>
      <c r="H607" s="1184" t="s">
        <v>2646</v>
      </c>
    </row>
    <row r="608" spans="2:8">
      <c r="B608" s="1156" t="s">
        <v>2066</v>
      </c>
      <c r="C608" s="1169">
        <v>5495</v>
      </c>
      <c r="D608" s="1158"/>
      <c r="E608" s="1158"/>
      <c r="F608" s="1169">
        <v>5495</v>
      </c>
      <c r="G608" s="1149">
        <v>13</v>
      </c>
      <c r="H608" s="1184" t="s">
        <v>2646</v>
      </c>
    </row>
    <row r="609" spans="2:8">
      <c r="B609" s="1156" t="s">
        <v>1233</v>
      </c>
      <c r="C609" s="1169">
        <v>3000</v>
      </c>
      <c r="D609" s="1158"/>
      <c r="E609" s="1162">
        <v>3000</v>
      </c>
      <c r="F609" s="1155"/>
      <c r="G609" s="1149">
        <v>13</v>
      </c>
      <c r="H609" s="1184" t="s">
        <v>2646</v>
      </c>
    </row>
    <row r="610" spans="2:8">
      <c r="B610" s="1170" t="s">
        <v>1749</v>
      </c>
      <c r="C610" s="1169">
        <v>3000</v>
      </c>
      <c r="D610" s="1158"/>
      <c r="E610" s="1158"/>
      <c r="F610" s="1169">
        <v>3000</v>
      </c>
      <c r="G610" s="1149">
        <v>13</v>
      </c>
      <c r="H610" s="1184" t="s">
        <v>2646</v>
      </c>
    </row>
    <row r="611" spans="2:8">
      <c r="B611" s="1156" t="s">
        <v>1093</v>
      </c>
      <c r="C611" s="1169">
        <v>1000</v>
      </c>
      <c r="D611" s="1158"/>
      <c r="E611" s="1162">
        <v>1000</v>
      </c>
      <c r="F611" s="1155"/>
      <c r="G611" s="1149">
        <v>13</v>
      </c>
      <c r="H611" s="1184" t="s">
        <v>2646</v>
      </c>
    </row>
    <row r="612" spans="2:8">
      <c r="B612" s="1156" t="s">
        <v>887</v>
      </c>
      <c r="C612" s="1169">
        <v>500</v>
      </c>
      <c r="D612" s="1158"/>
      <c r="E612" s="1158"/>
      <c r="F612" s="1169">
        <v>500</v>
      </c>
      <c r="G612" s="1149">
        <v>13</v>
      </c>
      <c r="H612" s="1184" t="s">
        <v>2646</v>
      </c>
    </row>
    <row r="613" spans="2:8">
      <c r="B613" s="1170" t="s">
        <v>888</v>
      </c>
      <c r="C613" s="1169">
        <v>750</v>
      </c>
      <c r="D613" s="1158"/>
      <c r="E613" s="1158"/>
      <c r="F613" s="1169">
        <v>750</v>
      </c>
      <c r="G613" s="1149">
        <v>13</v>
      </c>
      <c r="H613" s="1184" t="s">
        <v>2646</v>
      </c>
    </row>
    <row r="614" spans="2:8">
      <c r="B614" s="1156" t="s">
        <v>1750</v>
      </c>
      <c r="C614" s="1169">
        <v>4405</v>
      </c>
      <c r="D614" s="1158"/>
      <c r="E614" s="1158"/>
      <c r="F614" s="1169">
        <v>4405</v>
      </c>
      <c r="G614" s="1149">
        <v>13</v>
      </c>
      <c r="H614" s="1184" t="s">
        <v>2646</v>
      </c>
    </row>
    <row r="615" spans="2:8" ht="14.25" customHeight="1">
      <c r="B615" s="1156" t="s">
        <v>2067</v>
      </c>
      <c r="C615" s="1169">
        <v>540</v>
      </c>
      <c r="D615" s="1158"/>
      <c r="E615" s="1162">
        <v>540</v>
      </c>
      <c r="F615" s="1155"/>
      <c r="G615" s="1149">
        <v>13</v>
      </c>
      <c r="H615" s="1184" t="s">
        <v>2646</v>
      </c>
    </row>
    <row r="616" spans="2:8">
      <c r="B616" s="1153" t="s">
        <v>102</v>
      </c>
      <c r="C616" s="1182"/>
      <c r="D616" s="1155"/>
      <c r="E616" s="1160">
        <v>256460363.21000001</v>
      </c>
      <c r="F616" s="1154">
        <v>256460363.21000001</v>
      </c>
      <c r="G616" s="1149">
        <v>18</v>
      </c>
    </row>
    <row r="617" spans="2:8">
      <c r="B617" s="1170" t="s">
        <v>103</v>
      </c>
      <c r="C617" s="1155"/>
      <c r="D617" s="1158"/>
      <c r="E617" s="1162">
        <v>256460363.21000001</v>
      </c>
      <c r="F617" s="1157">
        <v>256460363.21000001</v>
      </c>
      <c r="G617" s="1149">
        <v>18</v>
      </c>
    </row>
    <row r="618" spans="2:8">
      <c r="B618" s="1153" t="s">
        <v>104</v>
      </c>
      <c r="C618" s="1182"/>
      <c r="D618" s="1160">
        <v>98443749.180000007</v>
      </c>
      <c r="E618" s="1160">
        <v>17057328</v>
      </c>
      <c r="F618" s="1179">
        <v>81386421.180000007</v>
      </c>
      <c r="G618" s="1149">
        <v>21</v>
      </c>
      <c r="H618" s="1184" t="s">
        <v>2650</v>
      </c>
    </row>
    <row r="619" spans="2:8">
      <c r="B619" s="1156" t="s">
        <v>105</v>
      </c>
      <c r="C619" s="1155"/>
      <c r="D619" s="1162">
        <v>963570</v>
      </c>
      <c r="E619" s="1158"/>
      <c r="F619" s="1169">
        <v>963570</v>
      </c>
      <c r="G619" s="1149">
        <v>21</v>
      </c>
      <c r="H619" s="1184" t="s">
        <v>2650</v>
      </c>
    </row>
    <row r="620" spans="2:8">
      <c r="B620" s="1156" t="s">
        <v>1095</v>
      </c>
      <c r="C620" s="1155"/>
      <c r="D620" s="1162">
        <v>1850</v>
      </c>
      <c r="E620" s="1158"/>
      <c r="F620" s="1169">
        <v>1850</v>
      </c>
      <c r="G620" s="1149">
        <v>21</v>
      </c>
      <c r="H620" s="1184" t="s">
        <v>2650</v>
      </c>
    </row>
    <row r="621" spans="2:8">
      <c r="B621" s="1156" t="s">
        <v>106</v>
      </c>
      <c r="C621" s="1155"/>
      <c r="D621" s="1162">
        <v>777374</v>
      </c>
      <c r="E621" s="1158"/>
      <c r="F621" s="1169">
        <v>777374</v>
      </c>
      <c r="G621" s="1149">
        <v>21</v>
      </c>
      <c r="H621" s="1184" t="s">
        <v>2650</v>
      </c>
    </row>
    <row r="622" spans="2:8">
      <c r="B622" s="1170" t="s">
        <v>107</v>
      </c>
      <c r="C622" s="1155"/>
      <c r="D622" s="1162">
        <v>2012050</v>
      </c>
      <c r="E622" s="1158"/>
      <c r="F622" s="1169">
        <v>2012050</v>
      </c>
      <c r="G622" s="1149">
        <v>21</v>
      </c>
      <c r="H622" s="1184" t="s">
        <v>2650</v>
      </c>
    </row>
    <row r="623" spans="2:8">
      <c r="B623" s="1156" t="s">
        <v>108</v>
      </c>
      <c r="C623" s="1155"/>
      <c r="D623" s="1162">
        <v>724656</v>
      </c>
      <c r="E623" s="1158"/>
      <c r="F623" s="1169">
        <v>724656</v>
      </c>
      <c r="G623" s="1149">
        <v>21</v>
      </c>
      <c r="H623" s="1184" t="s">
        <v>2650</v>
      </c>
    </row>
    <row r="624" spans="2:8">
      <c r="B624" s="1156" t="s">
        <v>109</v>
      </c>
      <c r="C624" s="1155"/>
      <c r="D624" s="1162">
        <v>1658846</v>
      </c>
      <c r="E624" s="1158"/>
      <c r="F624" s="1169">
        <v>1658846</v>
      </c>
      <c r="G624" s="1149">
        <v>21</v>
      </c>
      <c r="H624" s="1184" t="s">
        <v>2650</v>
      </c>
    </row>
    <row r="625" spans="2:11">
      <c r="B625" s="1156" t="s">
        <v>110</v>
      </c>
      <c r="C625" s="1155"/>
      <c r="D625" s="1162">
        <v>8355016</v>
      </c>
      <c r="E625" s="1158"/>
      <c r="F625" s="1169">
        <v>8355016</v>
      </c>
      <c r="G625" s="1149">
        <v>21</v>
      </c>
      <c r="H625" s="1184" t="s">
        <v>2650</v>
      </c>
    </row>
    <row r="626" spans="2:11">
      <c r="B626" s="1156" t="s">
        <v>111</v>
      </c>
      <c r="C626" s="1155"/>
      <c r="D626" s="1162">
        <v>961150</v>
      </c>
      <c r="E626" s="1158"/>
      <c r="F626" s="1169">
        <v>961150</v>
      </c>
      <c r="G626" s="1149">
        <v>21</v>
      </c>
      <c r="H626" s="1184" t="s">
        <v>2650</v>
      </c>
    </row>
    <row r="627" spans="2:11">
      <c r="B627" s="1156" t="s">
        <v>1875</v>
      </c>
      <c r="C627" s="1155"/>
      <c r="D627" s="1158"/>
      <c r="E627" s="1162">
        <v>17000000</v>
      </c>
      <c r="F627" s="1157">
        <v>17000000</v>
      </c>
      <c r="G627" s="1149">
        <v>21</v>
      </c>
      <c r="H627" s="1184" t="s">
        <v>2650</v>
      </c>
    </row>
    <row r="628" spans="2:11">
      <c r="B628" s="1156" t="s">
        <v>113</v>
      </c>
      <c r="C628" s="1155"/>
      <c r="D628" s="1162">
        <v>1702563.1</v>
      </c>
      <c r="E628" s="1158"/>
      <c r="F628" s="1169">
        <v>1702563.1</v>
      </c>
      <c r="G628" s="1149">
        <v>21</v>
      </c>
      <c r="H628" s="1184" t="s">
        <v>2650</v>
      </c>
    </row>
    <row r="629" spans="2:11">
      <c r="B629" s="1156" t="s">
        <v>114</v>
      </c>
      <c r="C629" s="1155"/>
      <c r="D629" s="1162">
        <v>158686</v>
      </c>
      <c r="E629" s="1158"/>
      <c r="F629" s="1169">
        <v>158686</v>
      </c>
      <c r="G629" s="1149">
        <v>21</v>
      </c>
      <c r="H629" s="1184" t="s">
        <v>2650</v>
      </c>
    </row>
    <row r="630" spans="2:11">
      <c r="B630" s="1156" t="s">
        <v>115</v>
      </c>
      <c r="C630" s="1155"/>
      <c r="D630" s="1162">
        <v>1103189</v>
      </c>
      <c r="E630" s="1158"/>
      <c r="F630" s="1169">
        <v>1103189</v>
      </c>
      <c r="G630" s="1149">
        <v>21</v>
      </c>
      <c r="H630" s="1184" t="s">
        <v>2650</v>
      </c>
    </row>
    <row r="631" spans="2:11">
      <c r="B631" s="1156" t="s">
        <v>116</v>
      </c>
      <c r="C631" s="1155"/>
      <c r="D631" s="1162">
        <v>3885646</v>
      </c>
      <c r="E631" s="1158"/>
      <c r="F631" s="1169">
        <v>3885646</v>
      </c>
      <c r="G631" s="1149">
        <v>21</v>
      </c>
      <c r="H631" s="1184" t="s">
        <v>2650</v>
      </c>
    </row>
    <row r="632" spans="2:11">
      <c r="B632" s="1156" t="s">
        <v>117</v>
      </c>
      <c r="C632" s="1155"/>
      <c r="D632" s="1162">
        <v>45800</v>
      </c>
      <c r="E632" s="1158"/>
      <c r="F632" s="1169">
        <v>45800</v>
      </c>
      <c r="G632" s="1149">
        <v>21</v>
      </c>
      <c r="H632" s="1184" t="s">
        <v>2650</v>
      </c>
    </row>
    <row r="633" spans="2:11">
      <c r="B633" s="1156" t="s">
        <v>118</v>
      </c>
      <c r="C633" s="1155"/>
      <c r="D633" s="1162">
        <v>31385</v>
      </c>
      <c r="E633" s="1158"/>
      <c r="F633" s="1169">
        <v>31385</v>
      </c>
      <c r="G633" s="1149">
        <v>21</v>
      </c>
      <c r="H633" s="1184" t="s">
        <v>2650</v>
      </c>
    </row>
    <row r="634" spans="2:11">
      <c r="B634" s="1156" t="s">
        <v>940</v>
      </c>
      <c r="C634" s="1155"/>
      <c r="D634" s="1162">
        <v>831045</v>
      </c>
      <c r="E634" s="1158"/>
      <c r="F634" s="1169">
        <v>831045</v>
      </c>
      <c r="G634" s="1149">
        <v>21</v>
      </c>
      <c r="H634" s="1184" t="s">
        <v>2650</v>
      </c>
    </row>
    <row r="635" spans="2:11">
      <c r="B635" s="1156" t="s">
        <v>119</v>
      </c>
      <c r="C635" s="1155"/>
      <c r="D635" s="1162">
        <v>625168</v>
      </c>
      <c r="E635" s="1158"/>
      <c r="F635" s="1169">
        <v>625168</v>
      </c>
      <c r="G635" s="1149">
        <v>21</v>
      </c>
      <c r="H635" s="1184" t="s">
        <v>2650</v>
      </c>
    </row>
    <row r="636" spans="2:11">
      <c r="B636" s="1156" t="s">
        <v>120</v>
      </c>
      <c r="C636" s="1155"/>
      <c r="D636" s="1162">
        <v>5856138</v>
      </c>
      <c r="E636" s="1158"/>
      <c r="F636" s="1169">
        <v>5856138</v>
      </c>
      <c r="G636" s="1149">
        <v>21</v>
      </c>
      <c r="H636" s="1184" t="s">
        <v>2650</v>
      </c>
    </row>
    <row r="637" spans="2:11">
      <c r="B637" s="1156" t="s">
        <v>939</v>
      </c>
      <c r="C637" s="1155"/>
      <c r="D637" s="1162">
        <v>4499387.9400000004</v>
      </c>
      <c r="E637" s="1158"/>
      <c r="F637" s="1169">
        <v>4499387.9400000004</v>
      </c>
      <c r="G637" s="1149">
        <v>21</v>
      </c>
      <c r="H637" s="1184" t="s">
        <v>2650</v>
      </c>
    </row>
    <row r="638" spans="2:11">
      <c r="B638" s="1156" t="s">
        <v>938</v>
      </c>
      <c r="C638" s="1155"/>
      <c r="D638" s="1162">
        <v>2677466.44</v>
      </c>
      <c r="E638" s="1158"/>
      <c r="F638" s="1169">
        <v>2677466.44</v>
      </c>
      <c r="G638" s="1149">
        <v>21</v>
      </c>
      <c r="H638" s="1184" t="s">
        <v>2650</v>
      </c>
    </row>
    <row r="639" spans="2:11">
      <c r="B639" s="1156" t="s">
        <v>937</v>
      </c>
      <c r="C639" s="1155"/>
      <c r="D639" s="1162">
        <v>4390</v>
      </c>
      <c r="E639" s="1158"/>
      <c r="F639" s="1169">
        <v>4390</v>
      </c>
      <c r="G639" s="1149">
        <v>21</v>
      </c>
      <c r="H639" s="1184" t="s">
        <v>2650</v>
      </c>
      <c r="J639" s="1464">
        <v>25138</v>
      </c>
      <c r="K639" s="1171"/>
    </row>
    <row r="640" spans="2:11">
      <c r="B640" s="1156" t="s">
        <v>936</v>
      </c>
      <c r="C640" s="1155"/>
      <c r="D640" s="1162">
        <v>3790927.72</v>
      </c>
      <c r="E640" s="1162">
        <v>57328</v>
      </c>
      <c r="F640" s="1169">
        <v>3733599.72</v>
      </c>
      <c r="G640" s="1149">
        <v>21</v>
      </c>
      <c r="H640" s="1184" t="s">
        <v>2650</v>
      </c>
    </row>
    <row r="641" spans="2:10">
      <c r="B641" s="1170" t="s">
        <v>935</v>
      </c>
      <c r="C641" s="1155"/>
      <c r="D641" s="1162">
        <v>363941.3</v>
      </c>
      <c r="E641" s="1158"/>
      <c r="F641" s="1169">
        <v>363941.3</v>
      </c>
      <c r="G641" s="1149">
        <v>21</v>
      </c>
      <c r="H641" s="1184" t="s">
        <v>2650</v>
      </c>
    </row>
    <row r="642" spans="2:10">
      <c r="B642" s="1170" t="s">
        <v>121</v>
      </c>
      <c r="C642" s="1155"/>
      <c r="D642" s="1162">
        <v>3233736.12</v>
      </c>
      <c r="E642" s="1158"/>
      <c r="F642" s="1169">
        <v>3233736.12</v>
      </c>
      <c r="G642" s="1149">
        <v>21</v>
      </c>
      <c r="H642" s="1184" t="s">
        <v>2650</v>
      </c>
    </row>
    <row r="643" spans="2:10">
      <c r="B643" s="1156" t="s">
        <v>934</v>
      </c>
      <c r="C643" s="1155"/>
      <c r="D643" s="1162">
        <v>45922</v>
      </c>
      <c r="E643" s="1158"/>
      <c r="F643" s="1169">
        <v>45922</v>
      </c>
      <c r="G643" s="1149">
        <v>21</v>
      </c>
      <c r="H643" s="1184" t="s">
        <v>2650</v>
      </c>
    </row>
    <row r="644" spans="2:10">
      <c r="B644" s="1156" t="s">
        <v>112</v>
      </c>
      <c r="C644" s="1155"/>
      <c r="D644" s="1162">
        <v>23725733</v>
      </c>
      <c r="E644" s="1158"/>
      <c r="F644" s="1169">
        <v>23725733</v>
      </c>
      <c r="G644" s="1149">
        <v>21</v>
      </c>
      <c r="H644" s="1184" t="s">
        <v>2650</v>
      </c>
    </row>
    <row r="645" spans="2:10">
      <c r="B645" s="1156" t="s">
        <v>122</v>
      </c>
      <c r="C645" s="1155"/>
      <c r="D645" s="1162">
        <v>5174256</v>
      </c>
      <c r="E645" s="1158"/>
      <c r="F645" s="1169">
        <v>5174256</v>
      </c>
      <c r="G645" s="1149">
        <v>21</v>
      </c>
      <c r="H645" s="1184" t="s">
        <v>2650</v>
      </c>
    </row>
    <row r="646" spans="2:10">
      <c r="B646" s="1156" t="s">
        <v>933</v>
      </c>
      <c r="C646" s="1155"/>
      <c r="D646" s="1162">
        <v>83941</v>
      </c>
      <c r="E646" s="1158"/>
      <c r="F646" s="1169">
        <v>83941</v>
      </c>
      <c r="G646" s="1149">
        <v>21</v>
      </c>
      <c r="H646" s="1184" t="s">
        <v>2650</v>
      </c>
    </row>
    <row r="647" spans="2:10">
      <c r="B647" s="1156" t="s">
        <v>123</v>
      </c>
      <c r="C647" s="1155"/>
      <c r="D647" s="1162">
        <v>19559204.559999999</v>
      </c>
      <c r="E647" s="1158"/>
      <c r="F647" s="1169">
        <v>19559204.559999999</v>
      </c>
      <c r="G647" s="1149">
        <v>21</v>
      </c>
      <c r="H647" s="1184" t="s">
        <v>2650</v>
      </c>
    </row>
    <row r="648" spans="2:10">
      <c r="B648" s="1156" t="s">
        <v>932</v>
      </c>
      <c r="C648" s="1155"/>
      <c r="D648" s="1162">
        <v>284577</v>
      </c>
      <c r="E648" s="1158"/>
      <c r="F648" s="1169">
        <v>284577</v>
      </c>
      <c r="G648" s="1149">
        <v>21</v>
      </c>
      <c r="H648" s="1184" t="s">
        <v>2650</v>
      </c>
    </row>
    <row r="649" spans="2:10">
      <c r="B649" s="1170" t="s">
        <v>124</v>
      </c>
      <c r="C649" s="1155"/>
      <c r="D649" s="1162">
        <v>4861263</v>
      </c>
      <c r="E649" s="1158"/>
      <c r="F649" s="1169">
        <v>4861263</v>
      </c>
      <c r="G649" s="1149">
        <v>21</v>
      </c>
      <c r="H649" s="1184" t="s">
        <v>2650</v>
      </c>
    </row>
    <row r="650" spans="2:10">
      <c r="B650" s="1156" t="s">
        <v>931</v>
      </c>
      <c r="C650" s="1155"/>
      <c r="D650" s="1162">
        <v>444871</v>
      </c>
      <c r="E650" s="1158"/>
      <c r="F650" s="1169">
        <v>444871</v>
      </c>
      <c r="G650" s="1149">
        <v>21</v>
      </c>
      <c r="H650" s="1184" t="s">
        <v>2650</v>
      </c>
    </row>
    <row r="651" spans="2:10" s="366" customFormat="1">
      <c r="B651" s="1456" t="s">
        <v>125</v>
      </c>
      <c r="C651" s="1457">
        <v>9477356.6199999992</v>
      </c>
      <c r="D651" s="1454">
        <v>6967685.6600000001</v>
      </c>
      <c r="E651" s="1454">
        <v>8460000</v>
      </c>
      <c r="F651" s="1457">
        <v>10969670.960000001</v>
      </c>
      <c r="G651" s="366">
        <v>8</v>
      </c>
      <c r="H651" s="1458" t="s">
        <v>2650</v>
      </c>
      <c r="J651" s="1459">
        <f>F651-J654</f>
        <v>10642495.140000001</v>
      </c>
    </row>
    <row r="652" spans="2:10">
      <c r="B652" s="1170" t="s">
        <v>126</v>
      </c>
      <c r="C652" s="1157">
        <v>30000</v>
      </c>
      <c r="D652" s="1158"/>
      <c r="E652" s="1158"/>
      <c r="F652" s="1157">
        <v>30000</v>
      </c>
      <c r="G652" s="1149">
        <v>8</v>
      </c>
      <c r="H652" s="1184" t="s">
        <v>2650</v>
      </c>
    </row>
    <row r="653" spans="2:10">
      <c r="B653" s="1170" t="s">
        <v>127</v>
      </c>
      <c r="C653" s="1157">
        <v>230500</v>
      </c>
      <c r="D653" s="1158"/>
      <c r="E653" s="1158"/>
      <c r="F653" s="1157">
        <v>230500</v>
      </c>
      <c r="G653" s="1149">
        <v>8</v>
      </c>
      <c r="H653" s="1184" t="s">
        <v>2650</v>
      </c>
    </row>
    <row r="654" spans="2:10">
      <c r="B654" s="1156" t="s">
        <v>128</v>
      </c>
      <c r="C654" s="1157">
        <v>9096856.6199999992</v>
      </c>
      <c r="D654" s="1162">
        <v>6967685.6600000001</v>
      </c>
      <c r="E654" s="1162">
        <v>8460000</v>
      </c>
      <c r="F654" s="1157">
        <v>10589170.960000001</v>
      </c>
      <c r="G654" s="1149">
        <v>8</v>
      </c>
      <c r="H654" s="1184" t="s">
        <v>2650</v>
      </c>
      <c r="J654" s="1171">
        <f>+K456</f>
        <v>327175.82</v>
      </c>
    </row>
    <row r="655" spans="2:10">
      <c r="B655" s="1170" t="s">
        <v>129</v>
      </c>
      <c r="C655" s="1157">
        <v>120000</v>
      </c>
      <c r="D655" s="1158"/>
      <c r="E655" s="1158"/>
      <c r="F655" s="1157">
        <v>120000</v>
      </c>
      <c r="G655" s="1149">
        <v>8</v>
      </c>
      <c r="H655" s="1184" t="s">
        <v>2650</v>
      </c>
    </row>
    <row r="656" spans="2:10">
      <c r="B656" s="1153" t="s">
        <v>130</v>
      </c>
      <c r="C656" s="1154">
        <v>1517336.22</v>
      </c>
      <c r="D656" s="1155"/>
      <c r="E656" s="1155"/>
      <c r="F656" s="1154">
        <v>1517336.22</v>
      </c>
    </row>
    <row r="657" spans="2:8">
      <c r="B657" s="1170" t="s">
        <v>130</v>
      </c>
      <c r="C657" s="1157">
        <v>1517336.22</v>
      </c>
      <c r="D657" s="1158"/>
      <c r="E657" s="1158"/>
      <c r="F657" s="1157">
        <v>1517336.22</v>
      </c>
    </row>
    <row r="658" spans="2:8">
      <c r="B658" s="1153" t="s">
        <v>131</v>
      </c>
      <c r="C658" s="1154">
        <v>485936</v>
      </c>
      <c r="D658" s="1160">
        <v>15275431.02</v>
      </c>
      <c r="E658" s="1160">
        <v>19178781.02</v>
      </c>
      <c r="F658" s="1154">
        <v>4389286</v>
      </c>
    </row>
    <row r="659" spans="2:8">
      <c r="B659" s="1170" t="s">
        <v>1225</v>
      </c>
      <c r="C659" s="1157">
        <v>86755</v>
      </c>
      <c r="D659" s="1162">
        <v>9430000</v>
      </c>
      <c r="E659" s="1162">
        <v>13774350</v>
      </c>
      <c r="F659" s="1157">
        <v>4431105</v>
      </c>
      <c r="G659" s="1149">
        <v>6</v>
      </c>
    </row>
    <row r="660" spans="2:8">
      <c r="B660" s="1170" t="s">
        <v>1536</v>
      </c>
      <c r="C660" s="1157">
        <v>88373</v>
      </c>
      <c r="D660" s="1162">
        <v>2885813.02</v>
      </c>
      <c r="E660" s="1162">
        <v>2793313.02</v>
      </c>
      <c r="F660" s="1169">
        <v>4127</v>
      </c>
      <c r="G660" s="1149">
        <v>6</v>
      </c>
      <c r="H660" s="1149" t="s">
        <v>2697</v>
      </c>
    </row>
    <row r="661" spans="2:8">
      <c r="B661" s="1170" t="s">
        <v>1224</v>
      </c>
      <c r="C661" s="1157">
        <v>310808</v>
      </c>
      <c r="D661" s="1162">
        <v>2959618</v>
      </c>
      <c r="E661" s="1162">
        <v>2611118</v>
      </c>
      <c r="F661" s="1169">
        <v>37692</v>
      </c>
      <c r="G661" s="1149">
        <v>6</v>
      </c>
    </row>
    <row r="662" spans="2:8">
      <c r="B662" s="1153" t="s">
        <v>132</v>
      </c>
      <c r="C662" s="1179">
        <v>77854186</v>
      </c>
      <c r="D662" s="1160">
        <v>14950000</v>
      </c>
      <c r="E662" s="1160">
        <v>29670800</v>
      </c>
      <c r="F662" s="1179">
        <v>63133386</v>
      </c>
    </row>
    <row r="663" spans="2:8">
      <c r="B663" s="1156" t="s">
        <v>133</v>
      </c>
      <c r="C663" s="1169">
        <v>77854186</v>
      </c>
      <c r="D663" s="1162">
        <v>14950000</v>
      </c>
      <c r="E663" s="1162">
        <v>29670800</v>
      </c>
      <c r="F663" s="1169">
        <v>63133386</v>
      </c>
      <c r="G663" s="1149" t="s">
        <v>2701</v>
      </c>
    </row>
    <row r="664" spans="2:8">
      <c r="B664" s="1153" t="s">
        <v>1754</v>
      </c>
      <c r="C664" s="1154">
        <v>5285202.88</v>
      </c>
      <c r="D664" s="1160">
        <v>43573695</v>
      </c>
      <c r="E664" s="1160">
        <v>45801415.079999998</v>
      </c>
      <c r="F664" s="1154">
        <v>7512922.96</v>
      </c>
      <c r="G664" s="1149" t="s">
        <v>2696</v>
      </c>
    </row>
    <row r="665" spans="2:8">
      <c r="B665" s="1156" t="s">
        <v>1755</v>
      </c>
      <c r="C665" s="1157">
        <v>3582847.06</v>
      </c>
      <c r="D665" s="1162">
        <v>3616994</v>
      </c>
      <c r="E665" s="1162">
        <v>3769618.95</v>
      </c>
      <c r="F665" s="1157">
        <v>3735472.01</v>
      </c>
      <c r="G665" s="1149" t="s">
        <v>2696</v>
      </c>
    </row>
    <row r="666" spans="2:8">
      <c r="B666" s="1156" t="s">
        <v>1756</v>
      </c>
      <c r="C666" s="1157">
        <v>1546865.06</v>
      </c>
      <c r="D666" s="1162">
        <v>3709274</v>
      </c>
      <c r="E666" s="1162">
        <v>3769618.95</v>
      </c>
      <c r="F666" s="1157">
        <v>1607210.01</v>
      </c>
      <c r="G666" s="1149" t="s">
        <v>2696</v>
      </c>
    </row>
    <row r="667" spans="2:8">
      <c r="B667" s="1156" t="s">
        <v>1757</v>
      </c>
      <c r="C667" s="1157">
        <v>393681.82</v>
      </c>
      <c r="D667" s="1162">
        <v>286476</v>
      </c>
      <c r="E667" s="1162">
        <v>238685.31</v>
      </c>
      <c r="F667" s="1157">
        <v>345891.13</v>
      </c>
      <c r="G667" s="1149" t="s">
        <v>2696</v>
      </c>
    </row>
    <row r="668" spans="2:8">
      <c r="B668" s="1156" t="s">
        <v>1758</v>
      </c>
      <c r="C668" s="1157">
        <v>355212.82</v>
      </c>
      <c r="D668" s="1162">
        <v>331234</v>
      </c>
      <c r="E668" s="1162">
        <v>238685.31</v>
      </c>
      <c r="F668" s="1157">
        <v>262664.13</v>
      </c>
      <c r="G668" s="1149" t="s">
        <v>2696</v>
      </c>
    </row>
    <row r="669" spans="2:8">
      <c r="B669" s="1156" t="s">
        <v>1754</v>
      </c>
      <c r="C669" s="1169">
        <v>24631236</v>
      </c>
      <c r="D669" s="1162">
        <v>17000000</v>
      </c>
      <c r="E669" s="1158"/>
      <c r="F669" s="1169">
        <v>41631236</v>
      </c>
      <c r="G669" s="1149" t="s">
        <v>2696</v>
      </c>
    </row>
    <row r="670" spans="2:8">
      <c r="B670" s="1156" t="s">
        <v>1759</v>
      </c>
      <c r="C670" s="1157">
        <v>3238551.33</v>
      </c>
      <c r="D670" s="1162">
        <v>1087294</v>
      </c>
      <c r="E670" s="1162">
        <v>2613723.12</v>
      </c>
      <c r="F670" s="1157">
        <v>4764980.45</v>
      </c>
      <c r="G670" s="1149" t="s">
        <v>2696</v>
      </c>
    </row>
    <row r="671" spans="2:8">
      <c r="B671" s="1156" t="s">
        <v>1760</v>
      </c>
      <c r="C671" s="1157">
        <v>3184911.65</v>
      </c>
      <c r="D671" s="1162">
        <v>1196448</v>
      </c>
      <c r="E671" s="1162">
        <v>2529123.12</v>
      </c>
      <c r="F671" s="1157">
        <v>4517586.7699999996</v>
      </c>
      <c r="G671" s="1149" t="s">
        <v>2696</v>
      </c>
    </row>
    <row r="672" spans="2:8">
      <c r="B672" s="1156" t="s">
        <v>1761</v>
      </c>
      <c r="C672" s="1157">
        <v>94166.77</v>
      </c>
      <c r="D672" s="1162">
        <v>1012292</v>
      </c>
      <c r="E672" s="1162">
        <v>2509370.65</v>
      </c>
      <c r="F672" s="1157">
        <v>1591245.42</v>
      </c>
      <c r="G672" s="1149" t="s">
        <v>2696</v>
      </c>
    </row>
    <row r="673" spans="2:7">
      <c r="B673" s="1156" t="s">
        <v>1762</v>
      </c>
      <c r="C673" s="1157">
        <v>70878.77</v>
      </c>
      <c r="D673" s="1162">
        <v>854442</v>
      </c>
      <c r="E673" s="1162">
        <v>2509370.65</v>
      </c>
      <c r="F673" s="1157">
        <v>1725807.42</v>
      </c>
      <c r="G673" s="1149" t="s">
        <v>2696</v>
      </c>
    </row>
    <row r="674" spans="2:7">
      <c r="B674" s="1156" t="s">
        <v>1763</v>
      </c>
      <c r="C674" s="1157">
        <v>108033.25</v>
      </c>
      <c r="D674" s="1162">
        <v>32111</v>
      </c>
      <c r="E674" s="1162">
        <v>951237.42</v>
      </c>
      <c r="F674" s="1157">
        <v>1027159.67</v>
      </c>
      <c r="G674" s="1149" t="s">
        <v>2696</v>
      </c>
    </row>
    <row r="675" spans="2:7">
      <c r="B675" s="1156" t="s">
        <v>1764</v>
      </c>
      <c r="C675" s="1157">
        <v>3616.25</v>
      </c>
      <c r="D675" s="1162">
        <v>7554</v>
      </c>
      <c r="E675" s="1162">
        <v>951237.42</v>
      </c>
      <c r="F675" s="1157">
        <v>947299.67</v>
      </c>
      <c r="G675" s="1149" t="s">
        <v>2696</v>
      </c>
    </row>
    <row r="676" spans="2:7">
      <c r="B676" s="1156" t="s">
        <v>1765</v>
      </c>
      <c r="C676" s="1157">
        <v>279269.46999999997</v>
      </c>
      <c r="D676" s="1158"/>
      <c r="E676" s="1158"/>
      <c r="F676" s="1157">
        <v>279269.46999999997</v>
      </c>
      <c r="G676" s="1149" t="s">
        <v>2696</v>
      </c>
    </row>
    <row r="677" spans="2:7">
      <c r="B677" s="1156" t="s">
        <v>1766</v>
      </c>
      <c r="C677" s="1157">
        <v>165466.47</v>
      </c>
      <c r="D677" s="1158"/>
      <c r="E677" s="1158"/>
      <c r="F677" s="1157">
        <v>165466.47</v>
      </c>
      <c r="G677" s="1149" t="s">
        <v>2696</v>
      </c>
    </row>
    <row r="678" spans="2:7">
      <c r="B678" s="1156" t="s">
        <v>1767</v>
      </c>
      <c r="C678" s="1157">
        <v>271783.76</v>
      </c>
      <c r="D678" s="1162">
        <v>1965139</v>
      </c>
      <c r="E678" s="1162">
        <v>2565835.83</v>
      </c>
      <c r="F678" s="1157">
        <v>872480.59</v>
      </c>
      <c r="G678" s="1149" t="s">
        <v>2696</v>
      </c>
    </row>
    <row r="679" spans="2:7">
      <c r="B679" s="1156" t="s">
        <v>1768</v>
      </c>
      <c r="C679" s="1157">
        <v>212497.76</v>
      </c>
      <c r="D679" s="1162">
        <v>2156488</v>
      </c>
      <c r="E679" s="1162">
        <v>2565835.83</v>
      </c>
      <c r="F679" s="1157">
        <v>621845.59</v>
      </c>
      <c r="G679" s="1149" t="s">
        <v>2696</v>
      </c>
    </row>
    <row r="680" spans="2:7">
      <c r="B680" s="1156" t="s">
        <v>2638</v>
      </c>
      <c r="C680" s="1155"/>
      <c r="D680" s="1162">
        <v>222248</v>
      </c>
      <c r="E680" s="1162">
        <v>595065.42000000004</v>
      </c>
      <c r="F680" s="1157">
        <v>372817.42</v>
      </c>
      <c r="G680" s="1149" t="s">
        <v>2696</v>
      </c>
    </row>
    <row r="681" spans="2:7">
      <c r="B681" s="1156" t="s">
        <v>2639</v>
      </c>
      <c r="C681" s="1155"/>
      <c r="D681" s="1162">
        <v>75595</v>
      </c>
      <c r="E681" s="1162">
        <v>595065.42000000004</v>
      </c>
      <c r="F681" s="1157">
        <v>519470.42</v>
      </c>
      <c r="G681" s="1149" t="s">
        <v>2696</v>
      </c>
    </row>
    <row r="682" spans="2:7">
      <c r="B682" s="1156" t="s">
        <v>1769</v>
      </c>
      <c r="C682" s="1157">
        <v>350602.02</v>
      </c>
      <c r="D682" s="1162">
        <v>248596</v>
      </c>
      <c r="E682" s="1162">
        <v>205626.06</v>
      </c>
      <c r="F682" s="1157">
        <v>307632.08</v>
      </c>
      <c r="G682" s="1149" t="s">
        <v>2696</v>
      </c>
    </row>
    <row r="683" spans="2:7">
      <c r="B683" s="1156" t="s">
        <v>1770</v>
      </c>
      <c r="C683" s="1157">
        <v>305820.02</v>
      </c>
      <c r="D683" s="1162">
        <v>248596</v>
      </c>
      <c r="E683" s="1162">
        <v>205626.06</v>
      </c>
      <c r="F683" s="1157">
        <v>262850.08</v>
      </c>
      <c r="G683" s="1149" t="s">
        <v>2696</v>
      </c>
    </row>
    <row r="684" spans="2:7">
      <c r="B684" s="1156" t="s">
        <v>1771</v>
      </c>
      <c r="C684" s="1157">
        <v>1707380.86</v>
      </c>
      <c r="D684" s="1162">
        <v>987985</v>
      </c>
      <c r="E684" s="1162">
        <v>2727196.98</v>
      </c>
      <c r="F684" s="1157">
        <v>3446592.84</v>
      </c>
      <c r="G684" s="1149" t="s">
        <v>2696</v>
      </c>
    </row>
    <row r="685" spans="2:7">
      <c r="B685" s="1156" t="s">
        <v>1772</v>
      </c>
      <c r="C685" s="1157">
        <v>1385019.86</v>
      </c>
      <c r="D685" s="1162">
        <v>880036</v>
      </c>
      <c r="E685" s="1162">
        <v>2727196.98</v>
      </c>
      <c r="F685" s="1157">
        <v>3232180.84</v>
      </c>
      <c r="G685" s="1149" t="s">
        <v>2696</v>
      </c>
    </row>
    <row r="686" spans="2:7">
      <c r="B686" s="1156" t="s">
        <v>1773</v>
      </c>
      <c r="C686" s="1157">
        <v>5158071.92</v>
      </c>
      <c r="D686" s="1162">
        <v>3215628.5</v>
      </c>
      <c r="E686" s="1162">
        <v>6766647.7999999998</v>
      </c>
      <c r="F686" s="1157">
        <v>8709091.2200000007</v>
      </c>
      <c r="G686" s="1149" t="s">
        <v>2696</v>
      </c>
    </row>
    <row r="687" spans="2:7">
      <c r="B687" s="1156" t="s">
        <v>1774</v>
      </c>
      <c r="C687" s="1157">
        <v>6025877.6799999997</v>
      </c>
      <c r="D687" s="1162">
        <v>3405782.5</v>
      </c>
      <c r="E687" s="1162">
        <v>6766647.7999999998</v>
      </c>
      <c r="F687" s="1157">
        <v>9386742.9800000004</v>
      </c>
      <c r="G687" s="1149" t="s">
        <v>2696</v>
      </c>
    </row>
    <row r="688" spans="2:7">
      <c r="B688" s="1156" t="s">
        <v>1775</v>
      </c>
      <c r="C688" s="1157">
        <v>774386.64</v>
      </c>
      <c r="D688" s="1162">
        <v>516741</v>
      </c>
      <c r="E688" s="1158"/>
      <c r="F688" s="1157">
        <v>257645.64</v>
      </c>
      <c r="G688" s="1149" t="s">
        <v>2696</v>
      </c>
    </row>
    <row r="689" spans="2:8">
      <c r="B689" s="1156" t="s">
        <v>1776</v>
      </c>
      <c r="C689" s="1157">
        <v>701497.64</v>
      </c>
      <c r="D689" s="1162">
        <v>516741</v>
      </c>
      <c r="E689" s="1158"/>
      <c r="F689" s="1157">
        <v>184756.64</v>
      </c>
      <c r="G689" s="1149" t="s">
        <v>2696</v>
      </c>
    </row>
    <row r="690" spans="2:8">
      <c r="B690" s="1153" t="s">
        <v>2640</v>
      </c>
      <c r="C690" s="1182"/>
      <c r="D690" s="1160">
        <v>1680569</v>
      </c>
      <c r="E690" s="1155"/>
      <c r="F690" s="1179">
        <v>1680569</v>
      </c>
    </row>
    <row r="691" spans="2:8">
      <c r="B691" s="1156" t="s">
        <v>2641</v>
      </c>
      <c r="C691" s="1155"/>
      <c r="D691" s="1162">
        <v>1680569</v>
      </c>
      <c r="E691" s="1158"/>
      <c r="F691" s="1169">
        <v>1680569</v>
      </c>
      <c r="G691" s="1149" t="s">
        <v>2955</v>
      </c>
      <c r="H691" s="1149" t="s">
        <v>2956</v>
      </c>
    </row>
    <row r="692" spans="2:8">
      <c r="B692" s="1153" t="s">
        <v>134</v>
      </c>
      <c r="C692" s="1179">
        <v>117150</v>
      </c>
      <c r="D692" s="1155"/>
      <c r="E692" s="1155"/>
      <c r="F692" s="1179">
        <v>117150</v>
      </c>
    </row>
    <row r="693" spans="2:8">
      <c r="B693" s="1156" t="s">
        <v>135</v>
      </c>
      <c r="C693" s="1169">
        <v>116150</v>
      </c>
      <c r="D693" s="1158"/>
      <c r="E693" s="1158"/>
      <c r="F693" s="1169">
        <v>116150</v>
      </c>
    </row>
    <row r="694" spans="2:8">
      <c r="B694" s="1170" t="s">
        <v>136</v>
      </c>
      <c r="C694" s="1169">
        <v>1000</v>
      </c>
      <c r="D694" s="1158"/>
      <c r="E694" s="1158"/>
      <c r="F694" s="1169">
        <v>1000</v>
      </c>
    </row>
    <row r="695" spans="2:8">
      <c r="B695" s="1153" t="s">
        <v>151</v>
      </c>
      <c r="C695" s="1154">
        <v>265181020.06</v>
      </c>
      <c r="D695" s="1160">
        <v>7147460</v>
      </c>
      <c r="E695" s="1155"/>
      <c r="F695" s="1154">
        <v>258033560.06</v>
      </c>
    </row>
    <row r="696" spans="2:8">
      <c r="B696" s="1170" t="s">
        <v>152</v>
      </c>
      <c r="C696" s="1169">
        <v>101851305</v>
      </c>
      <c r="D696" s="1162">
        <v>7147460</v>
      </c>
      <c r="E696" s="1158"/>
      <c r="F696" s="1169">
        <v>108998765</v>
      </c>
      <c r="G696" s="1149">
        <v>4</v>
      </c>
      <c r="H696" s="1149" t="s">
        <v>2944</v>
      </c>
    </row>
    <row r="697" spans="2:8">
      <c r="B697" s="1170" t="s">
        <v>153</v>
      </c>
      <c r="C697" s="1169">
        <v>18382929</v>
      </c>
      <c r="D697" s="1158"/>
      <c r="E697" s="1158"/>
      <c r="F697" s="1169">
        <v>18382929</v>
      </c>
    </row>
    <row r="698" spans="2:8">
      <c r="B698" s="1170" t="s">
        <v>154</v>
      </c>
      <c r="C698" s="1157">
        <v>44374031.420000002</v>
      </c>
      <c r="D698" s="1158"/>
      <c r="E698" s="1158"/>
      <c r="F698" s="1157">
        <v>44374031.420000002</v>
      </c>
    </row>
    <row r="699" spans="2:8">
      <c r="B699" s="1170" t="s">
        <v>151</v>
      </c>
      <c r="C699" s="1157">
        <v>341041222.63999999</v>
      </c>
      <c r="D699" s="1158"/>
      <c r="E699" s="1158"/>
      <c r="F699" s="1157">
        <v>341041222.63999999</v>
      </c>
    </row>
    <row r="700" spans="2:8">
      <c r="B700" s="1153" t="s">
        <v>158</v>
      </c>
      <c r="C700" s="1182"/>
      <c r="D700" s="1160">
        <v>11200000</v>
      </c>
      <c r="E700" s="1160">
        <v>25000000</v>
      </c>
      <c r="F700" s="1154">
        <v>13800000</v>
      </c>
      <c r="G700" s="1149" t="s">
        <v>2703</v>
      </c>
    </row>
    <row r="701" spans="2:8">
      <c r="B701" s="1156" t="s">
        <v>158</v>
      </c>
      <c r="C701" s="1155"/>
      <c r="D701" s="1162">
        <v>11200000</v>
      </c>
      <c r="E701" s="1162">
        <v>25000000</v>
      </c>
      <c r="F701" s="1157">
        <v>13800000</v>
      </c>
      <c r="G701" s="1149" t="s">
        <v>2703</v>
      </c>
    </row>
    <row r="702" spans="2:8">
      <c r="B702" s="1153" t="s">
        <v>159</v>
      </c>
      <c r="C702" s="1179">
        <v>11200000</v>
      </c>
      <c r="D702" s="1160">
        <v>25000000</v>
      </c>
      <c r="E702" s="1160">
        <v>11200000</v>
      </c>
      <c r="F702" s="1179">
        <v>25000000</v>
      </c>
      <c r="G702" s="1149" t="s">
        <v>2703</v>
      </c>
    </row>
    <row r="703" spans="2:8">
      <c r="B703" s="1170" t="s">
        <v>1223</v>
      </c>
      <c r="C703" s="1169">
        <v>11200000</v>
      </c>
      <c r="D703" s="1162">
        <v>25000000</v>
      </c>
      <c r="E703" s="1162">
        <v>11200000</v>
      </c>
      <c r="F703" s="1169">
        <v>25000000</v>
      </c>
      <c r="G703" s="1149" t="s">
        <v>2703</v>
      </c>
    </row>
    <row r="704" spans="2:8">
      <c r="B704" s="1153" t="s">
        <v>1158</v>
      </c>
      <c r="C704" s="1182"/>
      <c r="D704" s="1160">
        <v>129415215.72</v>
      </c>
      <c r="E704" s="1160">
        <v>819110.77</v>
      </c>
      <c r="F704" s="1179">
        <v>128596104.95</v>
      </c>
      <c r="G704" s="1149" t="s">
        <v>2703</v>
      </c>
    </row>
    <row r="705" spans="2:8">
      <c r="B705" s="1163" t="s">
        <v>161</v>
      </c>
      <c r="C705" s="1158"/>
      <c r="D705" s="1162">
        <v>96690446.439999998</v>
      </c>
      <c r="E705" s="1162">
        <v>499910.77</v>
      </c>
      <c r="F705" s="1180">
        <v>96190535.670000002</v>
      </c>
      <c r="G705" s="1149" t="s">
        <v>2703</v>
      </c>
    </row>
    <row r="706" spans="2:8">
      <c r="B706" s="1161" t="s">
        <v>178</v>
      </c>
      <c r="C706" s="1158"/>
      <c r="D706" s="1162">
        <v>32724769.280000001</v>
      </c>
      <c r="E706" s="1162">
        <v>319200</v>
      </c>
      <c r="F706" s="1180">
        <v>32405569.280000001</v>
      </c>
      <c r="G706" s="1149" t="s">
        <v>2703</v>
      </c>
    </row>
    <row r="707" spans="2:8">
      <c r="B707" s="1153" t="s">
        <v>189</v>
      </c>
      <c r="C707" s="1182"/>
      <c r="D707" s="1155"/>
      <c r="E707" s="1160">
        <v>5656621</v>
      </c>
      <c r="F707" s="1154">
        <v>5656621</v>
      </c>
      <c r="G707" s="1149" t="s">
        <v>2703</v>
      </c>
    </row>
    <row r="708" spans="2:8">
      <c r="B708" s="1170" t="s">
        <v>190</v>
      </c>
      <c r="C708" s="1155"/>
      <c r="D708" s="1158"/>
      <c r="E708" s="1162">
        <v>5656621</v>
      </c>
      <c r="F708" s="1157">
        <v>5656621</v>
      </c>
      <c r="G708" s="1149" t="s">
        <v>2703</v>
      </c>
    </row>
    <row r="709" spans="2:8">
      <c r="B709" s="1153" t="s">
        <v>192</v>
      </c>
      <c r="C709" s="1182"/>
      <c r="D709" s="1160">
        <v>51028422.25</v>
      </c>
      <c r="E709" s="1160">
        <v>1288143.54</v>
      </c>
      <c r="F709" s="1179">
        <v>49740278.710000001</v>
      </c>
    </row>
    <row r="710" spans="2:8">
      <c r="B710" s="1163" t="s">
        <v>194</v>
      </c>
      <c r="C710" s="1158"/>
      <c r="D710" s="1162">
        <v>30414</v>
      </c>
      <c r="E710" s="1158"/>
      <c r="F710" s="1180">
        <v>30414</v>
      </c>
      <c r="G710" s="1149">
        <v>24</v>
      </c>
      <c r="H710" s="1149" t="s">
        <v>1172</v>
      </c>
    </row>
    <row r="711" spans="2:8">
      <c r="B711" s="1156" t="s">
        <v>195</v>
      </c>
      <c r="C711" s="1155"/>
      <c r="D711" s="1162">
        <v>23373</v>
      </c>
      <c r="E711" s="1158"/>
      <c r="F711" s="1169">
        <v>23373</v>
      </c>
      <c r="G711" s="1149">
        <v>24</v>
      </c>
    </row>
    <row r="712" spans="2:8">
      <c r="B712" s="1156" t="s">
        <v>2635</v>
      </c>
      <c r="C712" s="1155"/>
      <c r="D712" s="1162">
        <v>59870</v>
      </c>
      <c r="E712" s="1158"/>
      <c r="F712" s="1169">
        <v>59870</v>
      </c>
      <c r="G712" s="1149">
        <v>24</v>
      </c>
    </row>
    <row r="713" spans="2:8">
      <c r="B713" s="1156" t="s">
        <v>1180</v>
      </c>
      <c r="C713" s="1155"/>
      <c r="D713" s="1162">
        <v>632560</v>
      </c>
      <c r="E713" s="1158"/>
      <c r="F713" s="1169">
        <v>632560</v>
      </c>
      <c r="G713" s="1149">
        <v>24</v>
      </c>
    </row>
    <row r="714" spans="2:8">
      <c r="B714" s="1156" t="s">
        <v>1541</v>
      </c>
      <c r="C714" s="1155"/>
      <c r="D714" s="1162">
        <v>9350</v>
      </c>
      <c r="E714" s="1158"/>
      <c r="F714" s="1169">
        <v>9350</v>
      </c>
      <c r="G714" s="1149">
        <v>23</v>
      </c>
      <c r="H714" s="1149" t="s">
        <v>2704</v>
      </c>
    </row>
    <row r="715" spans="2:8">
      <c r="B715" s="1170" t="s">
        <v>196</v>
      </c>
      <c r="C715" s="1155"/>
      <c r="D715" s="1162">
        <v>5720</v>
      </c>
      <c r="E715" s="1158"/>
      <c r="F715" s="1169">
        <v>5720</v>
      </c>
      <c r="G715" s="1149">
        <v>24</v>
      </c>
      <c r="H715" s="1149" t="s">
        <v>1158</v>
      </c>
    </row>
    <row r="716" spans="2:8">
      <c r="B716" s="1170" t="s">
        <v>1751</v>
      </c>
      <c r="C716" s="1155"/>
      <c r="D716" s="1162">
        <v>9255</v>
      </c>
      <c r="E716" s="1158"/>
      <c r="F716" s="1169">
        <v>9255</v>
      </c>
      <c r="G716" s="1149">
        <v>24</v>
      </c>
      <c r="H716" s="1149" t="s">
        <v>1172</v>
      </c>
    </row>
    <row r="717" spans="2:8">
      <c r="B717" s="1170" t="s">
        <v>197</v>
      </c>
      <c r="C717" s="1155"/>
      <c r="D717" s="1162">
        <v>3677400</v>
      </c>
      <c r="E717" s="1158"/>
      <c r="F717" s="1169">
        <v>3677400</v>
      </c>
      <c r="G717" s="1149">
        <v>23</v>
      </c>
    </row>
    <row r="718" spans="2:8">
      <c r="B718" s="1170" t="s">
        <v>198</v>
      </c>
      <c r="C718" s="1155"/>
      <c r="D718" s="1162">
        <v>1770</v>
      </c>
      <c r="E718" s="1158"/>
      <c r="F718" s="1169">
        <v>1770</v>
      </c>
      <c r="G718" s="1149">
        <v>24</v>
      </c>
      <c r="H718" s="1149" t="s">
        <v>2970</v>
      </c>
    </row>
    <row r="719" spans="2:8">
      <c r="B719" s="1156" t="s">
        <v>199</v>
      </c>
      <c r="C719" s="1155"/>
      <c r="D719" s="1162">
        <v>204000</v>
      </c>
      <c r="E719" s="1158"/>
      <c r="F719" s="1169">
        <v>204000</v>
      </c>
    </row>
    <row r="720" spans="2:8">
      <c r="B720" s="1156" t="s">
        <v>1114</v>
      </c>
      <c r="C720" s="1155"/>
      <c r="D720" s="1162">
        <v>35320</v>
      </c>
      <c r="E720" s="1158"/>
      <c r="F720" s="1169">
        <v>35320</v>
      </c>
      <c r="G720" s="1149">
        <v>24</v>
      </c>
      <c r="H720" s="1149" t="s">
        <v>2705</v>
      </c>
    </row>
    <row r="721" spans="2:10">
      <c r="B721" s="1170" t="s">
        <v>201</v>
      </c>
      <c r="C721" s="1155"/>
      <c r="D721" s="1162">
        <v>15566</v>
      </c>
      <c r="E721" s="1158"/>
      <c r="F721" s="1169">
        <v>15566</v>
      </c>
      <c r="G721" s="1149">
        <v>23</v>
      </c>
      <c r="H721" s="1149" t="s">
        <v>2652</v>
      </c>
    </row>
    <row r="722" spans="2:10">
      <c r="B722" s="1170" t="s">
        <v>202</v>
      </c>
      <c r="C722" s="1155"/>
      <c r="D722" s="1162">
        <v>35143</v>
      </c>
      <c r="E722" s="1158"/>
      <c r="F722" s="1169">
        <v>35143</v>
      </c>
      <c r="G722" s="1149">
        <v>24</v>
      </c>
    </row>
    <row r="723" spans="2:10" s="1464" customFormat="1">
      <c r="B723" s="1466" t="s">
        <v>2636</v>
      </c>
      <c r="C723" s="1467"/>
      <c r="D723" s="1468">
        <v>78386</v>
      </c>
      <c r="E723" s="1461"/>
      <c r="F723" s="1469">
        <v>78386</v>
      </c>
      <c r="G723" s="1464">
        <v>24</v>
      </c>
      <c r="J723" s="1465">
        <f>F723-J639</f>
        <v>53248</v>
      </c>
    </row>
    <row r="724" spans="2:10">
      <c r="B724" s="1170" t="s">
        <v>203</v>
      </c>
      <c r="C724" s="1155"/>
      <c r="D724" s="1162">
        <v>24105</v>
      </c>
      <c r="E724" s="1158"/>
      <c r="F724" s="1169">
        <v>24105</v>
      </c>
      <c r="G724" s="1149">
        <v>24</v>
      </c>
    </row>
    <row r="725" spans="2:10">
      <c r="B725" s="1156" t="s">
        <v>1542</v>
      </c>
      <c r="C725" s="1155"/>
      <c r="D725" s="1162">
        <v>7500</v>
      </c>
      <c r="E725" s="1158"/>
      <c r="F725" s="1169">
        <v>7500</v>
      </c>
      <c r="G725" s="1149">
        <v>24</v>
      </c>
      <c r="H725" s="1149" t="s">
        <v>2705</v>
      </c>
    </row>
    <row r="726" spans="2:10">
      <c r="B726" s="1170" t="s">
        <v>204</v>
      </c>
      <c r="C726" s="1155"/>
      <c r="D726" s="1162">
        <v>32169016</v>
      </c>
      <c r="E726" s="1162">
        <v>1047946</v>
      </c>
      <c r="F726" s="1169">
        <v>31121070</v>
      </c>
      <c r="G726" s="1149">
        <v>23</v>
      </c>
    </row>
    <row r="727" spans="2:10">
      <c r="B727" s="1170" t="s">
        <v>1753</v>
      </c>
      <c r="C727" s="1155"/>
      <c r="D727" s="1162">
        <v>7755</v>
      </c>
      <c r="E727" s="1158"/>
      <c r="F727" s="1169">
        <v>7755</v>
      </c>
      <c r="G727" s="1149">
        <v>24</v>
      </c>
      <c r="H727" s="1149" t="s">
        <v>1172</v>
      </c>
    </row>
    <row r="728" spans="2:10">
      <c r="B728" s="1170" t="s">
        <v>2637</v>
      </c>
      <c r="C728" s="1155"/>
      <c r="D728" s="1162">
        <v>12096</v>
      </c>
      <c r="E728" s="1162">
        <v>12096</v>
      </c>
      <c r="F728" s="1155"/>
    </row>
    <row r="729" spans="2:10">
      <c r="B729" s="1170" t="s">
        <v>206</v>
      </c>
      <c r="C729" s="1155"/>
      <c r="D729" s="1162">
        <v>43709</v>
      </c>
      <c r="E729" s="1158"/>
      <c r="F729" s="1169">
        <v>43709</v>
      </c>
      <c r="G729" s="1149">
        <v>23</v>
      </c>
      <c r="H729" s="1149" t="s">
        <v>2652</v>
      </c>
    </row>
    <row r="730" spans="2:10">
      <c r="B730" s="1170" t="s">
        <v>207</v>
      </c>
      <c r="C730" s="1155"/>
      <c r="D730" s="1162">
        <v>1565527</v>
      </c>
      <c r="E730" s="1162">
        <v>11500</v>
      </c>
      <c r="F730" s="1169">
        <v>1554027</v>
      </c>
      <c r="G730" s="1149">
        <v>24</v>
      </c>
    </row>
    <row r="731" spans="2:10">
      <c r="B731" s="1170" t="s">
        <v>2688</v>
      </c>
      <c r="C731" s="1155"/>
      <c r="D731" s="1162">
        <v>758262</v>
      </c>
      <c r="E731" s="1158"/>
      <c r="F731" s="1169">
        <v>758262</v>
      </c>
      <c r="G731" s="1149">
        <v>24</v>
      </c>
      <c r="H731" s="1149" t="s">
        <v>2971</v>
      </c>
    </row>
    <row r="732" spans="2:10">
      <c r="B732" s="1156" t="s">
        <v>209</v>
      </c>
      <c r="C732" s="1155"/>
      <c r="D732" s="1158"/>
      <c r="E732" s="1162">
        <v>85000</v>
      </c>
      <c r="F732" s="1157">
        <v>85000</v>
      </c>
      <c r="G732" s="1149">
        <v>24</v>
      </c>
      <c r="H732" s="1149" t="s">
        <v>250</v>
      </c>
    </row>
    <row r="733" spans="2:10">
      <c r="B733" s="1156" t="s">
        <v>72</v>
      </c>
      <c r="C733" s="1155"/>
      <c r="D733" s="1162">
        <v>111230.57</v>
      </c>
      <c r="E733" s="1162">
        <v>120.56</v>
      </c>
      <c r="F733" s="1169">
        <v>111110.01</v>
      </c>
      <c r="G733" s="1149">
        <v>24</v>
      </c>
    </row>
    <row r="734" spans="2:10">
      <c r="B734" s="1156" t="s">
        <v>211</v>
      </c>
      <c r="C734" s="1155"/>
      <c r="D734" s="1162">
        <v>455351</v>
      </c>
      <c r="E734" s="1158"/>
      <c r="F734" s="1169">
        <v>455351</v>
      </c>
      <c r="G734" s="1149">
        <v>24</v>
      </c>
      <c r="I734" s="1149" t="s">
        <v>1158</v>
      </c>
    </row>
    <row r="735" spans="2:10">
      <c r="B735" s="1170" t="s">
        <v>2689</v>
      </c>
      <c r="C735" s="1155"/>
      <c r="D735" s="1162">
        <v>179942</v>
      </c>
      <c r="E735" s="1158"/>
      <c r="F735" s="1169">
        <v>179942</v>
      </c>
      <c r="G735" s="1149">
        <v>24</v>
      </c>
    </row>
    <row r="736" spans="2:10">
      <c r="B736" s="1156" t="s">
        <v>57</v>
      </c>
      <c r="C736" s="1155"/>
      <c r="D736" s="1162">
        <v>1628065.56</v>
      </c>
      <c r="E736" s="1162">
        <v>113480.98</v>
      </c>
      <c r="F736" s="1169">
        <v>1514584.58</v>
      </c>
      <c r="G736" s="1149">
        <v>24</v>
      </c>
    </row>
    <row r="737" spans="2:11">
      <c r="B737" s="1156" t="s">
        <v>930</v>
      </c>
      <c r="C737" s="1155"/>
      <c r="D737" s="1162">
        <v>779650</v>
      </c>
      <c r="E737" s="1158"/>
      <c r="F737" s="1169">
        <v>779650</v>
      </c>
      <c r="G737" s="1149">
        <v>24</v>
      </c>
    </row>
    <row r="738" spans="2:11">
      <c r="B738" s="1170" t="s">
        <v>929</v>
      </c>
      <c r="C738" s="1155"/>
      <c r="D738" s="1162">
        <v>63496</v>
      </c>
      <c r="E738" s="1158"/>
      <c r="F738" s="1169">
        <v>63496</v>
      </c>
      <c r="G738" s="1149">
        <v>24</v>
      </c>
      <c r="H738" s="1149" t="s">
        <v>2972</v>
      </c>
    </row>
    <row r="739" spans="2:11">
      <c r="B739" s="1170" t="s">
        <v>213</v>
      </c>
      <c r="C739" s="1155"/>
      <c r="D739" s="1162">
        <v>333770</v>
      </c>
      <c r="E739" s="1158"/>
      <c r="F739" s="1169">
        <v>333770</v>
      </c>
      <c r="G739" s="1149">
        <v>24</v>
      </c>
    </row>
    <row r="740" spans="2:11">
      <c r="B740" s="1170" t="s">
        <v>928</v>
      </c>
      <c r="C740" s="1155"/>
      <c r="D740" s="1162">
        <v>516304.27</v>
      </c>
      <c r="E740" s="1158"/>
      <c r="F740" s="1169">
        <v>516304.27</v>
      </c>
      <c r="G740" s="1149">
        <v>24</v>
      </c>
    </row>
    <row r="741" spans="2:11">
      <c r="B741" s="1170" t="s">
        <v>77</v>
      </c>
      <c r="C741" s="1155"/>
      <c r="D741" s="1162">
        <v>337491.25</v>
      </c>
      <c r="E741" s="1158"/>
      <c r="F741" s="1169">
        <v>337491.25</v>
      </c>
      <c r="G741" s="1149">
        <v>24</v>
      </c>
    </row>
    <row r="742" spans="2:11">
      <c r="B742" s="1170" t="s">
        <v>71</v>
      </c>
      <c r="C742" s="1155"/>
      <c r="D742" s="1162">
        <v>1029587</v>
      </c>
      <c r="E742" s="1162">
        <v>18000</v>
      </c>
      <c r="F742" s="1169">
        <v>1011587</v>
      </c>
      <c r="G742" s="1149">
        <v>24</v>
      </c>
      <c r="H742" s="1149" t="s">
        <v>2706</v>
      </c>
    </row>
    <row r="743" spans="2:11">
      <c r="B743" s="1156" t="s">
        <v>927</v>
      </c>
      <c r="C743" s="1155"/>
      <c r="D743" s="1162">
        <v>1073659</v>
      </c>
      <c r="E743" s="1158"/>
      <c r="F743" s="1169">
        <v>1073659</v>
      </c>
    </row>
    <row r="744" spans="2:11">
      <c r="B744" s="1170" t="s">
        <v>926</v>
      </c>
      <c r="C744" s="1155"/>
      <c r="D744" s="1162">
        <v>5113778.5999999996</v>
      </c>
      <c r="E744" s="1158"/>
      <c r="F744" s="1169">
        <v>5113778.5999999996</v>
      </c>
      <c r="G744" s="1149">
        <v>24</v>
      </c>
      <c r="H744" s="1149" t="s">
        <v>2973</v>
      </c>
    </row>
    <row r="745" spans="2:11">
      <c r="B745" s="1153" t="s">
        <v>137</v>
      </c>
      <c r="C745" s="1179">
        <v>69233328.599999994</v>
      </c>
      <c r="D745" s="1160">
        <v>25061390.75</v>
      </c>
      <c r="E745" s="1160">
        <v>20826265</v>
      </c>
      <c r="F745" s="1179">
        <v>73468454.349999994</v>
      </c>
    </row>
    <row r="746" spans="2:11" s="1464" customFormat="1">
      <c r="B746" s="1470" t="s">
        <v>29</v>
      </c>
      <c r="C746" s="1471">
        <v>50792436.719999999</v>
      </c>
      <c r="D746" s="1468">
        <v>12767631.07</v>
      </c>
      <c r="E746" s="1468">
        <v>6091557</v>
      </c>
      <c r="F746" s="1471">
        <v>57468510.789999999</v>
      </c>
      <c r="G746" s="1464" t="s">
        <v>2950</v>
      </c>
      <c r="I746" s="1472">
        <v>327175.82</v>
      </c>
      <c r="J746" s="1465">
        <f>F746+I746-K746</f>
        <v>57582213.609999999</v>
      </c>
      <c r="K746" s="1464">
        <f>50277+163196</f>
        <v>213473</v>
      </c>
    </row>
    <row r="747" spans="2:11">
      <c r="B747" s="1163" t="s">
        <v>138</v>
      </c>
      <c r="C747" s="1180">
        <v>8943429.5299999993</v>
      </c>
      <c r="D747" s="1162">
        <v>4595275.68</v>
      </c>
      <c r="E747" s="1162">
        <v>6661367</v>
      </c>
      <c r="F747" s="1180">
        <f>6877338.2</f>
        <v>6877338.2000000002</v>
      </c>
      <c r="G747" s="1149">
        <v>17</v>
      </c>
    </row>
    <row r="748" spans="2:11">
      <c r="B748" s="1170" t="s">
        <v>139</v>
      </c>
      <c r="C748" s="1169">
        <v>6136000</v>
      </c>
      <c r="D748" s="1162">
        <v>4654000</v>
      </c>
      <c r="E748" s="1162">
        <v>6136000</v>
      </c>
      <c r="F748" s="1169">
        <v>4654000</v>
      </c>
      <c r="G748" s="1149">
        <v>17</v>
      </c>
      <c r="H748" s="1149" t="s">
        <v>2206</v>
      </c>
    </row>
    <row r="749" spans="2:11">
      <c r="B749" s="1170" t="s">
        <v>2642</v>
      </c>
      <c r="C749" s="1169">
        <v>130000</v>
      </c>
      <c r="D749" s="1158"/>
      <c r="E749" s="1158"/>
      <c r="F749" s="1169">
        <v>130000</v>
      </c>
      <c r="G749" s="1149">
        <v>17</v>
      </c>
    </row>
    <row r="750" spans="2:11">
      <c r="B750" s="1156" t="s">
        <v>140</v>
      </c>
      <c r="C750" s="1169">
        <v>40000</v>
      </c>
      <c r="D750" s="1158"/>
      <c r="E750" s="1158"/>
      <c r="F750" s="1169">
        <v>40000</v>
      </c>
      <c r="G750" s="1149" t="s">
        <v>2950</v>
      </c>
    </row>
    <row r="751" spans="2:11">
      <c r="B751" s="1156" t="s">
        <v>923</v>
      </c>
      <c r="C751" s="1169">
        <v>48000</v>
      </c>
      <c r="D751" s="1158"/>
      <c r="E751" s="1158"/>
      <c r="F751" s="1169">
        <v>48000</v>
      </c>
      <c r="G751" s="1149" t="s">
        <v>2950</v>
      </c>
    </row>
    <row r="752" spans="2:11">
      <c r="B752" s="1156" t="s">
        <v>142</v>
      </c>
      <c r="C752" s="1169">
        <v>9530</v>
      </c>
      <c r="D752" s="1158"/>
      <c r="E752" s="1158"/>
      <c r="F752" s="1169">
        <v>9530</v>
      </c>
      <c r="G752" s="1149" t="s">
        <v>2950</v>
      </c>
      <c r="I752" s="1171"/>
    </row>
    <row r="753" spans="2:9">
      <c r="B753" s="1156" t="s">
        <v>143</v>
      </c>
      <c r="C753" s="1169">
        <v>743926</v>
      </c>
      <c r="D753" s="1162">
        <v>407140</v>
      </c>
      <c r="E753" s="1162">
        <v>77500</v>
      </c>
      <c r="F753" s="1169">
        <v>1073566</v>
      </c>
      <c r="G753" s="1149" t="s">
        <v>2950</v>
      </c>
    </row>
    <row r="754" spans="2:9">
      <c r="B754" s="1170" t="s">
        <v>144</v>
      </c>
      <c r="C754" s="1169">
        <v>5500</v>
      </c>
      <c r="D754" s="1158"/>
      <c r="E754" s="1158"/>
      <c r="F754" s="1169">
        <v>5500</v>
      </c>
      <c r="G754" s="1149" t="s">
        <v>2950</v>
      </c>
      <c r="I754" s="1171"/>
    </row>
    <row r="755" spans="2:9">
      <c r="B755" s="1170" t="s">
        <v>145</v>
      </c>
      <c r="C755" s="1169">
        <v>286113</v>
      </c>
      <c r="D755" s="1162">
        <v>29000</v>
      </c>
      <c r="E755" s="1158"/>
      <c r="F755" s="1169">
        <v>315113</v>
      </c>
      <c r="G755" s="1149" t="s">
        <v>2950</v>
      </c>
    </row>
    <row r="756" spans="2:9">
      <c r="B756" s="1156" t="s">
        <v>146</v>
      </c>
      <c r="C756" s="1169">
        <v>13150</v>
      </c>
      <c r="D756" s="1158"/>
      <c r="E756" s="1158"/>
      <c r="F756" s="1169">
        <v>13150</v>
      </c>
      <c r="G756" s="1149" t="s">
        <v>2950</v>
      </c>
    </row>
    <row r="757" spans="2:9">
      <c r="B757" s="1156" t="s">
        <v>147</v>
      </c>
      <c r="C757" s="1169">
        <v>610587</v>
      </c>
      <c r="D757" s="1162">
        <v>274900</v>
      </c>
      <c r="E757" s="1162">
        <v>209000</v>
      </c>
      <c r="F757" s="1169">
        <v>676487</v>
      </c>
      <c r="G757" s="1149" t="s">
        <v>2950</v>
      </c>
    </row>
    <row r="758" spans="2:9">
      <c r="B758" s="1170" t="s">
        <v>148</v>
      </c>
      <c r="C758" s="1169">
        <v>328640.34999999998</v>
      </c>
      <c r="D758" s="1158"/>
      <c r="E758" s="1162">
        <v>70040</v>
      </c>
      <c r="F758" s="1169">
        <v>258600.35</v>
      </c>
      <c r="G758" s="1149" t="s">
        <v>2950</v>
      </c>
    </row>
    <row r="759" spans="2:9">
      <c r="B759" s="1170" t="s">
        <v>149</v>
      </c>
      <c r="C759" s="1169">
        <v>176734</v>
      </c>
      <c r="D759" s="1162">
        <v>1863444</v>
      </c>
      <c r="E759" s="1162">
        <v>1580801</v>
      </c>
      <c r="F759" s="1169">
        <v>459377</v>
      </c>
      <c r="G759" s="1149">
        <v>17</v>
      </c>
      <c r="H759" s="1149" t="s">
        <v>2707</v>
      </c>
    </row>
    <row r="760" spans="2:9">
      <c r="B760" s="1156" t="s">
        <v>2690</v>
      </c>
      <c r="C760" s="1169">
        <v>28582</v>
      </c>
      <c r="D760" s="1158"/>
      <c r="E760" s="1158"/>
      <c r="F760" s="1169">
        <v>28582</v>
      </c>
      <c r="G760" s="1149" t="s">
        <v>2950</v>
      </c>
    </row>
    <row r="761" spans="2:9">
      <c r="B761" s="1170" t="s">
        <v>141</v>
      </c>
      <c r="C761" s="1169">
        <v>940700</v>
      </c>
      <c r="D761" s="1162">
        <v>470000</v>
      </c>
      <c r="E761" s="1158"/>
      <c r="F761" s="1169">
        <v>1410700</v>
      </c>
      <c r="G761" s="1149" t="s">
        <v>2950</v>
      </c>
    </row>
    <row r="762" spans="2:9">
      <c r="B762" s="1185" t="s">
        <v>74</v>
      </c>
      <c r="C762" s="1164">
        <v>5.71</v>
      </c>
      <c r="D762" s="1155"/>
      <c r="E762" s="1155"/>
      <c r="F762" s="1164"/>
    </row>
    <row r="763" spans="2:9">
      <c r="B763" s="1150" t="s">
        <v>75</v>
      </c>
      <c r="C763" s="1182"/>
      <c r="D763" s="1177">
        <v>1662052627.3499999</v>
      </c>
      <c r="E763" s="1177">
        <v>1662052627.3499999</v>
      </c>
      <c r="F763" s="1182"/>
    </row>
    <row r="768" spans="2:9">
      <c r="B768" s="1149" t="s">
        <v>1158</v>
      </c>
    </row>
  </sheetData>
  <autoFilter ref="B5:H763" xr:uid="{00000000-0009-0000-0000-00002C000000}">
    <filterColumn colId="1" showButton="0"/>
    <filterColumn colId="2" showButton="0"/>
    <filterColumn colId="3" showButton="0"/>
  </autoFilter>
  <mergeCells count="7">
    <mergeCell ref="D6:E6"/>
    <mergeCell ref="B1:D1"/>
    <mergeCell ref="B2:D2"/>
    <mergeCell ref="B3:D3"/>
    <mergeCell ref="C4:F4"/>
    <mergeCell ref="C5:F5"/>
    <mergeCell ref="B5:B7"/>
  </mergeCells>
  <pageMargins left="0.7" right="0.7" top="0.75" bottom="0.75" header="0.3" footer="0.3"/>
  <pageSetup paperSize="9"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O101"/>
  <sheetViews>
    <sheetView workbookViewId="0">
      <selection activeCell="B1" sqref="B1"/>
    </sheetView>
  </sheetViews>
  <sheetFormatPr defaultColWidth="9" defaultRowHeight="14.4"/>
  <cols>
    <col min="2" max="2" width="48.5546875" bestFit="1" customWidth="1"/>
    <col min="3" max="3" width="14" bestFit="1" customWidth="1"/>
    <col min="4" max="4" width="10.44140625" bestFit="1" customWidth="1"/>
    <col min="6" max="6" width="10.44140625" bestFit="1" customWidth="1"/>
    <col min="9" max="9" width="9.5546875" bestFit="1" customWidth="1"/>
    <col min="15" max="15" width="25.5546875" bestFit="1" customWidth="1"/>
  </cols>
  <sheetData>
    <row r="2" spans="1:9">
      <c r="A2" s="1514" t="s">
        <v>3029</v>
      </c>
      <c r="B2" s="1514" t="s">
        <v>1</v>
      </c>
      <c r="C2" s="1514" t="s">
        <v>66</v>
      </c>
      <c r="D2" s="1514" t="s">
        <v>67</v>
      </c>
    </row>
    <row r="3" spans="1:9">
      <c r="A3">
        <v>1</v>
      </c>
      <c r="B3" s="254" t="s">
        <v>30</v>
      </c>
    </row>
    <row r="4" spans="1:9">
      <c r="B4" t="s">
        <v>3030</v>
      </c>
      <c r="C4">
        <f>D5+D6+D7</f>
        <v>3900666</v>
      </c>
    </row>
    <row r="5" spans="1:9">
      <c r="B5" t="s">
        <v>3031</v>
      </c>
      <c r="D5">
        <v>3059211</v>
      </c>
    </row>
    <row r="6" spans="1:9">
      <c r="B6" t="s">
        <v>3032</v>
      </c>
      <c r="D6">
        <v>291836</v>
      </c>
    </row>
    <row r="7" spans="1:9">
      <c r="B7" t="s">
        <v>3033</v>
      </c>
      <c r="D7">
        <v>549619</v>
      </c>
    </row>
    <row r="8" spans="1:9">
      <c r="G8" t="s">
        <v>3205</v>
      </c>
    </row>
    <row r="9" spans="1:9">
      <c r="A9">
        <v>2</v>
      </c>
      <c r="B9" s="254" t="s">
        <v>3034</v>
      </c>
      <c r="I9" t="s">
        <v>3201</v>
      </c>
    </row>
    <row r="10" spans="1:9">
      <c r="B10" t="s">
        <v>3035</v>
      </c>
      <c r="C10">
        <f>+IT!E46</f>
        <v>10965295.032507783</v>
      </c>
      <c r="G10">
        <v>4300754</v>
      </c>
      <c r="I10">
        <f>C10-G10</f>
        <v>6664541.0325077828</v>
      </c>
    </row>
    <row r="11" spans="1:9">
      <c r="B11" t="s">
        <v>3036</v>
      </c>
      <c r="D11">
        <f>+IT!E46</f>
        <v>10965295.032507783</v>
      </c>
    </row>
    <row r="13" spans="1:9">
      <c r="A13">
        <v>3</v>
      </c>
      <c r="B13" s="254" t="s">
        <v>3037</v>
      </c>
    </row>
    <row r="14" spans="1:9">
      <c r="B14" t="s">
        <v>3038</v>
      </c>
      <c r="C14">
        <v>1372156.1961621346</v>
      </c>
      <c r="G14">
        <v>1008673</v>
      </c>
      <c r="I14">
        <f>C14-G14</f>
        <v>363483.19616213464</v>
      </c>
    </row>
    <row r="15" spans="1:9">
      <c r="B15" t="s">
        <v>3039</v>
      </c>
      <c r="D15">
        <v>1372156.1961621346</v>
      </c>
    </row>
    <row r="18" spans="1:13">
      <c r="A18">
        <v>5</v>
      </c>
      <c r="B18" s="1515" t="s">
        <v>135</v>
      </c>
      <c r="I18">
        <v>400000</v>
      </c>
      <c r="J18">
        <v>0.06</v>
      </c>
      <c r="M18">
        <f>M20*6%</f>
        <v>402000</v>
      </c>
    </row>
    <row r="19" spans="1:13">
      <c r="B19" s="1516" t="s">
        <v>3164</v>
      </c>
      <c r="C19">
        <f>D20+D21</f>
        <v>247150</v>
      </c>
    </row>
    <row r="20" spans="1:13">
      <c r="B20" s="1516" t="s">
        <v>3040</v>
      </c>
      <c r="D20">
        <v>117150</v>
      </c>
      <c r="M20">
        <v>6700000</v>
      </c>
    </row>
    <row r="21" spans="1:13">
      <c r="B21" s="1516" t="s">
        <v>3041</v>
      </c>
      <c r="D21">
        <v>130000</v>
      </c>
      <c r="I21" s="208">
        <f>I18/J18</f>
        <v>6666666.666666667</v>
      </c>
    </row>
    <row r="22" spans="1:13">
      <c r="B22" s="1516" t="s">
        <v>3042</v>
      </c>
    </row>
    <row r="23" spans="1:13">
      <c r="A23">
        <v>6</v>
      </c>
      <c r="B23" s="1517" t="s">
        <v>3043</v>
      </c>
    </row>
    <row r="24" spans="1:13">
      <c r="B24" s="1516" t="s">
        <v>3044</v>
      </c>
      <c r="C24" s="100">
        <v>327175.82</v>
      </c>
    </row>
    <row r="25" spans="1:13">
      <c r="B25" s="1516" t="s">
        <v>3045</v>
      </c>
      <c r="C25">
        <v>327175.82</v>
      </c>
    </row>
    <row r="26" spans="1:13">
      <c r="B26" s="1516" t="s">
        <v>3046</v>
      </c>
      <c r="D26" s="100">
        <f>C24+C25</f>
        <v>654351.64</v>
      </c>
    </row>
    <row r="27" spans="1:13">
      <c r="B27" s="1516"/>
      <c r="D27" s="100"/>
    </row>
    <row r="28" spans="1:13">
      <c r="A28">
        <v>7</v>
      </c>
      <c r="B28" s="254" t="s">
        <v>3047</v>
      </c>
    </row>
    <row r="29" spans="1:13">
      <c r="B29" t="s">
        <v>3048</v>
      </c>
      <c r="C29" s="1513">
        <f>D32+D31+D30</f>
        <v>238611</v>
      </c>
      <c r="F29" s="219"/>
    </row>
    <row r="30" spans="1:13">
      <c r="B30" t="s">
        <v>3049</v>
      </c>
      <c r="D30">
        <v>25138</v>
      </c>
    </row>
    <row r="31" spans="1:13">
      <c r="B31" t="s">
        <v>3050</v>
      </c>
      <c r="D31" s="1513">
        <v>50277</v>
      </c>
    </row>
    <row r="32" spans="1:13">
      <c r="B32" t="s">
        <v>3050</v>
      </c>
      <c r="D32">
        <v>163196</v>
      </c>
    </row>
    <row r="33" spans="1:9">
      <c r="I33" s="1613"/>
    </row>
    <row r="34" spans="1:9">
      <c r="A34">
        <v>8</v>
      </c>
      <c r="B34" s="1518" t="s">
        <v>3051</v>
      </c>
      <c r="C34" s="1519"/>
      <c r="D34" s="1519"/>
    </row>
    <row r="35" spans="1:9">
      <c r="A35" s="1520"/>
      <c r="B35" s="1522"/>
      <c r="C35" s="1519"/>
      <c r="D35" s="1519"/>
    </row>
    <row r="36" spans="1:9">
      <c r="A36" s="1520" t="s">
        <v>3052</v>
      </c>
      <c r="B36" s="1521" t="s">
        <v>757</v>
      </c>
      <c r="C36" s="1519">
        <f>D37+D38</f>
        <v>376638</v>
      </c>
      <c r="D36" s="1519"/>
    </row>
    <row r="37" spans="1:9">
      <c r="A37" s="1520"/>
      <c r="B37" s="1521" t="s">
        <v>3053</v>
      </c>
      <c r="C37" s="1519"/>
      <c r="D37" s="1519">
        <v>308843.15999999997</v>
      </c>
    </row>
    <row r="38" spans="1:9">
      <c r="A38" s="1520"/>
      <c r="B38" s="1521" t="s">
        <v>3054</v>
      </c>
      <c r="C38" s="1519"/>
      <c r="D38" s="1519">
        <v>67794.840000000026</v>
      </c>
    </row>
    <row r="39" spans="1:9">
      <c r="A39" s="1520" t="s">
        <v>3055</v>
      </c>
      <c r="B39" s="1521" t="s">
        <v>1490</v>
      </c>
      <c r="C39" s="1519">
        <f>D40+D41</f>
        <v>55773</v>
      </c>
      <c r="D39" s="1519"/>
    </row>
    <row r="40" spans="1:9">
      <c r="A40" s="1520"/>
      <c r="B40" s="1521" t="s">
        <v>3053</v>
      </c>
      <c r="C40" s="1519"/>
      <c r="D40" s="1519">
        <v>45733.86</v>
      </c>
    </row>
    <row r="41" spans="1:9">
      <c r="A41" s="1520"/>
      <c r="B41" s="1521" t="s">
        <v>3054</v>
      </c>
      <c r="C41" s="1519"/>
      <c r="D41" s="1519">
        <v>10039.14</v>
      </c>
    </row>
    <row r="42" spans="1:9">
      <c r="A42" s="1520" t="s">
        <v>3056</v>
      </c>
      <c r="B42" s="1521" t="s">
        <v>2349</v>
      </c>
      <c r="C42" s="1519">
        <f>D43+D44</f>
        <v>1414800</v>
      </c>
      <c r="D42" s="1519"/>
    </row>
    <row r="43" spans="1:9">
      <c r="A43" s="1520"/>
      <c r="B43" s="1521" t="s">
        <v>3053</v>
      </c>
      <c r="C43" s="1519"/>
      <c r="D43" s="1519">
        <v>1160136</v>
      </c>
    </row>
    <row r="44" spans="1:9">
      <c r="A44" s="1520"/>
      <c r="B44" s="1521" t="s">
        <v>3054</v>
      </c>
      <c r="C44" s="1519"/>
      <c r="D44" s="1519">
        <v>254664</v>
      </c>
    </row>
    <row r="45" spans="1:9">
      <c r="A45" s="1520" t="s">
        <v>3057</v>
      </c>
      <c r="B45" s="1521" t="s">
        <v>1497</v>
      </c>
      <c r="C45">
        <f>D46+D47</f>
        <v>485000</v>
      </c>
    </row>
    <row r="46" spans="1:9">
      <c r="A46" s="1520"/>
      <c r="B46" s="1521" t="s">
        <v>3053</v>
      </c>
      <c r="D46">
        <v>395000</v>
      </c>
    </row>
    <row r="47" spans="1:9">
      <c r="A47" s="1520"/>
      <c r="B47" s="1521" t="s">
        <v>3054</v>
      </c>
      <c r="D47">
        <f>500000*18%</f>
        <v>90000</v>
      </c>
    </row>
    <row r="48" spans="1:9">
      <c r="A48" s="1520" t="s">
        <v>3058</v>
      </c>
      <c r="B48" s="1521" t="s">
        <v>1499</v>
      </c>
      <c r="C48">
        <f>D49+D50</f>
        <v>400000</v>
      </c>
    </row>
    <row r="49" spans="1:15">
      <c r="A49" s="1520"/>
      <c r="B49" s="1521" t="s">
        <v>3053</v>
      </c>
      <c r="D49">
        <v>328000</v>
      </c>
    </row>
    <row r="50" spans="1:15">
      <c r="A50" s="1520"/>
      <c r="B50" s="1521" t="s">
        <v>3054</v>
      </c>
      <c r="D50">
        <v>72000</v>
      </c>
    </row>
    <row r="51" spans="1:15">
      <c r="A51" s="254"/>
      <c r="B51" s="1518"/>
      <c r="C51" s="254"/>
    </row>
    <row r="52" spans="1:15">
      <c r="A52" s="254">
        <v>9</v>
      </c>
      <c r="B52" s="1518" t="s">
        <v>1303</v>
      </c>
      <c r="C52" s="254"/>
    </row>
    <row r="54" spans="1:15">
      <c r="B54" t="s">
        <v>3059</v>
      </c>
      <c r="C54" s="1513">
        <v>412000</v>
      </c>
    </row>
    <row r="55" spans="1:15">
      <c r="B55" t="s">
        <v>3060</v>
      </c>
      <c r="D55" s="1513">
        <v>412000</v>
      </c>
      <c r="M55" t="s">
        <v>3029</v>
      </c>
      <c r="N55" t="s">
        <v>3118</v>
      </c>
      <c r="O55" t="s">
        <v>3117</v>
      </c>
    </row>
    <row r="57" spans="1:15">
      <c r="A57" s="254">
        <v>10</v>
      </c>
      <c r="B57" s="254" t="s">
        <v>3061</v>
      </c>
    </row>
    <row r="59" spans="1:15">
      <c r="B59" s="1521" t="s">
        <v>3062</v>
      </c>
      <c r="C59" s="1523">
        <v>78862</v>
      </c>
    </row>
    <row r="60" spans="1:15">
      <c r="B60" s="1521" t="s">
        <v>3063</v>
      </c>
      <c r="C60" s="1523">
        <v>294347</v>
      </c>
    </row>
    <row r="61" spans="1:15">
      <c r="B61" t="s">
        <v>3064</v>
      </c>
      <c r="D61" s="100">
        <f>C59+C60</f>
        <v>373209</v>
      </c>
    </row>
    <row r="64" spans="1:15">
      <c r="A64" s="254">
        <v>11</v>
      </c>
      <c r="B64" s="254" t="s">
        <v>3065</v>
      </c>
    </row>
    <row r="66" spans="1:4">
      <c r="B66" t="s">
        <v>3066</v>
      </c>
      <c r="C66" s="1513">
        <v>5000000</v>
      </c>
    </row>
    <row r="67" spans="1:4">
      <c r="B67" t="s">
        <v>0</v>
      </c>
      <c r="C67" s="1524">
        <v>30000000</v>
      </c>
    </row>
    <row r="69" spans="1:4">
      <c r="A69" s="254">
        <v>12</v>
      </c>
      <c r="B69" s="254" t="s">
        <v>3067</v>
      </c>
    </row>
    <row r="71" spans="1:4">
      <c r="B71" t="s">
        <v>3068</v>
      </c>
      <c r="C71">
        <v>873749.90254727413</v>
      </c>
    </row>
    <row r="72" spans="1:4">
      <c r="B72" t="s">
        <v>3070</v>
      </c>
      <c r="D72">
        <f>C71</f>
        <v>873749.90254727413</v>
      </c>
    </row>
    <row r="74" spans="1:4">
      <c r="A74" s="254">
        <v>13</v>
      </c>
      <c r="B74" s="254" t="s">
        <v>3027</v>
      </c>
    </row>
    <row r="76" spans="1:4">
      <c r="B76" t="s">
        <v>3069</v>
      </c>
      <c r="C76">
        <f>D78+D77</f>
        <v>36750</v>
      </c>
    </row>
    <row r="77" spans="1:4">
      <c r="B77" t="s">
        <v>3071</v>
      </c>
      <c r="D77">
        <f>D78*5%</f>
        <v>1750</v>
      </c>
    </row>
    <row r="78" spans="1:4">
      <c r="B78" t="s">
        <v>3072</v>
      </c>
      <c r="D78">
        <v>35000</v>
      </c>
    </row>
    <row r="80" spans="1:4">
      <c r="A80">
        <v>14</v>
      </c>
      <c r="B80" s="254" t="s">
        <v>3161</v>
      </c>
    </row>
    <row r="82" spans="1:4">
      <c r="B82" t="s">
        <v>3162</v>
      </c>
      <c r="C82">
        <v>58356</v>
      </c>
    </row>
    <row r="83" spans="1:4">
      <c r="B83" t="s">
        <v>3163</v>
      </c>
      <c r="D83">
        <v>58356</v>
      </c>
    </row>
    <row r="85" spans="1:4">
      <c r="B85" t="s">
        <v>3166</v>
      </c>
    </row>
    <row r="87" spans="1:4">
      <c r="A87">
        <v>15</v>
      </c>
      <c r="B87" s="254" t="s">
        <v>3175</v>
      </c>
    </row>
    <row r="89" spans="1:4">
      <c r="B89" t="s">
        <v>3177</v>
      </c>
      <c r="C89">
        <f>+'Sundry Creditor'!C24+'Sundry Creditor'!C42</f>
        <v>632473.93000000005</v>
      </c>
    </row>
    <row r="90" spans="1:4">
      <c r="B90" t="s">
        <v>3178</v>
      </c>
      <c r="D90">
        <f>C89</f>
        <v>632473.93000000005</v>
      </c>
    </row>
    <row r="93" spans="1:4">
      <c r="A93" s="714">
        <v>16</v>
      </c>
      <c r="B93" s="714" t="s">
        <v>3194</v>
      </c>
    </row>
    <row r="95" spans="1:4">
      <c r="B95" t="s">
        <v>3199</v>
      </c>
      <c r="C95">
        <v>83638</v>
      </c>
    </row>
    <row r="96" spans="1:4">
      <c r="B96" t="s">
        <v>3200</v>
      </c>
      <c r="D96">
        <v>83638</v>
      </c>
    </row>
    <row r="98" spans="1:4">
      <c r="A98">
        <v>17</v>
      </c>
      <c r="B98" t="s">
        <v>2956</v>
      </c>
    </row>
    <row r="99" spans="1:4">
      <c r="A99" t="s">
        <v>3206</v>
      </c>
      <c r="B99" t="s">
        <v>3204</v>
      </c>
      <c r="C99">
        <f>I14</f>
        <v>363483.19616213464</v>
      </c>
    </row>
    <row r="100" spans="1:4">
      <c r="B100" t="s">
        <v>3202</v>
      </c>
      <c r="D100" s="219" t="e">
        <f>PL!G40</f>
        <v>#REF!</v>
      </c>
    </row>
    <row r="101" spans="1:4">
      <c r="B101" t="s">
        <v>3203</v>
      </c>
      <c r="D101">
        <f>G10-D11</f>
        <v>-6664541.0325077828</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2:I755"/>
  <sheetViews>
    <sheetView workbookViewId="0">
      <selection activeCell="E381" sqref="E381"/>
    </sheetView>
  </sheetViews>
  <sheetFormatPr defaultColWidth="9.44140625" defaultRowHeight="14.4"/>
  <cols>
    <col min="1" max="1" width="54.44140625" bestFit="1" customWidth="1"/>
    <col min="2" max="2" width="15.44140625" bestFit="1" customWidth="1"/>
    <col min="3" max="4" width="14.44140625" bestFit="1" customWidth="1"/>
    <col min="5" max="5" width="15.44140625" bestFit="1" customWidth="1"/>
    <col min="6" max="6" width="29.44140625" bestFit="1" customWidth="1"/>
    <col min="7" max="7" width="16.5546875" bestFit="1" customWidth="1"/>
    <col min="8" max="8" width="43.44140625" customWidth="1"/>
    <col min="9" max="9" width="33.44140625" customWidth="1"/>
  </cols>
  <sheetData>
    <row r="2" spans="1:7" ht="15.6">
      <c r="A2" s="3293" t="s">
        <v>2364</v>
      </c>
      <c r="B2" s="3293"/>
      <c r="C2" s="3293"/>
      <c r="D2" s="826"/>
      <c r="E2" s="826"/>
      <c r="F2" s="714"/>
      <c r="G2" s="714"/>
    </row>
    <row r="3" spans="1:7" ht="15.6">
      <c r="A3" s="3293" t="s">
        <v>81</v>
      </c>
      <c r="B3" s="3293"/>
      <c r="C3" s="3293"/>
      <c r="D3" s="826"/>
      <c r="E3" s="826"/>
      <c r="F3" s="714"/>
      <c r="G3" s="714"/>
    </row>
    <row r="4" spans="1:7">
      <c r="A4" s="3294" t="s">
        <v>2177</v>
      </c>
      <c r="B4" s="3294"/>
      <c r="C4" s="3294"/>
      <c r="D4" s="826"/>
      <c r="E4" s="826"/>
      <c r="F4" s="714"/>
      <c r="G4" s="714"/>
    </row>
    <row r="5" spans="1:7">
      <c r="A5" s="3295" t="s">
        <v>82</v>
      </c>
      <c r="B5" s="3295"/>
      <c r="C5" s="3295"/>
      <c r="D5" s="3295"/>
      <c r="E5" s="3295"/>
      <c r="F5" s="714"/>
      <c r="G5" s="714"/>
    </row>
    <row r="6" spans="1:7">
      <c r="A6" s="3296" t="s">
        <v>1</v>
      </c>
      <c r="B6" s="3297"/>
      <c r="C6" s="3297"/>
      <c r="D6" s="3297"/>
      <c r="E6" s="3297"/>
      <c r="F6" s="714"/>
      <c r="G6" s="714"/>
    </row>
    <row r="7" spans="1:7">
      <c r="A7" s="3298" t="s">
        <v>82</v>
      </c>
      <c r="B7" s="3299"/>
      <c r="C7" s="3299"/>
      <c r="D7" s="3300"/>
      <c r="E7" s="827" t="s">
        <v>1333</v>
      </c>
      <c r="F7" s="714"/>
      <c r="G7" s="714"/>
    </row>
    <row r="8" spans="1:7">
      <c r="A8" s="3282" t="s">
        <v>82</v>
      </c>
      <c r="B8" s="3283"/>
      <c r="C8" s="3284"/>
      <c r="D8" s="828" t="s">
        <v>67</v>
      </c>
      <c r="E8" s="829" t="s">
        <v>1196</v>
      </c>
      <c r="F8" s="714"/>
      <c r="G8" s="714"/>
    </row>
    <row r="9" spans="1:7">
      <c r="A9" s="830" t="s">
        <v>84</v>
      </c>
      <c r="B9" s="3285">
        <v>7147460</v>
      </c>
      <c r="C9" s="3286"/>
      <c r="D9" s="3286"/>
      <c r="E9" s="3287"/>
      <c r="F9" s="714"/>
      <c r="G9" s="714"/>
    </row>
    <row r="10" spans="1:7">
      <c r="A10" s="831" t="s">
        <v>85</v>
      </c>
      <c r="B10" s="3288">
        <v>7147460</v>
      </c>
      <c r="C10" s="3289"/>
      <c r="D10" s="3289"/>
      <c r="E10" s="3290"/>
      <c r="F10" s="714"/>
      <c r="G10" s="714"/>
    </row>
    <row r="11" spans="1:7">
      <c r="A11" s="832" t="s">
        <v>86</v>
      </c>
      <c r="B11" s="833">
        <v>15937156.25</v>
      </c>
      <c r="C11" s="3291">
        <v>208056154.09999999</v>
      </c>
      <c r="D11" s="3292"/>
      <c r="E11" s="834">
        <v>816738.1</v>
      </c>
      <c r="F11" s="714"/>
      <c r="G11" s="714"/>
    </row>
    <row r="12" spans="1:7">
      <c r="A12" s="835" t="s">
        <v>87</v>
      </c>
      <c r="B12" s="836"/>
      <c r="C12" s="837">
        <v>30000</v>
      </c>
      <c r="D12" s="838"/>
      <c r="E12" s="839">
        <v>30000</v>
      </c>
      <c r="F12" s="714"/>
      <c r="G12" s="714"/>
    </row>
    <row r="13" spans="1:7">
      <c r="A13" s="840" t="s">
        <v>2365</v>
      </c>
      <c r="B13" s="841"/>
      <c r="C13" s="842">
        <v>30000</v>
      </c>
      <c r="D13" s="843"/>
      <c r="E13" s="844">
        <v>30000</v>
      </c>
      <c r="F13" s="714"/>
      <c r="G13" s="714"/>
    </row>
    <row r="14" spans="1:7">
      <c r="A14" s="845" t="s">
        <v>89</v>
      </c>
      <c r="B14" s="846">
        <v>7151174.1100000003</v>
      </c>
      <c r="C14" s="847">
        <v>178119328.09999999</v>
      </c>
      <c r="D14" s="847">
        <v>172104736.75</v>
      </c>
      <c r="E14" s="848">
        <f>B14-C14+D14</f>
        <v>1136582.7600000203</v>
      </c>
      <c r="F14" s="849"/>
      <c r="G14" s="849"/>
    </row>
    <row r="15" spans="1:7">
      <c r="A15" s="850" t="s">
        <v>946</v>
      </c>
      <c r="B15" s="846">
        <v>3593445.93</v>
      </c>
      <c r="C15" s="842">
        <v>44365684</v>
      </c>
      <c r="D15" s="842">
        <v>47283340</v>
      </c>
      <c r="E15" s="846">
        <v>6511101.9299999997</v>
      </c>
      <c r="F15" s="714"/>
      <c r="G15" s="714"/>
    </row>
    <row r="16" spans="1:7">
      <c r="A16" s="851" t="s">
        <v>557</v>
      </c>
      <c r="B16" s="852">
        <v>938288.93</v>
      </c>
      <c r="C16" s="853">
        <v>525000</v>
      </c>
      <c r="D16" s="853">
        <v>562000</v>
      </c>
      <c r="E16" s="852">
        <v>975288.93</v>
      </c>
      <c r="F16" s="714" t="s">
        <v>2425</v>
      </c>
      <c r="G16" s="714"/>
    </row>
    <row r="17" spans="1:9">
      <c r="A17" s="969" t="s">
        <v>2210</v>
      </c>
      <c r="B17" s="970"/>
      <c r="C17" s="971">
        <v>83200</v>
      </c>
      <c r="D17" s="971">
        <v>83200</v>
      </c>
      <c r="E17" s="854"/>
      <c r="F17" s="714"/>
      <c r="G17" s="732"/>
    </row>
    <row r="18" spans="1:9" ht="16.2">
      <c r="A18" s="855" t="s">
        <v>2211</v>
      </c>
      <c r="B18" s="856"/>
      <c r="C18" s="857">
        <v>297450</v>
      </c>
      <c r="D18" s="857">
        <v>295175</v>
      </c>
      <c r="E18" s="858">
        <v>2275</v>
      </c>
      <c r="F18" s="732" t="s">
        <v>2437</v>
      </c>
      <c r="G18" s="732"/>
      <c r="H18" s="222"/>
      <c r="I18" s="254"/>
    </row>
    <row r="19" spans="1:9">
      <c r="A19" s="972" t="s">
        <v>1889</v>
      </c>
      <c r="B19" s="973">
        <v>12154</v>
      </c>
      <c r="C19" s="971">
        <v>215141</v>
      </c>
      <c r="D19" s="971">
        <v>202987</v>
      </c>
      <c r="E19" s="854"/>
      <c r="F19" s="714"/>
      <c r="G19" s="732"/>
      <c r="I19" s="515"/>
    </row>
    <row r="20" spans="1:9">
      <c r="A20" s="974" t="s">
        <v>1294</v>
      </c>
      <c r="B20" s="973">
        <v>8000</v>
      </c>
      <c r="C20" s="971">
        <v>8000</v>
      </c>
      <c r="D20" s="975"/>
      <c r="E20" s="854"/>
      <c r="F20" s="714"/>
      <c r="G20" s="732"/>
    </row>
    <row r="21" spans="1:9" ht="16.2">
      <c r="A21" s="851" t="s">
        <v>1890</v>
      </c>
      <c r="B21" s="856"/>
      <c r="C21" s="857">
        <v>663248</v>
      </c>
      <c r="D21" s="857">
        <v>488248</v>
      </c>
      <c r="E21" s="858">
        <v>175000</v>
      </c>
      <c r="F21" s="732" t="s">
        <v>2437</v>
      </c>
      <c r="G21" s="732"/>
      <c r="H21" s="222"/>
      <c r="I21" s="254"/>
    </row>
    <row r="22" spans="1:9">
      <c r="A22" s="972" t="s">
        <v>1891</v>
      </c>
      <c r="B22" s="970"/>
      <c r="C22" s="971">
        <v>28945</v>
      </c>
      <c r="D22" s="971">
        <v>28945</v>
      </c>
      <c r="E22" s="854"/>
      <c r="F22" s="714"/>
      <c r="G22" s="732"/>
    </row>
    <row r="23" spans="1:9" ht="16.2">
      <c r="A23" s="851" t="s">
        <v>1892</v>
      </c>
      <c r="B23" s="859">
        <v>500045</v>
      </c>
      <c r="C23" s="853">
        <v>737726</v>
      </c>
      <c r="D23" s="853">
        <v>1230705</v>
      </c>
      <c r="E23" s="859">
        <v>7066</v>
      </c>
      <c r="F23" s="732" t="s">
        <v>2437</v>
      </c>
      <c r="G23" s="732"/>
      <c r="H23" s="222"/>
      <c r="I23" s="254"/>
    </row>
    <row r="24" spans="1:9">
      <c r="A24" s="972" t="s">
        <v>1670</v>
      </c>
      <c r="B24" s="976"/>
      <c r="C24" s="977">
        <v>37800</v>
      </c>
      <c r="D24" s="977">
        <v>37800</v>
      </c>
      <c r="E24" s="860"/>
      <c r="F24" s="714"/>
      <c r="G24" s="732"/>
    </row>
    <row r="25" spans="1:9">
      <c r="A25" s="851" t="s">
        <v>969</v>
      </c>
      <c r="B25" s="861">
        <v>144197</v>
      </c>
      <c r="C25" s="857">
        <v>234633</v>
      </c>
      <c r="D25" s="857">
        <v>319468</v>
      </c>
      <c r="E25" s="861">
        <v>229032</v>
      </c>
      <c r="F25" s="714" t="s">
        <v>2430</v>
      </c>
      <c r="G25" s="861"/>
    </row>
    <row r="26" spans="1:9">
      <c r="A26" s="851" t="s">
        <v>1381</v>
      </c>
      <c r="B26" s="861">
        <v>3845</v>
      </c>
      <c r="C26" s="857">
        <v>28650</v>
      </c>
      <c r="D26" s="857">
        <v>28650</v>
      </c>
      <c r="E26" s="861">
        <v>3845</v>
      </c>
      <c r="F26" s="714" t="s">
        <v>2430</v>
      </c>
      <c r="G26" s="714"/>
    </row>
    <row r="27" spans="1:9">
      <c r="A27" s="851" t="s">
        <v>1893</v>
      </c>
      <c r="B27" s="862">
        <v>100000</v>
      </c>
      <c r="C27" s="842">
        <v>770920</v>
      </c>
      <c r="D27" s="842">
        <v>1149320</v>
      </c>
      <c r="E27" s="846">
        <v>278400</v>
      </c>
      <c r="F27" s="714" t="s">
        <v>2430</v>
      </c>
      <c r="G27" s="732"/>
      <c r="H27" s="254"/>
      <c r="I27" s="254"/>
    </row>
    <row r="28" spans="1:9" ht="16.2">
      <c r="A28" s="850" t="s">
        <v>563</v>
      </c>
      <c r="B28" s="861">
        <v>21700</v>
      </c>
      <c r="C28" s="857">
        <v>158200</v>
      </c>
      <c r="D28" s="857">
        <v>60000</v>
      </c>
      <c r="E28" s="858">
        <v>76500</v>
      </c>
      <c r="F28" s="732" t="s">
        <v>2437</v>
      </c>
      <c r="G28" s="732"/>
      <c r="H28" s="222"/>
      <c r="I28" s="254"/>
    </row>
    <row r="29" spans="1:9">
      <c r="A29" s="972" t="s">
        <v>1894</v>
      </c>
      <c r="B29" s="970"/>
      <c r="C29" s="971">
        <v>6000</v>
      </c>
      <c r="D29" s="971">
        <v>6000</v>
      </c>
      <c r="E29" s="854"/>
      <c r="F29" s="714"/>
      <c r="G29" s="732"/>
    </row>
    <row r="30" spans="1:9">
      <c r="A30" s="851" t="s">
        <v>1292</v>
      </c>
      <c r="B30" s="858">
        <v>525000</v>
      </c>
      <c r="C30" s="856"/>
      <c r="D30" s="856"/>
      <c r="E30" s="858">
        <v>525000</v>
      </c>
      <c r="F30" s="732" t="s">
        <v>2437</v>
      </c>
      <c r="G30" s="714"/>
    </row>
    <row r="31" spans="1:9">
      <c r="A31" s="855" t="s">
        <v>564</v>
      </c>
      <c r="B31" s="861">
        <v>300647</v>
      </c>
      <c r="C31" s="857">
        <v>3560790</v>
      </c>
      <c r="D31" s="857">
        <v>3780000</v>
      </c>
      <c r="E31" s="861">
        <v>519857</v>
      </c>
      <c r="F31" s="714" t="s">
        <v>2426</v>
      </c>
      <c r="G31" s="714"/>
    </row>
    <row r="32" spans="1:9">
      <c r="A32" s="972" t="s">
        <v>1896</v>
      </c>
      <c r="B32" s="970"/>
      <c r="C32" s="971">
        <v>21503</v>
      </c>
      <c r="D32" s="971">
        <v>21503</v>
      </c>
      <c r="E32" s="854"/>
      <c r="F32" s="714"/>
      <c r="G32" s="732"/>
    </row>
    <row r="33" spans="1:9">
      <c r="A33" s="840" t="s">
        <v>565</v>
      </c>
      <c r="B33" s="861">
        <v>393093</v>
      </c>
      <c r="C33" s="857">
        <v>4572483</v>
      </c>
      <c r="D33" s="857">
        <v>4558076</v>
      </c>
      <c r="E33" s="861">
        <v>378686</v>
      </c>
      <c r="F33" s="714" t="s">
        <v>2427</v>
      </c>
      <c r="G33" s="714"/>
    </row>
    <row r="34" spans="1:9">
      <c r="A34" s="972" t="s">
        <v>2213</v>
      </c>
      <c r="B34" s="970"/>
      <c r="C34" s="971">
        <v>664627</v>
      </c>
      <c r="D34" s="971">
        <v>664627</v>
      </c>
      <c r="E34" s="854"/>
      <c r="F34" s="714"/>
      <c r="G34" s="732"/>
    </row>
    <row r="35" spans="1:9">
      <c r="A35" s="840" t="s">
        <v>566</v>
      </c>
      <c r="B35" s="861">
        <v>9924</v>
      </c>
      <c r="C35" s="857">
        <v>59153</v>
      </c>
      <c r="D35" s="857">
        <v>62043</v>
      </c>
      <c r="E35" s="861">
        <v>12814</v>
      </c>
      <c r="F35" s="714" t="s">
        <v>2430</v>
      </c>
      <c r="G35" s="714"/>
    </row>
    <row r="36" spans="1:9">
      <c r="A36" s="840" t="s">
        <v>567</v>
      </c>
      <c r="B36" s="852">
        <v>107343</v>
      </c>
      <c r="C36" s="853">
        <v>627815</v>
      </c>
      <c r="D36" s="853">
        <v>628164</v>
      </c>
      <c r="E36" s="852">
        <v>107692</v>
      </c>
      <c r="F36" s="714" t="s">
        <v>2428</v>
      </c>
      <c r="G36" s="714"/>
    </row>
    <row r="37" spans="1:9">
      <c r="A37" s="972" t="s">
        <v>1897</v>
      </c>
      <c r="B37" s="970"/>
      <c r="C37" s="971">
        <v>24802</v>
      </c>
      <c r="D37" s="971">
        <v>24802</v>
      </c>
      <c r="E37" s="854"/>
      <c r="F37" s="714"/>
      <c r="G37" s="732"/>
    </row>
    <row r="38" spans="1:9">
      <c r="A38" s="851" t="s">
        <v>569</v>
      </c>
      <c r="B38" s="861">
        <v>2196990</v>
      </c>
      <c r="C38" s="857">
        <v>29182871</v>
      </c>
      <c r="D38" s="857">
        <v>31443369</v>
      </c>
      <c r="E38" s="861">
        <v>4457488</v>
      </c>
      <c r="F38" s="714" t="s">
        <v>2426</v>
      </c>
      <c r="G38" s="714"/>
    </row>
    <row r="39" spans="1:9">
      <c r="A39" s="972" t="s">
        <v>2214</v>
      </c>
      <c r="B39" s="970"/>
      <c r="C39" s="971">
        <v>12000</v>
      </c>
      <c r="D39" s="971">
        <v>12000</v>
      </c>
      <c r="E39" s="854"/>
      <c r="F39" s="714"/>
      <c r="G39" s="732"/>
    </row>
    <row r="40" spans="1:9">
      <c r="A40" s="851" t="s">
        <v>1383</v>
      </c>
      <c r="B40" s="861">
        <v>40260</v>
      </c>
      <c r="C40" s="857">
        <v>82760</v>
      </c>
      <c r="D40" s="857">
        <v>55905</v>
      </c>
      <c r="E40" s="861">
        <v>13405</v>
      </c>
      <c r="F40" s="714" t="s">
        <v>2430</v>
      </c>
      <c r="G40" s="714"/>
    </row>
    <row r="41" spans="1:9">
      <c r="A41" s="969" t="s">
        <v>1901</v>
      </c>
      <c r="B41" s="976"/>
      <c r="C41" s="977">
        <v>109500</v>
      </c>
      <c r="D41" s="977">
        <v>109500</v>
      </c>
      <c r="E41" s="860"/>
      <c r="F41" s="714"/>
      <c r="G41" s="714"/>
    </row>
    <row r="42" spans="1:9" s="249" customFormat="1" ht="16.2">
      <c r="A42" s="1000" t="s">
        <v>2215</v>
      </c>
      <c r="B42" s="1001"/>
      <c r="C42" s="1002">
        <v>10000</v>
      </c>
      <c r="D42" s="1003"/>
      <c r="E42" s="998">
        <v>10000</v>
      </c>
      <c r="F42" s="1004" t="s">
        <v>2437</v>
      </c>
      <c r="G42" s="1004"/>
      <c r="H42" s="1005">
        <f>E18+E21+E23+E28+E30+E42+E359</f>
        <v>2514616</v>
      </c>
      <c r="I42" s="1006"/>
    </row>
    <row r="43" spans="1:9">
      <c r="A43" s="969" t="s">
        <v>573</v>
      </c>
      <c r="B43" s="970"/>
      <c r="C43" s="971">
        <v>21476</v>
      </c>
      <c r="D43" s="971">
        <v>21476</v>
      </c>
      <c r="E43" s="854"/>
      <c r="F43" s="714"/>
      <c r="G43" s="714"/>
    </row>
    <row r="44" spans="1:9">
      <c r="A44" s="840" t="s">
        <v>68</v>
      </c>
      <c r="B44" s="852">
        <v>542049</v>
      </c>
      <c r="C44" s="853">
        <v>1620991</v>
      </c>
      <c r="D44" s="853">
        <v>1409377</v>
      </c>
      <c r="E44" s="852">
        <v>330435</v>
      </c>
      <c r="F44" s="714" t="s">
        <v>2429</v>
      </c>
      <c r="G44" s="714"/>
    </row>
    <row r="45" spans="1:9">
      <c r="A45" s="865" t="s">
        <v>90</v>
      </c>
      <c r="B45" s="866">
        <v>2922093.65</v>
      </c>
      <c r="C45" s="867">
        <v>50962737.399999999</v>
      </c>
      <c r="D45" s="867">
        <v>49837032.75</v>
      </c>
      <c r="E45" s="866">
        <v>1796389</v>
      </c>
      <c r="F45" s="714" t="s">
        <v>2423</v>
      </c>
      <c r="G45" s="868"/>
    </row>
    <row r="46" spans="1:9">
      <c r="A46" s="851" t="s">
        <v>2224</v>
      </c>
      <c r="B46" s="863"/>
      <c r="C46" s="853">
        <v>86140</v>
      </c>
      <c r="D46" s="864"/>
      <c r="E46" s="869">
        <v>86140</v>
      </c>
      <c r="F46" s="732" t="s">
        <v>2436</v>
      </c>
      <c r="G46" s="870">
        <f>E46+E60+E62+E67+E85+E87+E92+E97+E101+E107+E108+E110+E112+E113+E124+E125+E126+E127+E135+E140+E144+E145+E146+E148+E152+E155+E161+E163+E172+E175+E184+E185</f>
        <v>2588909.6</v>
      </c>
      <c r="H46" s="254"/>
      <c r="I46" s="254"/>
    </row>
    <row r="47" spans="1:9">
      <c r="A47" s="974" t="s">
        <v>2225</v>
      </c>
      <c r="B47" s="970"/>
      <c r="C47" s="971">
        <v>96900</v>
      </c>
      <c r="D47" s="971">
        <v>96900</v>
      </c>
      <c r="E47" s="854"/>
      <c r="F47" s="714"/>
      <c r="G47" s="714"/>
    </row>
    <row r="48" spans="1:9">
      <c r="A48" s="851" t="s">
        <v>1289</v>
      </c>
      <c r="B48" s="852">
        <v>79379</v>
      </c>
      <c r="C48" s="853">
        <v>249823</v>
      </c>
      <c r="D48" s="853">
        <v>206134.75</v>
      </c>
      <c r="E48" s="852">
        <v>35690.75</v>
      </c>
      <c r="F48" s="714" t="s">
        <v>2423</v>
      </c>
      <c r="G48" s="849">
        <f>E48+E54+E57+E59+E63+E64+E65+E69+E71+E73+E79+E82+E88+E89+E98+E99+E114+E115+E118+E119+E122+E123+E128+E129+E131+E133+E136+E147+E151+E157+E158+E160+E162+E164+E171+E174+E177+E178+E179+E182</f>
        <v>4385300.5999999996</v>
      </c>
    </row>
    <row r="49" spans="1:9">
      <c r="A49" s="974" t="s">
        <v>2226</v>
      </c>
      <c r="B49" s="970"/>
      <c r="C49" s="971">
        <v>274350</v>
      </c>
      <c r="D49" s="971">
        <v>274350</v>
      </c>
      <c r="E49" s="854"/>
      <c r="F49" s="714"/>
      <c r="G49" s="714"/>
    </row>
    <row r="50" spans="1:9">
      <c r="A50" s="972" t="s">
        <v>1385</v>
      </c>
      <c r="B50" s="973">
        <v>74222</v>
      </c>
      <c r="C50" s="971">
        <v>135287</v>
      </c>
      <c r="D50" s="971">
        <v>61065</v>
      </c>
      <c r="E50" s="854"/>
      <c r="F50" s="714"/>
      <c r="G50" s="714"/>
    </row>
    <row r="51" spans="1:9">
      <c r="A51" s="972" t="s">
        <v>2227</v>
      </c>
      <c r="B51" s="970"/>
      <c r="C51" s="971">
        <v>3800</v>
      </c>
      <c r="D51" s="971">
        <v>3800</v>
      </c>
      <c r="E51" s="854"/>
      <c r="F51" s="714"/>
      <c r="G51" s="714"/>
    </row>
    <row r="52" spans="1:9">
      <c r="A52" s="969" t="s">
        <v>2228</v>
      </c>
      <c r="B52" s="976"/>
      <c r="C52" s="977">
        <v>123310</v>
      </c>
      <c r="D52" s="977">
        <v>123310</v>
      </c>
      <c r="E52" s="860"/>
      <c r="F52" s="714"/>
      <c r="G52" s="714"/>
    </row>
    <row r="53" spans="1:9">
      <c r="A53" s="972" t="s">
        <v>2229</v>
      </c>
      <c r="B53" s="970"/>
      <c r="C53" s="971">
        <v>63060</v>
      </c>
      <c r="D53" s="971">
        <v>63060</v>
      </c>
      <c r="E53" s="854"/>
      <c r="F53" s="714"/>
      <c r="G53" s="714"/>
    </row>
    <row r="54" spans="1:9">
      <c r="A54" s="840" t="s">
        <v>1906</v>
      </c>
      <c r="B54" s="863"/>
      <c r="C54" s="853">
        <v>2246530</v>
      </c>
      <c r="D54" s="853">
        <v>2251657</v>
      </c>
      <c r="E54" s="852">
        <v>5127</v>
      </c>
      <c r="F54" s="714" t="s">
        <v>2423</v>
      </c>
      <c r="G54" s="732"/>
      <c r="H54" s="254"/>
      <c r="I54" s="254"/>
    </row>
    <row r="55" spans="1:9">
      <c r="A55" s="972" t="s">
        <v>1907</v>
      </c>
      <c r="B55" s="978">
        <v>240000</v>
      </c>
      <c r="C55" s="977">
        <v>242903</v>
      </c>
      <c r="D55" s="977">
        <v>482903</v>
      </c>
      <c r="E55" s="860"/>
      <c r="F55" s="714"/>
      <c r="G55" s="714"/>
    </row>
    <row r="56" spans="1:9">
      <c r="A56" s="972" t="s">
        <v>1909</v>
      </c>
      <c r="B56" s="970"/>
      <c r="C56" s="971">
        <v>80073</v>
      </c>
      <c r="D56" s="971">
        <v>80073</v>
      </c>
      <c r="E56" s="854"/>
      <c r="F56" s="714"/>
      <c r="G56" s="714"/>
    </row>
    <row r="57" spans="1:9">
      <c r="A57" s="840" t="s">
        <v>2230</v>
      </c>
      <c r="B57" s="863"/>
      <c r="C57" s="853">
        <v>738759.8</v>
      </c>
      <c r="D57" s="853">
        <v>769405.8</v>
      </c>
      <c r="E57" s="852">
        <v>30646</v>
      </c>
      <c r="F57" s="714" t="s">
        <v>2423</v>
      </c>
      <c r="G57" s="732"/>
      <c r="H57" s="254"/>
      <c r="I57" s="254"/>
    </row>
    <row r="58" spans="1:9">
      <c r="A58" s="969" t="s">
        <v>1910</v>
      </c>
      <c r="B58" s="978">
        <v>9399</v>
      </c>
      <c r="C58" s="976"/>
      <c r="D58" s="977">
        <v>9399</v>
      </c>
      <c r="E58" s="860"/>
      <c r="F58" s="714"/>
      <c r="G58" s="714"/>
    </row>
    <row r="59" spans="1:9">
      <c r="A59" s="851" t="s">
        <v>2231</v>
      </c>
      <c r="B59" s="863"/>
      <c r="C59" s="853">
        <v>6233137</v>
      </c>
      <c r="D59" s="853">
        <v>6295114</v>
      </c>
      <c r="E59" s="852">
        <v>61977</v>
      </c>
      <c r="F59" s="714" t="s">
        <v>2423</v>
      </c>
      <c r="G59" s="732"/>
      <c r="H59" s="254"/>
      <c r="I59" s="254"/>
    </row>
    <row r="60" spans="1:9">
      <c r="A60" s="851" t="s">
        <v>1911</v>
      </c>
      <c r="B60" s="859">
        <v>7727</v>
      </c>
      <c r="C60" s="864"/>
      <c r="D60" s="864"/>
      <c r="E60" s="869">
        <v>7727</v>
      </c>
      <c r="F60" s="732" t="s">
        <v>2436</v>
      </c>
      <c r="G60" s="714"/>
    </row>
    <row r="61" spans="1:9">
      <c r="A61" s="969" t="s">
        <v>2232</v>
      </c>
      <c r="B61" s="976"/>
      <c r="C61" s="977">
        <v>36000</v>
      </c>
      <c r="D61" s="977">
        <v>36000</v>
      </c>
      <c r="E61" s="860"/>
      <c r="F61" s="714"/>
      <c r="G61" s="714"/>
    </row>
    <row r="62" spans="1:9">
      <c r="A62" s="851" t="s">
        <v>2233</v>
      </c>
      <c r="B62" s="863"/>
      <c r="C62" s="853">
        <v>2970</v>
      </c>
      <c r="D62" s="864"/>
      <c r="E62" s="869">
        <v>2970</v>
      </c>
      <c r="F62" s="732" t="s">
        <v>2436</v>
      </c>
      <c r="G62" s="732"/>
      <c r="H62" s="254"/>
      <c r="I62" s="254"/>
    </row>
    <row r="63" spans="1:9">
      <c r="A63" s="851" t="s">
        <v>2234</v>
      </c>
      <c r="B63" s="863"/>
      <c r="C63" s="864"/>
      <c r="D63" s="853">
        <v>10030</v>
      </c>
      <c r="E63" s="852">
        <v>10030</v>
      </c>
      <c r="F63" s="714" t="s">
        <v>2423</v>
      </c>
      <c r="G63" s="732"/>
      <c r="H63" s="254"/>
      <c r="I63" s="254"/>
    </row>
    <row r="64" spans="1:9">
      <c r="A64" s="851" t="s">
        <v>1390</v>
      </c>
      <c r="B64" s="852">
        <v>386073</v>
      </c>
      <c r="C64" s="853">
        <v>2927483</v>
      </c>
      <c r="D64" s="853">
        <v>2731160</v>
      </c>
      <c r="E64" s="852">
        <v>189750</v>
      </c>
      <c r="F64" s="714" t="s">
        <v>2423</v>
      </c>
      <c r="G64" s="714"/>
      <c r="H64" s="100">
        <f>E45+E186</f>
        <v>7903999.5700000003</v>
      </c>
    </row>
    <row r="65" spans="1:9">
      <c r="A65" s="851" t="s">
        <v>1391</v>
      </c>
      <c r="B65" s="852">
        <v>7610</v>
      </c>
      <c r="C65" s="853">
        <v>1756923</v>
      </c>
      <c r="D65" s="853">
        <v>2009932</v>
      </c>
      <c r="E65" s="852">
        <v>260619</v>
      </c>
      <c r="F65" s="714" t="s">
        <v>2423</v>
      </c>
      <c r="G65" s="714"/>
    </row>
    <row r="66" spans="1:9">
      <c r="A66" s="972" t="s">
        <v>2235</v>
      </c>
      <c r="B66" s="970"/>
      <c r="C66" s="971">
        <v>110690</v>
      </c>
      <c r="D66" s="971">
        <v>110690</v>
      </c>
      <c r="E66" s="854"/>
      <c r="F66" s="714"/>
      <c r="G66" s="714"/>
    </row>
    <row r="67" spans="1:9">
      <c r="A67" s="851" t="s">
        <v>1788</v>
      </c>
      <c r="B67" s="859">
        <v>37250</v>
      </c>
      <c r="C67" s="864"/>
      <c r="D67" s="864"/>
      <c r="E67" s="869">
        <v>37250</v>
      </c>
      <c r="F67" s="732" t="s">
        <v>2436</v>
      </c>
      <c r="G67" s="714"/>
    </row>
    <row r="68" spans="1:9">
      <c r="A68" s="972" t="s">
        <v>1912</v>
      </c>
      <c r="B68" s="973">
        <v>23128</v>
      </c>
      <c r="C68" s="971">
        <v>50386</v>
      </c>
      <c r="D68" s="971">
        <v>27258</v>
      </c>
      <c r="E68" s="854"/>
      <c r="F68" s="714"/>
      <c r="G68" s="714"/>
    </row>
    <row r="69" spans="1:9">
      <c r="A69" s="840" t="s">
        <v>1678</v>
      </c>
      <c r="B69" s="863"/>
      <c r="C69" s="853">
        <v>112164</v>
      </c>
      <c r="D69" s="853">
        <v>139895</v>
      </c>
      <c r="E69" s="852">
        <v>27731</v>
      </c>
      <c r="F69" s="714" t="s">
        <v>2423</v>
      </c>
      <c r="G69" s="732"/>
      <c r="H69" s="254"/>
      <c r="I69" s="254"/>
    </row>
    <row r="70" spans="1:9">
      <c r="A70" s="972" t="s">
        <v>1913</v>
      </c>
      <c r="B70" s="970"/>
      <c r="C70" s="971">
        <v>67200</v>
      </c>
      <c r="D70" s="971">
        <v>67200</v>
      </c>
      <c r="E70" s="854"/>
      <c r="F70" s="714"/>
      <c r="G70" s="714"/>
    </row>
    <row r="71" spans="1:9">
      <c r="A71" s="851" t="s">
        <v>578</v>
      </c>
      <c r="B71" s="852">
        <v>107676</v>
      </c>
      <c r="C71" s="863"/>
      <c r="D71" s="863"/>
      <c r="E71" s="852">
        <v>107676</v>
      </c>
      <c r="F71" s="714" t="s">
        <v>2423</v>
      </c>
      <c r="G71" s="714"/>
    </row>
    <row r="72" spans="1:9">
      <c r="A72" s="871" t="s">
        <v>1789</v>
      </c>
      <c r="B72" s="843"/>
      <c r="C72" s="872">
        <v>46039</v>
      </c>
      <c r="D72" s="872">
        <v>46039</v>
      </c>
      <c r="E72" s="843"/>
      <c r="F72" s="714"/>
      <c r="G72" s="714"/>
    </row>
    <row r="73" spans="1:9">
      <c r="A73" s="851" t="s">
        <v>1790</v>
      </c>
      <c r="B73" s="858">
        <v>31100</v>
      </c>
      <c r="C73" s="857">
        <v>1187700</v>
      </c>
      <c r="D73" s="857">
        <v>1524650</v>
      </c>
      <c r="E73" s="861">
        <v>305850</v>
      </c>
      <c r="F73" s="714" t="s">
        <v>2423</v>
      </c>
      <c r="G73" s="732"/>
      <c r="H73" s="254"/>
      <c r="I73" s="254"/>
    </row>
    <row r="74" spans="1:9">
      <c r="A74" s="972" t="s">
        <v>1791</v>
      </c>
      <c r="B74" s="970"/>
      <c r="C74" s="971">
        <v>75000</v>
      </c>
      <c r="D74" s="971">
        <v>75000</v>
      </c>
      <c r="E74" s="854"/>
      <c r="F74" s="714"/>
      <c r="G74" s="714"/>
    </row>
    <row r="75" spans="1:9">
      <c r="A75" s="972" t="s">
        <v>2236</v>
      </c>
      <c r="B75" s="970"/>
      <c r="C75" s="971">
        <v>51920</v>
      </c>
      <c r="D75" s="971">
        <v>51920</v>
      </c>
      <c r="E75" s="854"/>
      <c r="F75" s="714"/>
      <c r="G75" s="714"/>
    </row>
    <row r="76" spans="1:9">
      <c r="A76" s="972" t="s">
        <v>1915</v>
      </c>
      <c r="B76" s="970"/>
      <c r="C76" s="971">
        <v>327295</v>
      </c>
      <c r="D76" s="971">
        <v>327295</v>
      </c>
      <c r="E76" s="854"/>
      <c r="F76" s="714"/>
      <c r="G76" s="714"/>
    </row>
    <row r="77" spans="1:9">
      <c r="A77" s="972" t="s">
        <v>1679</v>
      </c>
      <c r="B77" s="979">
        <v>28642</v>
      </c>
      <c r="C77" s="971">
        <v>29202.6</v>
      </c>
      <c r="D77" s="971">
        <v>57844.6</v>
      </c>
      <c r="E77" s="854"/>
      <c r="F77" s="714"/>
      <c r="G77" s="714"/>
    </row>
    <row r="78" spans="1:9">
      <c r="A78" s="969" t="s">
        <v>1916</v>
      </c>
      <c r="B78" s="970"/>
      <c r="C78" s="971">
        <v>72240</v>
      </c>
      <c r="D78" s="971">
        <v>72240</v>
      </c>
      <c r="E78" s="854"/>
      <c r="F78" s="714"/>
      <c r="G78" s="714"/>
    </row>
    <row r="79" spans="1:9">
      <c r="A79" s="840" t="s">
        <v>579</v>
      </c>
      <c r="B79" s="852">
        <v>46263</v>
      </c>
      <c r="C79" s="853">
        <v>245379</v>
      </c>
      <c r="D79" s="853">
        <v>233235</v>
      </c>
      <c r="E79" s="852">
        <v>34119</v>
      </c>
      <c r="F79" s="714" t="s">
        <v>2423</v>
      </c>
      <c r="G79" s="714"/>
    </row>
    <row r="80" spans="1:9">
      <c r="A80" s="972" t="s">
        <v>580</v>
      </c>
      <c r="B80" s="970"/>
      <c r="C80" s="971">
        <v>20768</v>
      </c>
      <c r="D80" s="971">
        <v>20768</v>
      </c>
      <c r="E80" s="854"/>
      <c r="F80" s="714"/>
      <c r="G80" s="714"/>
    </row>
    <row r="81" spans="1:9">
      <c r="A81" s="871" t="s">
        <v>1917</v>
      </c>
      <c r="B81" s="846">
        <v>187186</v>
      </c>
      <c r="C81" s="872">
        <v>1954931</v>
      </c>
      <c r="D81" s="872">
        <v>1767745</v>
      </c>
      <c r="E81" s="843"/>
      <c r="F81" s="714"/>
      <c r="G81" s="714"/>
    </row>
    <row r="82" spans="1:9">
      <c r="A82" s="851" t="s">
        <v>1793</v>
      </c>
      <c r="B82" s="852">
        <v>81788</v>
      </c>
      <c r="C82" s="853">
        <v>25000</v>
      </c>
      <c r="D82" s="864"/>
      <c r="E82" s="852">
        <v>56788</v>
      </c>
      <c r="F82" s="714" t="s">
        <v>2423</v>
      </c>
      <c r="G82" s="714"/>
    </row>
    <row r="83" spans="1:9">
      <c r="A83" s="972" t="s">
        <v>581</v>
      </c>
      <c r="B83" s="970"/>
      <c r="C83" s="971">
        <v>31612</v>
      </c>
      <c r="D83" s="971">
        <v>31612</v>
      </c>
      <c r="E83" s="854"/>
      <c r="F83" s="714"/>
      <c r="G83" s="714"/>
    </row>
    <row r="84" spans="1:9">
      <c r="A84" s="972" t="s">
        <v>1395</v>
      </c>
      <c r="B84" s="970"/>
      <c r="C84" s="971">
        <v>50268</v>
      </c>
      <c r="D84" s="971">
        <v>50268</v>
      </c>
      <c r="E84" s="854"/>
      <c r="F84" s="714"/>
      <c r="G84" s="714"/>
    </row>
    <row r="85" spans="1:9">
      <c r="A85" s="840" t="s">
        <v>2237</v>
      </c>
      <c r="B85" s="863"/>
      <c r="C85" s="853">
        <v>147720</v>
      </c>
      <c r="D85" s="853">
        <v>132720</v>
      </c>
      <c r="E85" s="869">
        <v>15000</v>
      </c>
      <c r="F85" s="732" t="s">
        <v>2436</v>
      </c>
      <c r="G85" s="732"/>
      <c r="H85" s="254"/>
      <c r="I85" s="254"/>
    </row>
    <row r="86" spans="1:9">
      <c r="A86" s="972" t="s">
        <v>2238</v>
      </c>
      <c r="B86" s="970"/>
      <c r="C86" s="971">
        <v>27225</v>
      </c>
      <c r="D86" s="971">
        <v>27225</v>
      </c>
      <c r="E86" s="854"/>
      <c r="F86" s="714"/>
      <c r="G86" s="714"/>
    </row>
    <row r="87" spans="1:9">
      <c r="A87" s="840" t="s">
        <v>2239</v>
      </c>
      <c r="B87" s="863"/>
      <c r="C87" s="853">
        <v>2245429</v>
      </c>
      <c r="D87" s="853">
        <v>2230055</v>
      </c>
      <c r="E87" s="869">
        <v>15374</v>
      </c>
      <c r="F87" s="732" t="s">
        <v>2436</v>
      </c>
      <c r="G87" s="732"/>
      <c r="H87" s="254"/>
      <c r="I87" s="254"/>
    </row>
    <row r="88" spans="1:9">
      <c r="A88" s="840" t="s">
        <v>259</v>
      </c>
      <c r="B88" s="852">
        <v>754278.5</v>
      </c>
      <c r="C88" s="853">
        <v>1226877</v>
      </c>
      <c r="D88" s="853">
        <v>986049</v>
      </c>
      <c r="E88" s="852">
        <v>513450.5</v>
      </c>
      <c r="F88" s="714" t="s">
        <v>2423</v>
      </c>
      <c r="G88" s="714"/>
    </row>
    <row r="89" spans="1:9">
      <c r="A89" s="851" t="s">
        <v>1920</v>
      </c>
      <c r="B89" s="852">
        <v>300</v>
      </c>
      <c r="C89" s="864"/>
      <c r="D89" s="864"/>
      <c r="E89" s="852">
        <v>300</v>
      </c>
      <c r="F89" s="714" t="s">
        <v>2423</v>
      </c>
      <c r="G89" s="714"/>
    </row>
    <row r="90" spans="1:9">
      <c r="A90" s="969" t="s">
        <v>582</v>
      </c>
      <c r="B90" s="970"/>
      <c r="C90" s="971">
        <v>35400</v>
      </c>
      <c r="D90" s="971">
        <v>35400</v>
      </c>
      <c r="E90" s="854"/>
      <c r="F90" s="714"/>
      <c r="G90" s="714"/>
    </row>
    <row r="91" spans="1:9">
      <c r="A91" s="972" t="s">
        <v>2240</v>
      </c>
      <c r="B91" s="970"/>
      <c r="C91" s="971">
        <v>96996</v>
      </c>
      <c r="D91" s="971">
        <v>96996</v>
      </c>
      <c r="E91" s="854"/>
      <c r="F91" s="714"/>
      <c r="G91" s="714"/>
    </row>
    <row r="92" spans="1:9">
      <c r="A92" s="851" t="s">
        <v>2241</v>
      </c>
      <c r="B92" s="863"/>
      <c r="C92" s="853">
        <v>162250</v>
      </c>
      <c r="D92" s="853">
        <v>160303</v>
      </c>
      <c r="E92" s="869">
        <v>1947</v>
      </c>
      <c r="F92" s="732" t="s">
        <v>2436</v>
      </c>
      <c r="G92" s="732"/>
      <c r="H92" s="254"/>
      <c r="I92" s="254"/>
    </row>
    <row r="93" spans="1:9">
      <c r="A93" s="969" t="s">
        <v>1923</v>
      </c>
      <c r="B93" s="970"/>
      <c r="C93" s="971">
        <v>13200</v>
      </c>
      <c r="D93" s="971">
        <v>13200</v>
      </c>
      <c r="E93" s="854"/>
      <c r="F93" s="714"/>
      <c r="G93" s="714"/>
    </row>
    <row r="94" spans="1:9">
      <c r="A94" s="969" t="s">
        <v>2242</v>
      </c>
      <c r="B94" s="970"/>
      <c r="C94" s="971">
        <v>78192</v>
      </c>
      <c r="D94" s="971">
        <v>78192</v>
      </c>
      <c r="E94" s="854"/>
      <c r="F94" s="714"/>
      <c r="G94" s="714"/>
    </row>
    <row r="95" spans="1:9">
      <c r="A95" s="972" t="s">
        <v>1925</v>
      </c>
      <c r="B95" s="970"/>
      <c r="C95" s="971">
        <v>9440</v>
      </c>
      <c r="D95" s="971">
        <v>9440</v>
      </c>
      <c r="E95" s="854"/>
      <c r="F95" s="714"/>
      <c r="G95" s="714"/>
    </row>
    <row r="96" spans="1:9">
      <c r="A96" s="972" t="s">
        <v>2243</v>
      </c>
      <c r="B96" s="970"/>
      <c r="C96" s="971">
        <v>311762</v>
      </c>
      <c r="D96" s="971">
        <v>311762</v>
      </c>
      <c r="E96" s="854"/>
      <c r="F96" s="714"/>
      <c r="G96" s="714"/>
    </row>
    <row r="97" spans="1:9">
      <c r="A97" s="851" t="s">
        <v>2244</v>
      </c>
      <c r="B97" s="863"/>
      <c r="C97" s="853">
        <v>234800</v>
      </c>
      <c r="D97" s="864"/>
      <c r="E97" s="869">
        <v>234800</v>
      </c>
      <c r="F97" s="732" t="s">
        <v>2436</v>
      </c>
      <c r="G97" s="732"/>
      <c r="H97" s="254"/>
      <c r="I97" s="254"/>
    </row>
    <row r="98" spans="1:9">
      <c r="A98" s="851" t="s">
        <v>1927</v>
      </c>
      <c r="B98" s="863"/>
      <c r="C98" s="853">
        <v>85704</v>
      </c>
      <c r="D98" s="853">
        <v>162604</v>
      </c>
      <c r="E98" s="852">
        <v>76900</v>
      </c>
      <c r="F98" s="714" t="s">
        <v>2423</v>
      </c>
      <c r="G98" s="732"/>
      <c r="H98" s="254"/>
      <c r="I98" s="254"/>
    </row>
    <row r="99" spans="1:9">
      <c r="A99" s="851" t="s">
        <v>1928</v>
      </c>
      <c r="B99" s="852">
        <v>79364</v>
      </c>
      <c r="C99" s="853">
        <v>604998</v>
      </c>
      <c r="D99" s="853">
        <v>526554</v>
      </c>
      <c r="E99" s="852">
        <v>920</v>
      </c>
      <c r="F99" s="714" t="s">
        <v>2423</v>
      </c>
      <c r="G99" s="732"/>
      <c r="H99" s="254"/>
      <c r="I99" s="254"/>
    </row>
    <row r="100" spans="1:9">
      <c r="A100" s="972" t="s">
        <v>2245</v>
      </c>
      <c r="B100" s="970"/>
      <c r="C100" s="971">
        <v>320500</v>
      </c>
      <c r="D100" s="971">
        <v>320500</v>
      </c>
      <c r="E100" s="854"/>
      <c r="F100" s="714"/>
      <c r="G100" s="714"/>
    </row>
    <row r="101" spans="1:9">
      <c r="A101" s="851" t="s">
        <v>2106</v>
      </c>
      <c r="B101" s="852">
        <v>3245</v>
      </c>
      <c r="C101" s="853">
        <v>23010</v>
      </c>
      <c r="D101" s="864"/>
      <c r="E101" s="869">
        <v>19765</v>
      </c>
      <c r="F101" s="732" t="s">
        <v>2436</v>
      </c>
      <c r="G101" s="732"/>
      <c r="H101" s="254"/>
      <c r="I101" s="254"/>
    </row>
    <row r="102" spans="1:9">
      <c r="A102" s="972" t="s">
        <v>2246</v>
      </c>
      <c r="B102" s="970"/>
      <c r="C102" s="971">
        <v>9027</v>
      </c>
      <c r="D102" s="971">
        <v>9027</v>
      </c>
      <c r="E102" s="854"/>
      <c r="F102" s="714"/>
      <c r="G102" s="714"/>
    </row>
    <row r="103" spans="1:9">
      <c r="A103" s="972" t="s">
        <v>2247</v>
      </c>
      <c r="B103" s="970"/>
      <c r="C103" s="971">
        <v>32568</v>
      </c>
      <c r="D103" s="971">
        <v>32568</v>
      </c>
      <c r="E103" s="854"/>
      <c r="F103" s="714"/>
      <c r="G103" s="714"/>
    </row>
    <row r="104" spans="1:9">
      <c r="A104" s="969" t="s">
        <v>1686</v>
      </c>
      <c r="B104" s="970"/>
      <c r="C104" s="971">
        <v>1480274</v>
      </c>
      <c r="D104" s="971">
        <v>1480274</v>
      </c>
      <c r="E104" s="854"/>
      <c r="F104" s="714"/>
      <c r="G104" s="714"/>
    </row>
    <row r="105" spans="1:9">
      <c r="A105" s="969" t="s">
        <v>2248</v>
      </c>
      <c r="B105" s="970"/>
      <c r="C105" s="971">
        <v>136998</v>
      </c>
      <c r="D105" s="971">
        <v>136998</v>
      </c>
      <c r="E105" s="854"/>
      <c r="F105" s="714"/>
      <c r="G105" s="714"/>
    </row>
    <row r="106" spans="1:9">
      <c r="A106" s="974" t="s">
        <v>2249</v>
      </c>
      <c r="B106" s="970"/>
      <c r="C106" s="971">
        <v>40250</v>
      </c>
      <c r="D106" s="971">
        <v>40250</v>
      </c>
      <c r="E106" s="854"/>
      <c r="F106" s="714"/>
      <c r="G106" s="714"/>
    </row>
    <row r="107" spans="1:9">
      <c r="A107" s="855" t="s">
        <v>1402</v>
      </c>
      <c r="B107" s="863"/>
      <c r="C107" s="853">
        <v>262358</v>
      </c>
      <c r="D107" s="864"/>
      <c r="E107" s="869">
        <v>262358</v>
      </c>
      <c r="F107" s="732" t="s">
        <v>2436</v>
      </c>
      <c r="G107" s="732"/>
      <c r="H107" s="254"/>
      <c r="I107" s="254"/>
    </row>
    <row r="108" spans="1:9">
      <c r="A108" s="851" t="s">
        <v>2250</v>
      </c>
      <c r="B108" s="863"/>
      <c r="C108" s="853">
        <v>75000</v>
      </c>
      <c r="D108" s="853">
        <v>74480</v>
      </c>
      <c r="E108" s="869">
        <v>520</v>
      </c>
      <c r="F108" s="732" t="s">
        <v>2436</v>
      </c>
      <c r="G108" s="732"/>
      <c r="H108" s="254"/>
      <c r="I108" s="254"/>
    </row>
    <row r="109" spans="1:9">
      <c r="A109" s="972" t="s">
        <v>2251</v>
      </c>
      <c r="B109" s="970"/>
      <c r="C109" s="971">
        <v>1306</v>
      </c>
      <c r="D109" s="971">
        <v>1306</v>
      </c>
      <c r="E109" s="854"/>
      <c r="F109" s="714"/>
      <c r="G109" s="714"/>
    </row>
    <row r="110" spans="1:9">
      <c r="A110" s="851" t="s">
        <v>2252</v>
      </c>
      <c r="B110" s="863"/>
      <c r="C110" s="853">
        <v>10000</v>
      </c>
      <c r="D110" s="864"/>
      <c r="E110" s="869">
        <v>10000</v>
      </c>
      <c r="F110" s="732" t="s">
        <v>2436</v>
      </c>
      <c r="G110" s="732"/>
      <c r="H110" s="254"/>
      <c r="I110" s="254"/>
    </row>
    <row r="111" spans="1:9">
      <c r="A111" s="969" t="s">
        <v>2253</v>
      </c>
      <c r="B111" s="970"/>
      <c r="C111" s="971">
        <v>137175</v>
      </c>
      <c r="D111" s="971">
        <v>137175</v>
      </c>
      <c r="E111" s="854"/>
      <c r="F111" s="714"/>
      <c r="G111" s="714"/>
    </row>
    <row r="112" spans="1:9">
      <c r="A112" s="840" t="s">
        <v>1933</v>
      </c>
      <c r="B112" s="859">
        <v>2200</v>
      </c>
      <c r="C112" s="853">
        <v>130000</v>
      </c>
      <c r="D112" s="853">
        <v>120840</v>
      </c>
      <c r="E112" s="869">
        <v>11360</v>
      </c>
      <c r="F112" s="732" t="s">
        <v>2436</v>
      </c>
      <c r="G112" s="714"/>
    </row>
    <row r="113" spans="1:9">
      <c r="A113" s="840" t="s">
        <v>1934</v>
      </c>
      <c r="B113" s="863"/>
      <c r="C113" s="853">
        <v>547579</v>
      </c>
      <c r="D113" s="853">
        <v>420080</v>
      </c>
      <c r="E113" s="869">
        <v>127499</v>
      </c>
      <c r="F113" s="732" t="s">
        <v>2436</v>
      </c>
      <c r="G113" s="732"/>
      <c r="H113" s="254"/>
      <c r="I113" s="254"/>
    </row>
    <row r="114" spans="1:9">
      <c r="A114" s="851" t="s">
        <v>258</v>
      </c>
      <c r="B114" s="861">
        <v>196558</v>
      </c>
      <c r="C114" s="857">
        <v>253800</v>
      </c>
      <c r="D114" s="857">
        <v>253800</v>
      </c>
      <c r="E114" s="861">
        <v>196558</v>
      </c>
      <c r="F114" s="714" t="s">
        <v>2423</v>
      </c>
      <c r="G114" s="714"/>
    </row>
    <row r="115" spans="1:9">
      <c r="A115" s="840" t="s">
        <v>1936</v>
      </c>
      <c r="B115" s="852">
        <v>3200</v>
      </c>
      <c r="C115" s="864"/>
      <c r="D115" s="864"/>
      <c r="E115" s="852">
        <v>3200</v>
      </c>
      <c r="F115" s="714" t="s">
        <v>2423</v>
      </c>
      <c r="G115" s="714"/>
    </row>
    <row r="116" spans="1:9">
      <c r="A116" s="972" t="s">
        <v>592</v>
      </c>
      <c r="B116" s="970"/>
      <c r="C116" s="971">
        <v>7450</v>
      </c>
      <c r="D116" s="971">
        <v>7450</v>
      </c>
      <c r="E116" s="854"/>
      <c r="F116" s="714"/>
      <c r="G116" s="714"/>
    </row>
    <row r="117" spans="1:9">
      <c r="A117" s="972" t="s">
        <v>1796</v>
      </c>
      <c r="B117" s="970"/>
      <c r="C117" s="971">
        <v>8534</v>
      </c>
      <c r="D117" s="971">
        <v>8534</v>
      </c>
      <c r="E117" s="854"/>
      <c r="F117" s="714"/>
      <c r="G117" s="714"/>
    </row>
    <row r="118" spans="1:9">
      <c r="A118" s="840" t="s">
        <v>2254</v>
      </c>
      <c r="B118" s="863"/>
      <c r="C118" s="853">
        <v>313644</v>
      </c>
      <c r="D118" s="853">
        <v>627288</v>
      </c>
      <c r="E118" s="852">
        <v>313644</v>
      </c>
      <c r="F118" s="732" t="s">
        <v>2423</v>
      </c>
      <c r="G118" s="732"/>
      <c r="H118" s="254"/>
      <c r="I118" s="254"/>
    </row>
    <row r="119" spans="1:9">
      <c r="A119" s="851" t="s">
        <v>1691</v>
      </c>
      <c r="B119" s="852">
        <v>58399</v>
      </c>
      <c r="C119" s="864"/>
      <c r="D119" s="864"/>
      <c r="E119" s="852">
        <v>58399</v>
      </c>
      <c r="F119" s="732" t="s">
        <v>2423</v>
      </c>
      <c r="G119" s="732"/>
      <c r="H119" s="254"/>
      <c r="I119" s="254"/>
    </row>
    <row r="120" spans="1:9">
      <c r="A120" s="972" t="s">
        <v>2255</v>
      </c>
      <c r="B120" s="970"/>
      <c r="C120" s="971">
        <v>113516</v>
      </c>
      <c r="D120" s="971">
        <v>113516</v>
      </c>
      <c r="E120" s="854"/>
      <c r="F120" s="714"/>
      <c r="G120" s="714"/>
    </row>
    <row r="121" spans="1:9">
      <c r="A121" s="972" t="s">
        <v>2256</v>
      </c>
      <c r="B121" s="970"/>
      <c r="C121" s="971">
        <v>123900</v>
      </c>
      <c r="D121" s="971">
        <v>123900</v>
      </c>
      <c r="E121" s="854"/>
      <c r="F121" s="714"/>
      <c r="G121" s="714"/>
    </row>
    <row r="122" spans="1:9">
      <c r="A122" s="840" t="s">
        <v>1940</v>
      </c>
      <c r="B122" s="861">
        <v>15495</v>
      </c>
      <c r="C122" s="857">
        <v>10145</v>
      </c>
      <c r="D122" s="856"/>
      <c r="E122" s="861">
        <v>5350</v>
      </c>
      <c r="F122" s="732" t="s">
        <v>2423</v>
      </c>
      <c r="G122" s="732"/>
      <c r="H122" s="254"/>
      <c r="I122" s="254"/>
    </row>
    <row r="123" spans="1:9">
      <c r="A123" s="851" t="s">
        <v>1941</v>
      </c>
      <c r="B123" s="863"/>
      <c r="C123" s="853">
        <v>53319</v>
      </c>
      <c r="D123" s="853">
        <v>107386.7</v>
      </c>
      <c r="E123" s="852">
        <v>54067.7</v>
      </c>
      <c r="F123" s="732" t="s">
        <v>2423</v>
      </c>
      <c r="G123" s="732"/>
      <c r="H123" s="254"/>
      <c r="I123" s="254"/>
    </row>
    <row r="124" spans="1:9">
      <c r="A124" s="851" t="s">
        <v>1407</v>
      </c>
      <c r="B124" s="863"/>
      <c r="C124" s="853">
        <v>20341</v>
      </c>
      <c r="D124" s="853">
        <v>11759.4</v>
      </c>
      <c r="E124" s="869">
        <v>8581.6</v>
      </c>
      <c r="F124" s="732" t="s">
        <v>2436</v>
      </c>
      <c r="G124" s="732"/>
      <c r="H124" s="254"/>
      <c r="I124" s="254"/>
    </row>
    <row r="125" spans="1:9">
      <c r="A125" s="840" t="s">
        <v>1942</v>
      </c>
      <c r="B125" s="863"/>
      <c r="C125" s="853">
        <v>3142954</v>
      </c>
      <c r="D125" s="853">
        <v>3138306</v>
      </c>
      <c r="E125" s="869">
        <v>4648</v>
      </c>
      <c r="F125" s="732" t="s">
        <v>2436</v>
      </c>
      <c r="G125" s="732"/>
      <c r="H125" s="254"/>
      <c r="I125" s="254"/>
    </row>
    <row r="126" spans="1:9">
      <c r="A126" s="851" t="s">
        <v>1943</v>
      </c>
      <c r="B126" s="863"/>
      <c r="C126" s="853">
        <v>186335</v>
      </c>
      <c r="D126" s="853">
        <v>178039</v>
      </c>
      <c r="E126" s="869">
        <v>8296</v>
      </c>
      <c r="F126" s="732" t="s">
        <v>2436</v>
      </c>
      <c r="G126" s="732"/>
      <c r="H126" s="254"/>
      <c r="I126" s="254"/>
    </row>
    <row r="127" spans="1:9">
      <c r="A127" s="851" t="s">
        <v>989</v>
      </c>
      <c r="B127" s="863"/>
      <c r="C127" s="853">
        <v>307224</v>
      </c>
      <c r="D127" s="853">
        <v>76800</v>
      </c>
      <c r="E127" s="869">
        <v>230424</v>
      </c>
      <c r="F127" s="732" t="s">
        <v>2436</v>
      </c>
      <c r="G127" s="732"/>
      <c r="H127" s="254"/>
      <c r="I127" s="254"/>
    </row>
    <row r="128" spans="1:9">
      <c r="A128" s="851" t="s">
        <v>1944</v>
      </c>
      <c r="B128" s="852">
        <v>30444</v>
      </c>
      <c r="C128" s="853">
        <v>49118</v>
      </c>
      <c r="D128" s="853">
        <v>20798</v>
      </c>
      <c r="E128" s="852">
        <v>2124</v>
      </c>
      <c r="F128" s="714" t="s">
        <v>2423</v>
      </c>
      <c r="G128" s="714"/>
    </row>
    <row r="129" spans="1:9">
      <c r="A129" s="840" t="s">
        <v>2257</v>
      </c>
      <c r="B129" s="863"/>
      <c r="C129" s="864"/>
      <c r="D129" s="853">
        <v>31122</v>
      </c>
      <c r="E129" s="852">
        <v>31122</v>
      </c>
      <c r="F129" s="732" t="s">
        <v>2423</v>
      </c>
      <c r="G129" s="732"/>
      <c r="H129" s="254"/>
      <c r="I129" s="254"/>
    </row>
    <row r="130" spans="1:9">
      <c r="A130" s="855" t="s">
        <v>2258</v>
      </c>
      <c r="B130" s="863"/>
      <c r="C130" s="853">
        <v>33597</v>
      </c>
      <c r="D130" s="853">
        <v>33597</v>
      </c>
      <c r="E130" s="863"/>
      <c r="F130" s="714"/>
      <c r="G130" s="714"/>
    </row>
    <row r="131" spans="1:9">
      <c r="A131" s="840" t="s">
        <v>1945</v>
      </c>
      <c r="B131" s="852">
        <v>57328</v>
      </c>
      <c r="C131" s="864"/>
      <c r="D131" s="864"/>
      <c r="E131" s="852">
        <v>57328</v>
      </c>
      <c r="F131" s="732" t="s">
        <v>2423</v>
      </c>
      <c r="G131" s="732"/>
      <c r="H131" s="254"/>
      <c r="I131" s="254"/>
    </row>
    <row r="132" spans="1:9">
      <c r="A132" s="840" t="s">
        <v>2259</v>
      </c>
      <c r="B132" s="863"/>
      <c r="C132" s="853">
        <v>59596</v>
      </c>
      <c r="D132" s="853">
        <v>59596</v>
      </c>
      <c r="E132" s="863"/>
      <c r="F132" s="714"/>
      <c r="G132" s="714"/>
    </row>
    <row r="133" spans="1:9">
      <c r="A133" s="851" t="s">
        <v>1693</v>
      </c>
      <c r="B133" s="858">
        <v>6867.18</v>
      </c>
      <c r="C133" s="857">
        <v>1095567</v>
      </c>
      <c r="D133" s="857">
        <v>1279073</v>
      </c>
      <c r="E133" s="873">
        <v>176638.82</v>
      </c>
      <c r="F133" s="714" t="s">
        <v>2423</v>
      </c>
      <c r="G133" s="714"/>
    </row>
    <row r="134" spans="1:9">
      <c r="A134" s="972" t="s">
        <v>2260</v>
      </c>
      <c r="B134" s="970"/>
      <c r="C134" s="971">
        <v>63602</v>
      </c>
      <c r="D134" s="971">
        <v>63602</v>
      </c>
      <c r="E134" s="854"/>
      <c r="F134" s="714"/>
      <c r="G134" s="714"/>
    </row>
    <row r="135" spans="1:9">
      <c r="A135" s="851" t="s">
        <v>1946</v>
      </c>
      <c r="B135" s="859">
        <v>7000</v>
      </c>
      <c r="C135" s="864"/>
      <c r="D135" s="864"/>
      <c r="E135" s="869">
        <v>7000</v>
      </c>
      <c r="F135" s="732" t="s">
        <v>2436</v>
      </c>
      <c r="G135" s="714"/>
    </row>
    <row r="136" spans="1:9">
      <c r="A136" s="851" t="s">
        <v>596</v>
      </c>
      <c r="B136" s="852">
        <v>11875</v>
      </c>
      <c r="C136" s="853">
        <v>89686</v>
      </c>
      <c r="D136" s="853">
        <v>151185</v>
      </c>
      <c r="E136" s="852">
        <v>73374</v>
      </c>
      <c r="F136" s="714" t="s">
        <v>2423</v>
      </c>
      <c r="G136" s="714"/>
    </row>
    <row r="137" spans="1:9">
      <c r="A137" s="972" t="s">
        <v>1947</v>
      </c>
      <c r="B137" s="973">
        <v>293</v>
      </c>
      <c r="C137" s="971">
        <v>98226</v>
      </c>
      <c r="D137" s="971">
        <v>97933</v>
      </c>
      <c r="E137" s="854"/>
      <c r="F137" s="714"/>
      <c r="G137" s="714"/>
    </row>
    <row r="138" spans="1:9">
      <c r="A138" s="972" t="s">
        <v>2261</v>
      </c>
      <c r="B138" s="970"/>
      <c r="C138" s="971">
        <v>54000</v>
      </c>
      <c r="D138" s="971">
        <v>54000</v>
      </c>
      <c r="E138" s="854"/>
      <c r="F138" s="714"/>
      <c r="G138" s="714"/>
    </row>
    <row r="139" spans="1:9">
      <c r="A139" s="972" t="s">
        <v>1950</v>
      </c>
      <c r="B139" s="970"/>
      <c r="C139" s="971">
        <v>11800</v>
      </c>
      <c r="D139" s="971">
        <v>11800</v>
      </c>
      <c r="E139" s="854"/>
      <c r="F139" s="714"/>
      <c r="G139" s="714"/>
    </row>
    <row r="140" spans="1:9">
      <c r="A140" s="851" t="s">
        <v>600</v>
      </c>
      <c r="B140" s="859">
        <v>105236</v>
      </c>
      <c r="C140" s="864"/>
      <c r="D140" s="864"/>
      <c r="E140" s="869">
        <v>105236</v>
      </c>
      <c r="F140" s="732" t="s">
        <v>2436</v>
      </c>
      <c r="G140" s="732"/>
      <c r="H140" s="254"/>
      <c r="I140" s="254"/>
    </row>
    <row r="141" spans="1:9">
      <c r="A141" s="969" t="s">
        <v>2262</v>
      </c>
      <c r="B141" s="970"/>
      <c r="C141" s="971">
        <v>99710</v>
      </c>
      <c r="D141" s="971">
        <v>99710</v>
      </c>
      <c r="E141" s="854"/>
      <c r="F141" s="714"/>
      <c r="G141" s="714"/>
    </row>
    <row r="142" spans="1:9">
      <c r="A142" s="972" t="s">
        <v>992</v>
      </c>
      <c r="B142" s="970"/>
      <c r="C142" s="971">
        <v>69000</v>
      </c>
      <c r="D142" s="971">
        <v>69000</v>
      </c>
      <c r="E142" s="854"/>
      <c r="F142" s="714"/>
      <c r="G142" s="714"/>
    </row>
    <row r="143" spans="1:9">
      <c r="A143" s="972" t="s">
        <v>2263</v>
      </c>
      <c r="B143" s="970"/>
      <c r="C143" s="971">
        <v>111537</v>
      </c>
      <c r="D143" s="971">
        <v>111537</v>
      </c>
      <c r="E143" s="854"/>
      <c r="F143" s="714"/>
      <c r="G143" s="714"/>
    </row>
    <row r="144" spans="1:9">
      <c r="A144" s="851" t="s">
        <v>2264</v>
      </c>
      <c r="B144" s="863"/>
      <c r="C144" s="853">
        <v>243670</v>
      </c>
      <c r="D144" s="853">
        <v>171100</v>
      </c>
      <c r="E144" s="869">
        <v>72570</v>
      </c>
      <c r="F144" s="732" t="s">
        <v>2436</v>
      </c>
      <c r="G144" s="732"/>
      <c r="H144" s="254"/>
      <c r="I144" s="254"/>
    </row>
    <row r="145" spans="1:9">
      <c r="A145" s="840" t="s">
        <v>1953</v>
      </c>
      <c r="B145" s="863"/>
      <c r="C145" s="853">
        <v>647850</v>
      </c>
      <c r="D145" s="853">
        <v>548160</v>
      </c>
      <c r="E145" s="869">
        <v>99690</v>
      </c>
      <c r="F145" s="732" t="s">
        <v>2436</v>
      </c>
      <c r="G145" s="732"/>
      <c r="H145" s="254"/>
      <c r="I145" s="254"/>
    </row>
    <row r="146" spans="1:9">
      <c r="A146" s="851" t="s">
        <v>1954</v>
      </c>
      <c r="B146" s="852">
        <v>8860</v>
      </c>
      <c r="C146" s="853">
        <v>142720</v>
      </c>
      <c r="D146" s="853">
        <v>125150</v>
      </c>
      <c r="E146" s="869">
        <v>8710</v>
      </c>
      <c r="F146" s="732" t="s">
        <v>2436</v>
      </c>
      <c r="G146" s="732"/>
      <c r="H146" s="254"/>
      <c r="I146" s="254"/>
    </row>
    <row r="147" spans="1:9">
      <c r="A147" s="851" t="s">
        <v>2265</v>
      </c>
      <c r="B147" s="863"/>
      <c r="C147" s="853">
        <v>344400</v>
      </c>
      <c r="D147" s="853">
        <v>382200</v>
      </c>
      <c r="E147" s="852">
        <v>37800</v>
      </c>
      <c r="F147" s="732" t="s">
        <v>2423</v>
      </c>
      <c r="G147" s="732"/>
      <c r="H147" s="254"/>
      <c r="I147" s="254"/>
    </row>
    <row r="148" spans="1:9">
      <c r="A148" s="851" t="s">
        <v>603</v>
      </c>
      <c r="B148" s="852">
        <v>1959</v>
      </c>
      <c r="C148" s="853">
        <v>252906</v>
      </c>
      <c r="D148" s="853">
        <v>10151</v>
      </c>
      <c r="E148" s="869">
        <v>240796</v>
      </c>
      <c r="F148" s="732" t="s">
        <v>2436</v>
      </c>
      <c r="G148" s="732"/>
      <c r="H148" s="254"/>
      <c r="I148" s="254"/>
    </row>
    <row r="149" spans="1:9">
      <c r="A149" s="851" t="s">
        <v>1412</v>
      </c>
      <c r="B149" s="863"/>
      <c r="C149" s="853">
        <v>303653</v>
      </c>
      <c r="D149" s="853">
        <v>303653</v>
      </c>
      <c r="E149" s="863"/>
      <c r="F149" s="714"/>
      <c r="G149" s="714"/>
    </row>
    <row r="150" spans="1:9">
      <c r="A150" s="851" t="s">
        <v>2266</v>
      </c>
      <c r="B150" s="863"/>
      <c r="C150" s="853">
        <v>97500</v>
      </c>
      <c r="D150" s="853">
        <v>97500</v>
      </c>
      <c r="E150" s="863"/>
      <c r="F150" s="714"/>
      <c r="G150" s="714"/>
    </row>
    <row r="151" spans="1:9">
      <c r="A151" s="851" t="s">
        <v>604</v>
      </c>
      <c r="B151" s="852">
        <v>5030</v>
      </c>
      <c r="C151" s="853">
        <v>226720</v>
      </c>
      <c r="D151" s="853">
        <v>227210</v>
      </c>
      <c r="E151" s="852">
        <v>5520</v>
      </c>
      <c r="F151" s="714" t="s">
        <v>2423</v>
      </c>
      <c r="G151" s="714"/>
    </row>
    <row r="152" spans="1:9">
      <c r="A152" s="851" t="s">
        <v>1955</v>
      </c>
      <c r="B152" s="863"/>
      <c r="C152" s="853">
        <v>497392</v>
      </c>
      <c r="D152" s="853">
        <v>496650</v>
      </c>
      <c r="E152" s="869">
        <v>742</v>
      </c>
      <c r="F152" s="732" t="s">
        <v>2436</v>
      </c>
      <c r="G152" s="732"/>
      <c r="H152" s="254"/>
      <c r="I152" s="254"/>
    </row>
    <row r="153" spans="1:9">
      <c r="A153" s="851" t="s">
        <v>1413</v>
      </c>
      <c r="B153" s="852">
        <v>11211</v>
      </c>
      <c r="C153" s="853">
        <v>601210</v>
      </c>
      <c r="D153" s="853">
        <v>590000</v>
      </c>
      <c r="E153" s="852">
        <v>1</v>
      </c>
      <c r="F153" s="732"/>
      <c r="G153" s="732"/>
      <c r="H153" s="254"/>
      <c r="I153" s="254"/>
    </row>
    <row r="154" spans="1:9">
      <c r="A154" s="851" t="s">
        <v>1959</v>
      </c>
      <c r="B154" s="859">
        <v>84550</v>
      </c>
      <c r="C154" s="853">
        <v>190133</v>
      </c>
      <c r="D154" s="853">
        <v>274684</v>
      </c>
      <c r="E154" s="852">
        <v>1</v>
      </c>
      <c r="F154" s="732"/>
      <c r="G154" s="732"/>
      <c r="H154" s="254"/>
      <c r="I154" s="254"/>
    </row>
    <row r="155" spans="1:9">
      <c r="A155" s="851" t="s">
        <v>2267</v>
      </c>
      <c r="B155" s="856"/>
      <c r="C155" s="857">
        <v>310639</v>
      </c>
      <c r="D155" s="856"/>
      <c r="E155" s="874">
        <v>310639</v>
      </c>
      <c r="F155" s="732" t="s">
        <v>2436</v>
      </c>
      <c r="G155" s="732"/>
      <c r="H155" s="254"/>
      <c r="I155" s="254"/>
    </row>
    <row r="156" spans="1:9">
      <c r="A156" s="972" t="s">
        <v>2268</v>
      </c>
      <c r="B156" s="970"/>
      <c r="C156" s="971">
        <v>1374600</v>
      </c>
      <c r="D156" s="971">
        <v>1374600</v>
      </c>
      <c r="E156" s="854"/>
      <c r="F156" s="714"/>
      <c r="G156" s="714"/>
    </row>
    <row r="157" spans="1:9">
      <c r="A157" s="851" t="s">
        <v>1961</v>
      </c>
      <c r="B157" s="861">
        <v>861.15</v>
      </c>
      <c r="C157" s="856"/>
      <c r="D157" s="856"/>
      <c r="E157" s="861">
        <v>861.15</v>
      </c>
      <c r="F157" s="714" t="s">
        <v>2423</v>
      </c>
      <c r="G157" s="714"/>
    </row>
    <row r="158" spans="1:9">
      <c r="A158" s="855" t="s">
        <v>606</v>
      </c>
      <c r="B158" s="861">
        <v>151411</v>
      </c>
      <c r="C158" s="857">
        <v>760049</v>
      </c>
      <c r="D158" s="857">
        <v>924039</v>
      </c>
      <c r="E158" s="861">
        <v>315401</v>
      </c>
      <c r="F158" s="714" t="s">
        <v>2423</v>
      </c>
      <c r="G158" s="714"/>
    </row>
    <row r="159" spans="1:9">
      <c r="A159" s="840" t="s">
        <v>1962</v>
      </c>
      <c r="B159" s="863"/>
      <c r="C159" s="853">
        <v>498764</v>
      </c>
      <c r="D159" s="853">
        <v>498762</v>
      </c>
      <c r="E159" s="869">
        <v>2</v>
      </c>
      <c r="F159" s="732"/>
      <c r="G159" s="732"/>
      <c r="H159" s="254"/>
      <c r="I159" s="254"/>
    </row>
    <row r="160" spans="1:9">
      <c r="A160" s="840" t="s">
        <v>2269</v>
      </c>
      <c r="B160" s="863"/>
      <c r="C160" s="853">
        <v>291165</v>
      </c>
      <c r="D160" s="853">
        <v>302493</v>
      </c>
      <c r="E160" s="852">
        <v>11328</v>
      </c>
      <c r="F160" s="732" t="s">
        <v>2423</v>
      </c>
      <c r="G160" s="732"/>
      <c r="H160" s="254"/>
      <c r="I160" s="254"/>
    </row>
    <row r="161" spans="1:9">
      <c r="A161" s="851" t="s">
        <v>1414</v>
      </c>
      <c r="B161" s="863"/>
      <c r="C161" s="853">
        <v>747500</v>
      </c>
      <c r="D161" s="853">
        <v>595000</v>
      </c>
      <c r="E161" s="869">
        <v>152500</v>
      </c>
      <c r="F161" s="732" t="s">
        <v>2436</v>
      </c>
      <c r="G161" s="732"/>
      <c r="H161" s="254"/>
      <c r="I161" s="254"/>
    </row>
    <row r="162" spans="1:9">
      <c r="A162" s="851" t="s">
        <v>1964</v>
      </c>
      <c r="B162" s="852">
        <v>12390</v>
      </c>
      <c r="C162" s="853">
        <v>165300</v>
      </c>
      <c r="D162" s="853">
        <v>169312.3</v>
      </c>
      <c r="E162" s="852">
        <v>16402.3</v>
      </c>
      <c r="F162" s="732" t="s">
        <v>2423</v>
      </c>
      <c r="G162" s="877">
        <f>SUM(E48:E182)</f>
        <v>6836859.2000000002</v>
      </c>
      <c r="H162" s="254"/>
      <c r="I162" s="254"/>
    </row>
    <row r="163" spans="1:9">
      <c r="A163" s="851" t="s">
        <v>2270</v>
      </c>
      <c r="B163" s="863"/>
      <c r="C163" s="853">
        <v>929840</v>
      </c>
      <c r="D163" s="853">
        <v>508698</v>
      </c>
      <c r="E163" s="869">
        <v>421142</v>
      </c>
      <c r="F163" s="732" t="s">
        <v>2436</v>
      </c>
      <c r="G163" s="732"/>
      <c r="H163" s="254"/>
      <c r="I163" s="254"/>
    </row>
    <row r="164" spans="1:9">
      <c r="A164" s="840" t="s">
        <v>1804</v>
      </c>
      <c r="B164" s="852">
        <v>45363</v>
      </c>
      <c r="C164" s="853">
        <v>82438</v>
      </c>
      <c r="D164" s="853">
        <v>81898</v>
      </c>
      <c r="E164" s="852">
        <v>44823</v>
      </c>
      <c r="F164" s="732" t="s">
        <v>2423</v>
      </c>
      <c r="G164" s="877">
        <f>SUM(E187:E312)</f>
        <v>11219451.029999999</v>
      </c>
      <c r="H164" s="254"/>
      <c r="I164" s="254"/>
    </row>
    <row r="165" spans="1:9">
      <c r="A165" s="972" t="s">
        <v>1965</v>
      </c>
      <c r="B165" s="970"/>
      <c r="C165" s="971">
        <v>83554</v>
      </c>
      <c r="D165" s="971">
        <v>83554</v>
      </c>
      <c r="E165" s="854"/>
      <c r="F165" s="714"/>
      <c r="G165" s="714"/>
    </row>
    <row r="166" spans="1:9">
      <c r="A166" s="969" t="s">
        <v>1966</v>
      </c>
      <c r="B166" s="973">
        <v>15486</v>
      </c>
      <c r="C166" s="971">
        <v>749536</v>
      </c>
      <c r="D166" s="971">
        <v>734050</v>
      </c>
      <c r="E166" s="854"/>
      <c r="F166" s="714"/>
      <c r="G166" s="714"/>
    </row>
    <row r="167" spans="1:9">
      <c r="A167" s="969" t="s">
        <v>1968</v>
      </c>
      <c r="B167" s="973">
        <v>89369.8</v>
      </c>
      <c r="C167" s="971">
        <v>135213</v>
      </c>
      <c r="D167" s="971">
        <v>45843.199999999997</v>
      </c>
      <c r="E167" s="854"/>
      <c r="F167" s="714"/>
      <c r="G167" s="714"/>
    </row>
    <row r="168" spans="1:9">
      <c r="A168" s="969" t="s">
        <v>2271</v>
      </c>
      <c r="B168" s="970"/>
      <c r="C168" s="971">
        <v>168000</v>
      </c>
      <c r="D168" s="971">
        <v>168000</v>
      </c>
      <c r="E168" s="854"/>
      <c r="F168" s="714"/>
      <c r="G168" s="714"/>
    </row>
    <row r="169" spans="1:9">
      <c r="A169" s="972" t="s">
        <v>2272</v>
      </c>
      <c r="B169" s="970"/>
      <c r="C169" s="971">
        <v>53400</v>
      </c>
      <c r="D169" s="971">
        <v>53400</v>
      </c>
      <c r="E169" s="854"/>
      <c r="F169" s="714"/>
      <c r="G169" s="714"/>
    </row>
    <row r="170" spans="1:9">
      <c r="A170" s="972" t="s">
        <v>2273</v>
      </c>
      <c r="B170" s="970"/>
      <c r="C170" s="971">
        <v>43005</v>
      </c>
      <c r="D170" s="971">
        <v>43005</v>
      </c>
      <c r="E170" s="854"/>
      <c r="F170" s="714"/>
      <c r="G170" s="714"/>
    </row>
    <row r="171" spans="1:9">
      <c r="A171" s="851" t="s">
        <v>1290</v>
      </c>
      <c r="B171" s="852">
        <v>197988</v>
      </c>
      <c r="C171" s="853">
        <v>1543238</v>
      </c>
      <c r="D171" s="853">
        <v>1562396</v>
      </c>
      <c r="E171" s="852">
        <v>217146</v>
      </c>
      <c r="F171" s="714" t="s">
        <v>2423</v>
      </c>
      <c r="G171" s="849">
        <f>SUM(E313:E341)</f>
        <v>4858733.4000000004</v>
      </c>
    </row>
    <row r="172" spans="1:9">
      <c r="A172" s="851" t="s">
        <v>1969</v>
      </c>
      <c r="B172" s="852">
        <v>174004</v>
      </c>
      <c r="C172" s="853">
        <v>512971</v>
      </c>
      <c r="D172" s="853">
        <v>335327</v>
      </c>
      <c r="E172" s="869">
        <v>3640</v>
      </c>
      <c r="F172" s="732" t="s">
        <v>2436</v>
      </c>
      <c r="G172" s="732"/>
      <c r="H172" s="254"/>
      <c r="I172" s="254"/>
    </row>
    <row r="173" spans="1:9">
      <c r="A173" s="851" t="s">
        <v>1792</v>
      </c>
      <c r="B173" s="863"/>
      <c r="C173" s="853">
        <v>180121</v>
      </c>
      <c r="D173" s="853">
        <v>180119</v>
      </c>
      <c r="E173" s="869">
        <v>2</v>
      </c>
      <c r="F173" s="732"/>
      <c r="G173" s="732"/>
      <c r="H173" s="254"/>
      <c r="I173" s="254"/>
    </row>
    <row r="174" spans="1:9">
      <c r="A174" s="851" t="s">
        <v>257</v>
      </c>
      <c r="B174" s="861">
        <v>468104.5</v>
      </c>
      <c r="C174" s="857">
        <v>2520376</v>
      </c>
      <c r="D174" s="857">
        <v>2808453</v>
      </c>
      <c r="E174" s="861">
        <v>756181.5</v>
      </c>
      <c r="F174" s="714" t="s">
        <v>2423</v>
      </c>
      <c r="G174" s="714"/>
    </row>
    <row r="175" spans="1:9">
      <c r="A175" s="840" t="s">
        <v>586</v>
      </c>
      <c r="B175" s="859">
        <v>1175</v>
      </c>
      <c r="C175" s="853">
        <v>53267</v>
      </c>
      <c r="D175" s="853">
        <v>24074</v>
      </c>
      <c r="E175" s="869">
        <v>30368</v>
      </c>
      <c r="F175" s="732" t="s">
        <v>2436</v>
      </c>
      <c r="G175" s="714"/>
    </row>
    <row r="176" spans="1:9">
      <c r="A176" s="972" t="s">
        <v>2274</v>
      </c>
      <c r="B176" s="970"/>
      <c r="C176" s="971">
        <v>49980</v>
      </c>
      <c r="D176" s="971">
        <v>49980</v>
      </c>
      <c r="E176" s="854"/>
      <c r="F176" s="714"/>
      <c r="G176" s="714"/>
    </row>
    <row r="177" spans="1:9">
      <c r="A177" s="845" t="s">
        <v>587</v>
      </c>
      <c r="B177" s="861">
        <v>58898.879999999997</v>
      </c>
      <c r="C177" s="856"/>
      <c r="D177" s="856"/>
      <c r="E177" s="861">
        <v>58898.879999999997</v>
      </c>
      <c r="F177" s="714" t="s">
        <v>2423</v>
      </c>
      <c r="G177" s="714"/>
    </row>
    <row r="178" spans="1:9">
      <c r="A178" s="840" t="s">
        <v>1795</v>
      </c>
      <c r="B178" s="852">
        <v>20810</v>
      </c>
      <c r="C178" s="853">
        <v>953950</v>
      </c>
      <c r="D178" s="853">
        <v>1121456</v>
      </c>
      <c r="E178" s="852">
        <v>188316</v>
      </c>
      <c r="F178" s="714" t="s">
        <v>2423</v>
      </c>
      <c r="G178" s="714"/>
    </row>
    <row r="179" spans="1:9">
      <c r="A179" s="851" t="s">
        <v>2275</v>
      </c>
      <c r="B179" s="852">
        <v>57356</v>
      </c>
      <c r="C179" s="853">
        <v>378574</v>
      </c>
      <c r="D179" s="853">
        <v>342469</v>
      </c>
      <c r="E179" s="852">
        <v>21251</v>
      </c>
      <c r="F179" s="732" t="s">
        <v>2206</v>
      </c>
      <c r="G179" s="732"/>
      <c r="H179" s="254"/>
      <c r="I179" s="254"/>
    </row>
    <row r="180" spans="1:9">
      <c r="A180" s="969" t="s">
        <v>2276</v>
      </c>
      <c r="B180" s="970"/>
      <c r="C180" s="971">
        <v>108000</v>
      </c>
      <c r="D180" s="971">
        <v>108000</v>
      </c>
      <c r="E180" s="854"/>
      <c r="F180" s="714"/>
      <c r="G180" s="714"/>
    </row>
    <row r="181" spans="1:9">
      <c r="A181" s="969" t="s">
        <v>599</v>
      </c>
      <c r="B181" s="973">
        <v>5700</v>
      </c>
      <c r="C181" s="971">
        <v>5700</v>
      </c>
      <c r="D181" s="975"/>
      <c r="E181" s="854"/>
      <c r="F181" s="714"/>
      <c r="G181" s="714"/>
    </row>
    <row r="182" spans="1:9">
      <c r="A182" s="840" t="s">
        <v>1801</v>
      </c>
      <c r="B182" s="863"/>
      <c r="C182" s="853">
        <v>163046</v>
      </c>
      <c r="D182" s="853">
        <v>185038</v>
      </c>
      <c r="E182" s="852">
        <v>21992</v>
      </c>
      <c r="F182" s="714" t="s">
        <v>2423</v>
      </c>
      <c r="G182" s="714"/>
    </row>
    <row r="183" spans="1:9">
      <c r="A183" s="972" t="s">
        <v>2277</v>
      </c>
      <c r="B183" s="970"/>
      <c r="C183" s="971">
        <v>33338</v>
      </c>
      <c r="D183" s="971">
        <v>33338</v>
      </c>
      <c r="E183" s="854"/>
      <c r="F183" s="714"/>
      <c r="G183" s="714"/>
    </row>
    <row r="184" spans="1:9">
      <c r="A184" s="851" t="s">
        <v>1418</v>
      </c>
      <c r="B184" s="859">
        <v>45667</v>
      </c>
      <c r="C184" s="864"/>
      <c r="D184" s="864"/>
      <c r="E184" s="869">
        <v>45667</v>
      </c>
      <c r="F184" s="732" t="s">
        <v>2436</v>
      </c>
      <c r="G184" s="714"/>
    </row>
    <row r="185" spans="1:9">
      <c r="A185" s="851" t="s">
        <v>609</v>
      </c>
      <c r="B185" s="863"/>
      <c r="C185" s="853">
        <v>9137</v>
      </c>
      <c r="D185" s="853">
        <v>3587</v>
      </c>
      <c r="E185" s="869">
        <v>5550</v>
      </c>
      <c r="F185" s="732" t="s">
        <v>2436</v>
      </c>
      <c r="G185" s="732"/>
      <c r="H185" s="254"/>
      <c r="I185" s="254"/>
    </row>
    <row r="186" spans="1:9" s="254" customFormat="1">
      <c r="A186" s="875" t="s">
        <v>945</v>
      </c>
      <c r="B186" s="876">
        <v>1700986.87</v>
      </c>
      <c r="C186" s="867">
        <v>52567669.700000003</v>
      </c>
      <c r="D186" s="867">
        <v>48161046</v>
      </c>
      <c r="E186" s="876">
        <v>6107610.5700000003</v>
      </c>
      <c r="F186" s="732" t="s">
        <v>2423</v>
      </c>
      <c r="G186" s="732"/>
    </row>
    <row r="187" spans="1:9">
      <c r="A187" s="851" t="s">
        <v>2278</v>
      </c>
      <c r="B187" s="856"/>
      <c r="C187" s="857">
        <v>833792</v>
      </c>
      <c r="D187" s="857">
        <v>858993</v>
      </c>
      <c r="E187" s="861">
        <v>25201</v>
      </c>
      <c r="F187" s="714" t="s">
        <v>2423</v>
      </c>
      <c r="G187" s="877">
        <f>E187+E190+E193+E194+E196+E197+E200+E202+E205+E209+E216+E217+E218+E220+E221+E222+E226+E227+E229+E230+E231+E233+E235+E238+E239+E241+E243+E244+E247+E250+E254+E259+E261+E267+E269+E270+E274+E277+E278+E280+E281+E284+E285+E286+E287+E290+E291+E292+E294+E296+E297+E298+E300+E301+E302</f>
        <v>1861912.93</v>
      </c>
      <c r="H187" s="254"/>
      <c r="I187" s="254"/>
    </row>
    <row r="188" spans="1:9">
      <c r="A188" s="840" t="s">
        <v>1420</v>
      </c>
      <c r="B188" s="863"/>
      <c r="C188" s="853">
        <v>22000</v>
      </c>
      <c r="D188" s="864"/>
      <c r="E188" s="869">
        <v>22000</v>
      </c>
      <c r="F188" s="732" t="s">
        <v>2436</v>
      </c>
      <c r="G188" s="870">
        <f>E188+E189+E191+E192+E195+E198+E201+E203+E204+E206+E208+E210+E211+E212+E213+E214+E219+E224+E225+E228+E232+E234+E236+E240+E242+E245+E248+E249+E251+E252+E253+E255+E256+E257+E260+E262+E263+E264+E266+E268+E273+E275+E276+E282+E283+E288+E289+E293+E295+E299</f>
        <v>7969523.5</v>
      </c>
      <c r="H188" s="254"/>
      <c r="I188" s="254"/>
    </row>
    <row r="189" spans="1:9">
      <c r="A189" s="840" t="s">
        <v>1421</v>
      </c>
      <c r="B189" s="859">
        <v>80376</v>
      </c>
      <c r="C189" s="853">
        <v>481440</v>
      </c>
      <c r="D189" s="853">
        <v>557534</v>
      </c>
      <c r="E189" s="869">
        <v>4282</v>
      </c>
      <c r="F189" s="732" t="s">
        <v>2436</v>
      </c>
      <c r="G189" s="714"/>
    </row>
    <row r="190" spans="1:9">
      <c r="A190" s="851" t="s">
        <v>1805</v>
      </c>
      <c r="B190" s="861">
        <v>26927</v>
      </c>
      <c r="C190" s="856"/>
      <c r="D190" s="856"/>
      <c r="E190" s="861">
        <v>26927</v>
      </c>
      <c r="F190" s="714" t="s">
        <v>2423</v>
      </c>
      <c r="G190" s="714"/>
    </row>
    <row r="191" spans="1:9">
      <c r="A191" s="851" t="s">
        <v>1700</v>
      </c>
      <c r="B191" s="859">
        <v>115613</v>
      </c>
      <c r="C191" s="853">
        <v>1922385</v>
      </c>
      <c r="D191" s="853">
        <v>1986508</v>
      </c>
      <c r="E191" s="869">
        <v>51490</v>
      </c>
      <c r="F191" s="732" t="s">
        <v>2436</v>
      </c>
      <c r="G191" s="714"/>
    </row>
    <row r="192" spans="1:9">
      <c r="A192" s="851" t="s">
        <v>2279</v>
      </c>
      <c r="B192" s="856"/>
      <c r="C192" s="857">
        <v>128200</v>
      </c>
      <c r="D192" s="857">
        <v>128150</v>
      </c>
      <c r="E192" s="874">
        <v>50</v>
      </c>
      <c r="F192" s="732" t="s">
        <v>2436</v>
      </c>
      <c r="G192" s="732"/>
      <c r="H192" s="254"/>
      <c r="I192" s="254"/>
    </row>
    <row r="193" spans="1:9">
      <c r="A193" s="851" t="s">
        <v>2280</v>
      </c>
      <c r="B193" s="863"/>
      <c r="C193" s="864"/>
      <c r="D193" s="853">
        <v>3500</v>
      </c>
      <c r="E193" s="852">
        <v>3500</v>
      </c>
      <c r="F193" s="714" t="s">
        <v>2423</v>
      </c>
      <c r="G193" s="732"/>
      <c r="H193" s="254"/>
      <c r="I193" s="254"/>
    </row>
    <row r="194" spans="1:9">
      <c r="A194" s="851" t="s">
        <v>2281</v>
      </c>
      <c r="B194" s="856"/>
      <c r="C194" s="857">
        <v>95000</v>
      </c>
      <c r="D194" s="857">
        <v>98700</v>
      </c>
      <c r="E194" s="861">
        <v>3700</v>
      </c>
      <c r="F194" s="714" t="s">
        <v>2423</v>
      </c>
      <c r="G194" s="732"/>
      <c r="H194" s="254"/>
      <c r="I194" s="254"/>
    </row>
    <row r="195" spans="1:9">
      <c r="A195" s="851" t="s">
        <v>617</v>
      </c>
      <c r="B195" s="859">
        <v>252828</v>
      </c>
      <c r="C195" s="864"/>
      <c r="D195" s="864"/>
      <c r="E195" s="869">
        <v>252828</v>
      </c>
      <c r="F195" s="732" t="s">
        <v>2436</v>
      </c>
      <c r="G195" s="714"/>
    </row>
    <row r="196" spans="1:9">
      <c r="A196" s="851" t="s">
        <v>1423</v>
      </c>
      <c r="B196" s="852">
        <v>28377</v>
      </c>
      <c r="C196" s="864"/>
      <c r="D196" s="864"/>
      <c r="E196" s="852">
        <v>28377</v>
      </c>
      <c r="F196" s="714" t="s">
        <v>2423</v>
      </c>
      <c r="G196" s="714"/>
    </row>
    <row r="197" spans="1:9">
      <c r="A197" s="840" t="s">
        <v>2282</v>
      </c>
      <c r="B197" s="863"/>
      <c r="C197" s="853">
        <v>3600</v>
      </c>
      <c r="D197" s="853">
        <v>5546</v>
      </c>
      <c r="E197" s="852">
        <v>1946</v>
      </c>
      <c r="F197" s="714" t="s">
        <v>2423</v>
      </c>
      <c r="G197" s="732"/>
      <c r="H197" s="254"/>
      <c r="I197" s="254"/>
    </row>
    <row r="198" spans="1:9">
      <c r="A198" s="840" t="s">
        <v>618</v>
      </c>
      <c r="B198" s="861">
        <v>12448</v>
      </c>
      <c r="C198" s="857">
        <v>54495</v>
      </c>
      <c r="D198" s="857">
        <v>14900</v>
      </c>
      <c r="E198" s="874">
        <v>27147</v>
      </c>
      <c r="F198" s="732" t="s">
        <v>2436</v>
      </c>
      <c r="G198" s="732"/>
      <c r="H198" s="254"/>
      <c r="I198" s="254"/>
    </row>
    <row r="199" spans="1:9">
      <c r="A199" s="878" t="s">
        <v>1428</v>
      </c>
      <c r="B199" s="879"/>
      <c r="C199" s="880">
        <v>98734</v>
      </c>
      <c r="D199" s="880">
        <v>98734</v>
      </c>
      <c r="E199" s="879"/>
      <c r="F199" s="714"/>
      <c r="G199" s="714"/>
    </row>
    <row r="200" spans="1:9">
      <c r="A200" s="840" t="s">
        <v>621</v>
      </c>
      <c r="B200" s="861">
        <v>65063</v>
      </c>
      <c r="C200" s="856"/>
      <c r="D200" s="856"/>
      <c r="E200" s="861">
        <v>65063</v>
      </c>
      <c r="F200" s="714" t="s">
        <v>2423</v>
      </c>
      <c r="G200" s="714"/>
    </row>
    <row r="201" spans="1:9">
      <c r="A201" s="840" t="s">
        <v>623</v>
      </c>
      <c r="B201" s="863"/>
      <c r="C201" s="853">
        <v>2500</v>
      </c>
      <c r="D201" s="864"/>
      <c r="E201" s="869">
        <v>2500</v>
      </c>
      <c r="F201" s="732" t="s">
        <v>2436</v>
      </c>
      <c r="G201" s="732"/>
      <c r="H201" s="254"/>
      <c r="I201" s="254"/>
    </row>
    <row r="202" spans="1:9">
      <c r="A202" s="851" t="s">
        <v>2283</v>
      </c>
      <c r="B202" s="863"/>
      <c r="C202" s="864"/>
      <c r="D202" s="853">
        <v>11500</v>
      </c>
      <c r="E202" s="852">
        <v>11500</v>
      </c>
      <c r="F202" s="714" t="s">
        <v>2423</v>
      </c>
      <c r="G202" s="732"/>
      <c r="H202" s="254"/>
      <c r="I202" s="254"/>
    </row>
    <row r="203" spans="1:9">
      <c r="A203" s="851" t="s">
        <v>2284</v>
      </c>
      <c r="B203" s="863"/>
      <c r="C203" s="853">
        <v>8184</v>
      </c>
      <c r="D203" s="864"/>
      <c r="E203" s="869">
        <v>8184</v>
      </c>
      <c r="F203" s="732" t="s">
        <v>2436</v>
      </c>
      <c r="G203" s="732"/>
      <c r="H203" s="254"/>
      <c r="I203" s="254"/>
    </row>
    <row r="204" spans="1:9">
      <c r="A204" s="851" t="s">
        <v>2285</v>
      </c>
      <c r="B204" s="863"/>
      <c r="C204" s="853">
        <v>1850</v>
      </c>
      <c r="D204" s="864"/>
      <c r="E204" s="869">
        <v>1850</v>
      </c>
      <c r="F204" s="732" t="s">
        <v>2436</v>
      </c>
      <c r="G204" s="732"/>
      <c r="H204" s="254"/>
      <c r="I204" s="254"/>
    </row>
    <row r="205" spans="1:9">
      <c r="A205" s="851" t="s">
        <v>1972</v>
      </c>
      <c r="B205" s="859">
        <v>6260</v>
      </c>
      <c r="C205" s="853">
        <v>1027350</v>
      </c>
      <c r="D205" s="853">
        <v>1099750</v>
      </c>
      <c r="E205" s="852">
        <v>66140</v>
      </c>
      <c r="F205" s="714" t="s">
        <v>2423</v>
      </c>
      <c r="G205" s="732"/>
      <c r="H205" s="254"/>
      <c r="I205" s="254"/>
    </row>
    <row r="206" spans="1:9">
      <c r="A206" s="851" t="s">
        <v>627</v>
      </c>
      <c r="B206" s="859">
        <v>4760</v>
      </c>
      <c r="C206" s="853">
        <v>317036</v>
      </c>
      <c r="D206" s="853">
        <v>312550</v>
      </c>
      <c r="E206" s="869">
        <v>9246</v>
      </c>
      <c r="F206" s="732" t="s">
        <v>2436</v>
      </c>
      <c r="G206" s="714"/>
    </row>
    <row r="207" spans="1:9">
      <c r="A207" s="881" t="s">
        <v>2286</v>
      </c>
      <c r="B207" s="879"/>
      <c r="C207" s="880">
        <v>119000</v>
      </c>
      <c r="D207" s="880">
        <v>119000</v>
      </c>
      <c r="E207" s="879"/>
      <c r="F207" s="714"/>
      <c r="G207" s="714"/>
    </row>
    <row r="208" spans="1:9">
      <c r="A208" s="855" t="s">
        <v>1701</v>
      </c>
      <c r="B208" s="859">
        <v>405106.3</v>
      </c>
      <c r="C208" s="853">
        <v>1118228.7</v>
      </c>
      <c r="D208" s="853">
        <v>1509335</v>
      </c>
      <c r="E208" s="869">
        <v>14000</v>
      </c>
      <c r="F208" s="732" t="s">
        <v>2436</v>
      </c>
      <c r="G208" s="714"/>
    </row>
    <row r="209" spans="1:9">
      <c r="A209" s="840" t="s">
        <v>1281</v>
      </c>
      <c r="B209" s="861">
        <v>5785</v>
      </c>
      <c r="C209" s="857">
        <v>7500</v>
      </c>
      <c r="D209" s="857">
        <v>7500</v>
      </c>
      <c r="E209" s="861">
        <v>5785</v>
      </c>
      <c r="F209" s="714" t="s">
        <v>2423</v>
      </c>
      <c r="G209" s="714"/>
    </row>
    <row r="210" spans="1:9">
      <c r="A210" s="851" t="s">
        <v>1973</v>
      </c>
      <c r="B210" s="846">
        <v>3114</v>
      </c>
      <c r="C210" s="842">
        <v>199555</v>
      </c>
      <c r="D210" s="842">
        <v>195453</v>
      </c>
      <c r="E210" s="882">
        <v>988</v>
      </c>
      <c r="F210" s="732" t="s">
        <v>2436</v>
      </c>
      <c r="G210" s="732"/>
      <c r="H210" s="254"/>
      <c r="I210" s="254"/>
    </row>
    <row r="211" spans="1:9">
      <c r="A211" s="851" t="s">
        <v>2287</v>
      </c>
      <c r="B211" s="863"/>
      <c r="C211" s="853">
        <v>163786</v>
      </c>
      <c r="D211" s="864"/>
      <c r="E211" s="869">
        <v>163786</v>
      </c>
      <c r="F211" s="732" t="s">
        <v>2436</v>
      </c>
      <c r="G211" s="732"/>
      <c r="H211" s="254"/>
      <c r="I211" s="254"/>
    </row>
    <row r="212" spans="1:9">
      <c r="A212" s="855" t="s">
        <v>2288</v>
      </c>
      <c r="B212" s="863"/>
      <c r="C212" s="853">
        <v>2650000</v>
      </c>
      <c r="D212" s="864"/>
      <c r="E212" s="869">
        <v>2650000</v>
      </c>
      <c r="F212" s="732" t="s">
        <v>2436</v>
      </c>
      <c r="G212" s="732"/>
      <c r="H212" s="254"/>
      <c r="I212" s="254"/>
    </row>
    <row r="213" spans="1:9">
      <c r="A213" s="851" t="s">
        <v>632</v>
      </c>
      <c r="B213" s="859">
        <v>5480</v>
      </c>
      <c r="C213" s="853">
        <v>805151</v>
      </c>
      <c r="D213" s="853">
        <v>767225</v>
      </c>
      <c r="E213" s="869">
        <v>43406</v>
      </c>
      <c r="F213" s="732" t="s">
        <v>2436</v>
      </c>
      <c r="G213" s="732"/>
      <c r="H213" s="254"/>
      <c r="I213" s="254"/>
    </row>
    <row r="214" spans="1:9">
      <c r="A214" s="851" t="s">
        <v>1702</v>
      </c>
      <c r="B214" s="858">
        <v>191700</v>
      </c>
      <c r="C214" s="857">
        <v>5500</v>
      </c>
      <c r="D214" s="857">
        <v>190000</v>
      </c>
      <c r="E214" s="874">
        <v>7200</v>
      </c>
      <c r="F214" s="732" t="s">
        <v>2436</v>
      </c>
      <c r="G214" s="732"/>
      <c r="H214" s="254"/>
      <c r="I214" s="254"/>
    </row>
    <row r="215" spans="1:9">
      <c r="A215" s="883" t="s">
        <v>2289</v>
      </c>
      <c r="B215" s="884"/>
      <c r="C215" s="885">
        <v>649000</v>
      </c>
      <c r="D215" s="885">
        <v>649000</v>
      </c>
      <c r="E215" s="884"/>
      <c r="F215" s="714"/>
      <c r="G215" s="714"/>
    </row>
    <row r="216" spans="1:9">
      <c r="A216" s="851" t="s">
        <v>2290</v>
      </c>
      <c r="B216" s="856"/>
      <c r="C216" s="857">
        <v>60260</v>
      </c>
      <c r="D216" s="857">
        <v>60450</v>
      </c>
      <c r="E216" s="861">
        <v>190</v>
      </c>
      <c r="F216" s="714" t="s">
        <v>2423</v>
      </c>
      <c r="G216" s="732"/>
      <c r="H216" s="254"/>
      <c r="I216" s="254"/>
    </row>
    <row r="217" spans="1:9">
      <c r="A217" s="851" t="s">
        <v>1280</v>
      </c>
      <c r="B217" s="843"/>
      <c r="C217" s="842">
        <v>27341</v>
      </c>
      <c r="D217" s="842">
        <v>28716</v>
      </c>
      <c r="E217" s="846">
        <v>1375</v>
      </c>
      <c r="F217" s="714" t="s">
        <v>2423</v>
      </c>
      <c r="G217" s="732"/>
      <c r="H217" s="254"/>
      <c r="I217" s="254"/>
    </row>
    <row r="218" spans="1:9">
      <c r="A218" s="840" t="s">
        <v>1011</v>
      </c>
      <c r="B218" s="852">
        <v>28778</v>
      </c>
      <c r="C218" s="853">
        <v>249200</v>
      </c>
      <c r="D218" s="853">
        <v>275800</v>
      </c>
      <c r="E218" s="852">
        <v>55378</v>
      </c>
      <c r="F218" s="714" t="s">
        <v>2423</v>
      </c>
      <c r="G218" s="714"/>
    </row>
    <row r="219" spans="1:9">
      <c r="A219" s="840" t="s">
        <v>2291</v>
      </c>
      <c r="B219" s="863"/>
      <c r="C219" s="853">
        <v>3500</v>
      </c>
      <c r="D219" s="864"/>
      <c r="E219" s="869">
        <v>3500</v>
      </c>
      <c r="F219" s="732" t="s">
        <v>2436</v>
      </c>
      <c r="G219" s="732"/>
      <c r="H219" s="254"/>
      <c r="I219" s="254"/>
    </row>
    <row r="220" spans="1:9">
      <c r="A220" s="851" t="s">
        <v>2292</v>
      </c>
      <c r="B220" s="856"/>
      <c r="C220" s="857">
        <v>102808</v>
      </c>
      <c r="D220" s="857">
        <v>107808</v>
      </c>
      <c r="E220" s="861">
        <v>5000</v>
      </c>
      <c r="F220" s="714" t="s">
        <v>2423</v>
      </c>
      <c r="G220" s="732"/>
      <c r="H220" s="254"/>
      <c r="I220" s="254"/>
    </row>
    <row r="221" spans="1:9">
      <c r="A221" s="851" t="s">
        <v>2293</v>
      </c>
      <c r="B221" s="843"/>
      <c r="C221" s="842">
        <v>419500</v>
      </c>
      <c r="D221" s="842">
        <v>534395</v>
      </c>
      <c r="E221" s="846">
        <v>114895</v>
      </c>
      <c r="F221" s="714" t="s">
        <v>2423</v>
      </c>
      <c r="G221" s="732"/>
      <c r="H221" s="254"/>
      <c r="I221" s="254"/>
    </row>
    <row r="222" spans="1:9">
      <c r="A222" s="840" t="s">
        <v>635</v>
      </c>
      <c r="B222" s="861">
        <v>28091</v>
      </c>
      <c r="C222" s="857">
        <v>79941</v>
      </c>
      <c r="D222" s="857">
        <v>63534</v>
      </c>
      <c r="E222" s="861">
        <v>11684</v>
      </c>
      <c r="F222" s="714" t="s">
        <v>2423</v>
      </c>
      <c r="G222" s="714"/>
    </row>
    <row r="223" spans="1:9">
      <c r="A223" s="881" t="s">
        <v>2294</v>
      </c>
      <c r="B223" s="884"/>
      <c r="C223" s="885">
        <v>157500</v>
      </c>
      <c r="D223" s="885">
        <v>157500</v>
      </c>
      <c r="E223" s="884"/>
      <c r="F223" s="714"/>
      <c r="G223" s="714"/>
    </row>
    <row r="224" spans="1:9">
      <c r="A224" s="851" t="s">
        <v>637</v>
      </c>
      <c r="B224" s="861">
        <v>8965</v>
      </c>
      <c r="C224" s="857">
        <v>57897</v>
      </c>
      <c r="D224" s="857">
        <v>41956</v>
      </c>
      <c r="E224" s="874">
        <v>6976</v>
      </c>
      <c r="F224" s="732" t="s">
        <v>2436</v>
      </c>
      <c r="G224" s="732"/>
      <c r="H224" s="254"/>
      <c r="I224" s="254"/>
    </row>
    <row r="225" spans="1:9">
      <c r="A225" s="851" t="s">
        <v>1440</v>
      </c>
      <c r="B225" s="858">
        <v>16590</v>
      </c>
      <c r="C225" s="856"/>
      <c r="D225" s="856"/>
      <c r="E225" s="874">
        <v>16590</v>
      </c>
      <c r="F225" s="732" t="s">
        <v>2436</v>
      </c>
      <c r="G225" s="732"/>
      <c r="H225" s="254"/>
      <c r="I225" s="254"/>
    </row>
    <row r="226" spans="1:9">
      <c r="A226" s="840" t="s">
        <v>1976</v>
      </c>
      <c r="B226" s="852">
        <v>2857</v>
      </c>
      <c r="C226" s="853">
        <v>114870</v>
      </c>
      <c r="D226" s="853">
        <v>120005</v>
      </c>
      <c r="E226" s="852">
        <v>7992</v>
      </c>
      <c r="F226" s="714" t="s">
        <v>2423</v>
      </c>
      <c r="G226" s="714"/>
    </row>
    <row r="227" spans="1:9">
      <c r="A227" s="851" t="s">
        <v>1977</v>
      </c>
      <c r="B227" s="858">
        <v>292419</v>
      </c>
      <c r="C227" s="857">
        <v>2867071</v>
      </c>
      <c r="D227" s="857">
        <v>3255593</v>
      </c>
      <c r="E227" s="861">
        <v>96103</v>
      </c>
      <c r="F227" s="714" t="s">
        <v>2423</v>
      </c>
      <c r="G227" s="732"/>
      <c r="H227" s="254"/>
      <c r="I227" s="254"/>
    </row>
    <row r="228" spans="1:9">
      <c r="A228" s="851" t="s">
        <v>645</v>
      </c>
      <c r="B228" s="863"/>
      <c r="C228" s="853">
        <v>1173163</v>
      </c>
      <c r="D228" s="853">
        <v>1146287</v>
      </c>
      <c r="E228" s="869">
        <v>26876</v>
      </c>
      <c r="F228" s="732" t="s">
        <v>2436</v>
      </c>
      <c r="G228" s="732"/>
      <c r="H228" s="254"/>
      <c r="I228" s="254"/>
    </row>
    <row r="229" spans="1:9">
      <c r="A229" s="851" t="s">
        <v>646</v>
      </c>
      <c r="B229" s="852">
        <v>7808</v>
      </c>
      <c r="C229" s="864"/>
      <c r="D229" s="864"/>
      <c r="E229" s="852">
        <v>7808</v>
      </c>
      <c r="F229" s="714" t="s">
        <v>2423</v>
      </c>
      <c r="G229" s="714"/>
    </row>
    <row r="230" spans="1:9">
      <c r="A230" s="851" t="s">
        <v>649</v>
      </c>
      <c r="B230" s="861">
        <v>18445</v>
      </c>
      <c r="C230" s="857">
        <v>170565</v>
      </c>
      <c r="D230" s="857">
        <v>227022</v>
      </c>
      <c r="E230" s="861">
        <v>74902</v>
      </c>
      <c r="F230" s="714" t="s">
        <v>2423</v>
      </c>
      <c r="G230" s="714"/>
    </row>
    <row r="231" spans="1:9">
      <c r="A231" s="851" t="s">
        <v>2295</v>
      </c>
      <c r="B231" s="863"/>
      <c r="C231" s="853">
        <v>1171168</v>
      </c>
      <c r="D231" s="853">
        <v>1182470</v>
      </c>
      <c r="E231" s="852">
        <v>11302</v>
      </c>
      <c r="F231" s="714" t="s">
        <v>2423</v>
      </c>
      <c r="G231" s="732"/>
      <c r="H231" s="254"/>
      <c r="I231" s="254"/>
    </row>
    <row r="232" spans="1:9">
      <c r="A232" s="851" t="s">
        <v>1442</v>
      </c>
      <c r="B232" s="856"/>
      <c r="C232" s="857">
        <v>2420</v>
      </c>
      <c r="D232" s="856"/>
      <c r="E232" s="874">
        <v>2420</v>
      </c>
      <c r="F232" s="732" t="s">
        <v>2436</v>
      </c>
      <c r="G232" s="732"/>
      <c r="H232" s="254"/>
      <c r="I232" s="254"/>
    </row>
    <row r="233" spans="1:9">
      <c r="A233" s="851" t="s">
        <v>1017</v>
      </c>
      <c r="B233" s="852">
        <v>34896</v>
      </c>
      <c r="C233" s="853">
        <v>298960</v>
      </c>
      <c r="D233" s="853">
        <v>319233</v>
      </c>
      <c r="E233" s="852">
        <v>55169</v>
      </c>
      <c r="F233" s="714" t="s">
        <v>2423</v>
      </c>
      <c r="G233" s="714"/>
    </row>
    <row r="234" spans="1:9">
      <c r="A234" s="851" t="s">
        <v>1703</v>
      </c>
      <c r="B234" s="859">
        <v>99949</v>
      </c>
      <c r="C234" s="853">
        <v>3113747</v>
      </c>
      <c r="D234" s="853">
        <v>2946986</v>
      </c>
      <c r="E234" s="869">
        <v>266710</v>
      </c>
      <c r="F234" s="732" t="s">
        <v>2436</v>
      </c>
      <c r="G234" s="714"/>
    </row>
    <row r="235" spans="1:9">
      <c r="A235" s="851" t="s">
        <v>2296</v>
      </c>
      <c r="B235" s="863"/>
      <c r="C235" s="853">
        <v>4300</v>
      </c>
      <c r="D235" s="853">
        <v>4900</v>
      </c>
      <c r="E235" s="852">
        <v>600</v>
      </c>
      <c r="F235" s="714" t="s">
        <v>2423</v>
      </c>
      <c r="G235" s="732"/>
      <c r="H235" s="254"/>
      <c r="I235" s="254"/>
    </row>
    <row r="236" spans="1:9">
      <c r="A236" s="840" t="s">
        <v>2297</v>
      </c>
      <c r="B236" s="856"/>
      <c r="C236" s="857">
        <v>6000</v>
      </c>
      <c r="D236" s="856"/>
      <c r="E236" s="874">
        <v>6000</v>
      </c>
      <c r="F236" s="732" t="s">
        <v>2436</v>
      </c>
      <c r="G236" s="732"/>
      <c r="H236" s="254"/>
      <c r="I236" s="254"/>
    </row>
    <row r="237" spans="1:9">
      <c r="A237" s="881" t="s">
        <v>1978</v>
      </c>
      <c r="B237" s="886">
        <v>7897</v>
      </c>
      <c r="C237" s="880">
        <v>7897</v>
      </c>
      <c r="D237" s="887"/>
      <c r="E237" s="879"/>
      <c r="F237" s="714"/>
      <c r="G237" s="714"/>
    </row>
    <row r="238" spans="1:9">
      <c r="A238" s="851" t="s">
        <v>1445</v>
      </c>
      <c r="B238" s="861">
        <v>6330</v>
      </c>
      <c r="C238" s="856"/>
      <c r="D238" s="856"/>
      <c r="E238" s="861">
        <v>6330</v>
      </c>
      <c r="F238" s="714" t="s">
        <v>2423</v>
      </c>
      <c r="G238" s="714"/>
    </row>
    <row r="239" spans="1:9">
      <c r="A239" s="840" t="s">
        <v>1705</v>
      </c>
      <c r="B239" s="852">
        <v>13426</v>
      </c>
      <c r="C239" s="864"/>
      <c r="D239" s="864"/>
      <c r="E239" s="852">
        <v>13426</v>
      </c>
      <c r="F239" s="714" t="s">
        <v>2423</v>
      </c>
      <c r="G239" s="714"/>
    </row>
    <row r="240" spans="1:9">
      <c r="A240" s="851" t="s">
        <v>2298</v>
      </c>
      <c r="B240" s="863"/>
      <c r="C240" s="853">
        <v>124400</v>
      </c>
      <c r="D240" s="864"/>
      <c r="E240" s="869">
        <v>124400</v>
      </c>
      <c r="F240" s="732" t="s">
        <v>2436</v>
      </c>
      <c r="G240" s="732"/>
      <c r="H240" s="254"/>
      <c r="I240" s="254"/>
    </row>
    <row r="241" spans="1:9">
      <c r="A241" s="851" t="s">
        <v>1980</v>
      </c>
      <c r="B241" s="859">
        <v>26469</v>
      </c>
      <c r="C241" s="853">
        <v>10450</v>
      </c>
      <c r="D241" s="853">
        <v>41055</v>
      </c>
      <c r="E241" s="852">
        <v>4136</v>
      </c>
      <c r="F241" s="714" t="s">
        <v>2423</v>
      </c>
      <c r="G241" s="732"/>
      <c r="H241" s="254"/>
      <c r="I241" s="254"/>
    </row>
    <row r="242" spans="1:9">
      <c r="A242" s="851" t="s">
        <v>661</v>
      </c>
      <c r="B242" s="863"/>
      <c r="C242" s="853">
        <v>6500</v>
      </c>
      <c r="D242" s="864"/>
      <c r="E242" s="869">
        <v>6500</v>
      </c>
      <c r="F242" s="732" t="s">
        <v>2436</v>
      </c>
      <c r="G242" s="732"/>
      <c r="H242" s="254"/>
      <c r="I242" s="254"/>
    </row>
    <row r="243" spans="1:9">
      <c r="A243" s="851" t="s">
        <v>2299</v>
      </c>
      <c r="B243" s="856"/>
      <c r="C243" s="857">
        <v>120000</v>
      </c>
      <c r="D243" s="857">
        <v>131192</v>
      </c>
      <c r="E243" s="861">
        <v>11192</v>
      </c>
      <c r="F243" s="714" t="s">
        <v>2423</v>
      </c>
      <c r="G243" s="732"/>
      <c r="H243" s="254"/>
      <c r="I243" s="254"/>
    </row>
    <row r="244" spans="1:9">
      <c r="A244" s="851" t="s">
        <v>665</v>
      </c>
      <c r="B244" s="852">
        <v>33942</v>
      </c>
      <c r="C244" s="864"/>
      <c r="D244" s="864"/>
      <c r="E244" s="852">
        <v>33942</v>
      </c>
      <c r="F244" s="714"/>
      <c r="G244" s="714"/>
    </row>
    <row r="245" spans="1:9">
      <c r="A245" s="851" t="s">
        <v>1706</v>
      </c>
      <c r="B245" s="859">
        <v>95383.5</v>
      </c>
      <c r="C245" s="853">
        <v>3872820</v>
      </c>
      <c r="D245" s="853">
        <v>2557248</v>
      </c>
      <c r="E245" s="869">
        <v>1410955.5</v>
      </c>
      <c r="F245" s="732" t="s">
        <v>2436</v>
      </c>
      <c r="G245" s="714"/>
    </row>
    <row r="246" spans="1:9">
      <c r="A246" s="878" t="s">
        <v>2300</v>
      </c>
      <c r="B246" s="888"/>
      <c r="C246" s="889">
        <v>13500</v>
      </c>
      <c r="D246" s="889">
        <v>13500</v>
      </c>
      <c r="E246" s="888"/>
      <c r="F246" s="714"/>
      <c r="G246" s="714"/>
    </row>
    <row r="247" spans="1:9">
      <c r="A247" s="851" t="s">
        <v>667</v>
      </c>
      <c r="B247" s="846">
        <v>16718</v>
      </c>
      <c r="C247" s="842">
        <v>142660</v>
      </c>
      <c r="D247" s="842">
        <v>184251</v>
      </c>
      <c r="E247" s="846">
        <v>58309</v>
      </c>
      <c r="F247" s="714" t="s">
        <v>2423</v>
      </c>
      <c r="G247" s="714"/>
    </row>
    <row r="248" spans="1:9">
      <c r="A248" s="840" t="s">
        <v>1982</v>
      </c>
      <c r="B248" s="858">
        <v>268460</v>
      </c>
      <c r="C248" s="857">
        <v>1337900</v>
      </c>
      <c r="D248" s="857">
        <v>1581810</v>
      </c>
      <c r="E248" s="874">
        <v>24550</v>
      </c>
      <c r="F248" s="732" t="s">
        <v>2436</v>
      </c>
      <c r="G248" s="714"/>
    </row>
    <row r="249" spans="1:9">
      <c r="A249" s="851" t="s">
        <v>1983</v>
      </c>
      <c r="B249" s="846">
        <v>20954</v>
      </c>
      <c r="C249" s="842">
        <v>770803</v>
      </c>
      <c r="D249" s="842">
        <v>716861</v>
      </c>
      <c r="E249" s="882">
        <v>32988</v>
      </c>
      <c r="F249" s="732" t="s">
        <v>2436</v>
      </c>
      <c r="G249" s="732"/>
      <c r="H249" s="254"/>
      <c r="I249" s="254"/>
    </row>
    <row r="250" spans="1:9">
      <c r="A250" s="840" t="s">
        <v>1449</v>
      </c>
      <c r="B250" s="846">
        <v>12539</v>
      </c>
      <c r="C250" s="842">
        <v>167078</v>
      </c>
      <c r="D250" s="842">
        <v>167973</v>
      </c>
      <c r="E250" s="846">
        <v>13434</v>
      </c>
      <c r="F250" s="714" t="s">
        <v>2423</v>
      </c>
      <c r="G250" s="714"/>
    </row>
    <row r="251" spans="1:9">
      <c r="A251" s="851" t="s">
        <v>669</v>
      </c>
      <c r="B251" s="859">
        <v>21514</v>
      </c>
      <c r="C251" s="853">
        <v>589890</v>
      </c>
      <c r="D251" s="853">
        <v>558848</v>
      </c>
      <c r="E251" s="869">
        <v>52556</v>
      </c>
      <c r="F251" s="732" t="s">
        <v>2436</v>
      </c>
      <c r="G251" s="714"/>
    </row>
    <row r="252" spans="1:9">
      <c r="A252" s="851" t="s">
        <v>1450</v>
      </c>
      <c r="B252" s="863"/>
      <c r="C252" s="853">
        <v>1387</v>
      </c>
      <c r="D252" s="864"/>
      <c r="E252" s="869">
        <v>1387</v>
      </c>
      <c r="F252" s="732" t="s">
        <v>2436</v>
      </c>
      <c r="G252" s="732"/>
      <c r="H252" s="254"/>
      <c r="I252" s="254"/>
    </row>
    <row r="253" spans="1:9">
      <c r="A253" s="840" t="s">
        <v>670</v>
      </c>
      <c r="B253" s="861">
        <v>75441</v>
      </c>
      <c r="C253" s="857">
        <v>509550</v>
      </c>
      <c r="D253" s="857">
        <v>373470</v>
      </c>
      <c r="E253" s="874">
        <v>60639</v>
      </c>
      <c r="F253" s="732" t="s">
        <v>2436</v>
      </c>
      <c r="G253" s="732"/>
      <c r="H253" s="254"/>
      <c r="I253" s="254"/>
    </row>
    <row r="254" spans="1:9">
      <c r="A254" s="851" t="s">
        <v>2301</v>
      </c>
      <c r="B254" s="863"/>
      <c r="C254" s="853">
        <v>2491217</v>
      </c>
      <c r="D254" s="853">
        <v>2502424</v>
      </c>
      <c r="E254" s="852">
        <v>11207</v>
      </c>
      <c r="F254" s="714" t="s">
        <v>2423</v>
      </c>
      <c r="G254" s="732"/>
      <c r="H254" s="254"/>
      <c r="I254" s="254"/>
    </row>
    <row r="255" spans="1:9">
      <c r="A255" s="851" t="s">
        <v>2302</v>
      </c>
      <c r="B255" s="856"/>
      <c r="C255" s="857">
        <v>13</v>
      </c>
      <c r="D255" s="856"/>
      <c r="E255" s="874">
        <v>13</v>
      </c>
      <c r="F255" s="732" t="s">
        <v>2436</v>
      </c>
      <c r="G255" s="732"/>
      <c r="H255" s="254"/>
      <c r="I255" s="254"/>
    </row>
    <row r="256" spans="1:9">
      <c r="A256" s="851" t="s">
        <v>1279</v>
      </c>
      <c r="B256" s="859">
        <v>234568</v>
      </c>
      <c r="C256" s="853">
        <v>30000</v>
      </c>
      <c r="D256" s="864"/>
      <c r="E256" s="869">
        <v>264568</v>
      </c>
      <c r="F256" s="732" t="s">
        <v>2436</v>
      </c>
      <c r="G256" s="714"/>
    </row>
    <row r="257" spans="1:9">
      <c r="A257" s="851" t="s">
        <v>2303</v>
      </c>
      <c r="B257" s="863"/>
      <c r="C257" s="853">
        <v>45530</v>
      </c>
      <c r="D257" s="864"/>
      <c r="E257" s="869">
        <v>45530</v>
      </c>
      <c r="F257" s="732" t="s">
        <v>2436</v>
      </c>
      <c r="G257" s="732"/>
      <c r="H257" s="254"/>
      <c r="I257" s="254"/>
    </row>
    <row r="258" spans="1:9">
      <c r="A258" s="881" t="s">
        <v>1985</v>
      </c>
      <c r="B258" s="886">
        <v>328459</v>
      </c>
      <c r="C258" s="880">
        <v>328459</v>
      </c>
      <c r="D258" s="887"/>
      <c r="E258" s="879"/>
      <c r="F258" s="714"/>
      <c r="G258" s="714"/>
    </row>
    <row r="259" spans="1:9">
      <c r="A259" s="840" t="s">
        <v>2304</v>
      </c>
      <c r="B259" s="863"/>
      <c r="C259" s="853">
        <v>3500</v>
      </c>
      <c r="D259" s="853">
        <v>3827</v>
      </c>
      <c r="E259" s="852">
        <v>327</v>
      </c>
      <c r="F259" s="714" t="s">
        <v>2423</v>
      </c>
      <c r="G259" s="732"/>
      <c r="H259" s="254"/>
      <c r="I259" s="254"/>
    </row>
    <row r="260" spans="1:9">
      <c r="A260" s="851" t="s">
        <v>671</v>
      </c>
      <c r="B260" s="863"/>
      <c r="C260" s="853">
        <v>10000</v>
      </c>
      <c r="D260" s="864"/>
      <c r="E260" s="869">
        <v>10000</v>
      </c>
      <c r="F260" s="732" t="s">
        <v>2436</v>
      </c>
      <c r="G260" s="732"/>
      <c r="H260" s="254"/>
      <c r="I260" s="254"/>
    </row>
    <row r="261" spans="1:9">
      <c r="A261" s="851" t="s">
        <v>1986</v>
      </c>
      <c r="B261" s="859">
        <v>44550</v>
      </c>
      <c r="C261" s="853">
        <v>835100</v>
      </c>
      <c r="D261" s="853">
        <v>899347</v>
      </c>
      <c r="E261" s="852">
        <v>19697</v>
      </c>
      <c r="F261" s="714" t="s">
        <v>2423</v>
      </c>
      <c r="G261" s="732"/>
      <c r="H261" s="254"/>
      <c r="I261" s="254"/>
    </row>
    <row r="262" spans="1:9">
      <c r="A262" s="851" t="s">
        <v>1025</v>
      </c>
      <c r="B262" s="858">
        <v>218178</v>
      </c>
      <c r="C262" s="857">
        <v>2296960</v>
      </c>
      <c r="D262" s="857">
        <v>2470453</v>
      </c>
      <c r="E262" s="874">
        <v>44685</v>
      </c>
      <c r="F262" s="732" t="s">
        <v>2436</v>
      </c>
      <c r="G262" s="714"/>
    </row>
    <row r="263" spans="1:9">
      <c r="A263" s="855" t="s">
        <v>1987</v>
      </c>
      <c r="B263" s="859">
        <v>119700</v>
      </c>
      <c r="C263" s="853">
        <v>232500</v>
      </c>
      <c r="D263" s="853">
        <v>283330</v>
      </c>
      <c r="E263" s="869">
        <v>68870</v>
      </c>
      <c r="F263" s="732" t="s">
        <v>2436</v>
      </c>
      <c r="G263" s="714"/>
    </row>
    <row r="264" spans="1:9">
      <c r="A264" s="851" t="s">
        <v>1455</v>
      </c>
      <c r="B264" s="859">
        <v>6564</v>
      </c>
      <c r="C264" s="853">
        <v>608905</v>
      </c>
      <c r="D264" s="853">
        <v>571118</v>
      </c>
      <c r="E264" s="869">
        <v>44351</v>
      </c>
      <c r="F264" s="732" t="s">
        <v>2436</v>
      </c>
      <c r="G264" s="714"/>
    </row>
    <row r="265" spans="1:9">
      <c r="A265" s="851" t="s">
        <v>2305</v>
      </c>
      <c r="B265" s="856"/>
      <c r="C265" s="857">
        <v>8950</v>
      </c>
      <c r="D265" s="857">
        <v>8950</v>
      </c>
      <c r="E265" s="856"/>
      <c r="F265" s="714"/>
      <c r="G265" s="714"/>
    </row>
    <row r="266" spans="1:9">
      <c r="A266" s="840" t="s">
        <v>677</v>
      </c>
      <c r="B266" s="862">
        <v>37934</v>
      </c>
      <c r="C266" s="842">
        <v>516502</v>
      </c>
      <c r="D266" s="842">
        <v>500349</v>
      </c>
      <c r="E266" s="882">
        <v>54087</v>
      </c>
      <c r="F266" s="732" t="s">
        <v>2436</v>
      </c>
      <c r="G266" s="714"/>
    </row>
    <row r="267" spans="1:9">
      <c r="A267" s="840" t="s">
        <v>2306</v>
      </c>
      <c r="B267" s="863"/>
      <c r="C267" s="853">
        <v>1850</v>
      </c>
      <c r="D267" s="853">
        <v>5000</v>
      </c>
      <c r="E267" s="852">
        <v>3150</v>
      </c>
      <c r="F267" s="714" t="s">
        <v>2423</v>
      </c>
      <c r="G267" s="732"/>
      <c r="H267" s="254"/>
      <c r="I267" s="254"/>
    </row>
    <row r="268" spans="1:9">
      <c r="A268" s="851" t="s">
        <v>1816</v>
      </c>
      <c r="B268" s="859">
        <v>34313</v>
      </c>
      <c r="C268" s="853">
        <v>254979</v>
      </c>
      <c r="D268" s="853">
        <v>267112</v>
      </c>
      <c r="E268" s="869">
        <v>22180</v>
      </c>
      <c r="F268" s="732" t="s">
        <v>2436</v>
      </c>
      <c r="G268" s="714"/>
    </row>
    <row r="269" spans="1:9">
      <c r="A269" s="851" t="s">
        <v>2307</v>
      </c>
      <c r="B269" s="863"/>
      <c r="C269" s="853">
        <v>9435</v>
      </c>
      <c r="D269" s="853">
        <v>73550</v>
      </c>
      <c r="E269" s="852">
        <v>64115</v>
      </c>
      <c r="F269" s="714" t="s">
        <v>2423</v>
      </c>
      <c r="G269" s="732"/>
      <c r="H269" s="254"/>
      <c r="I269" s="254"/>
    </row>
    <row r="270" spans="1:9">
      <c r="A270" s="851" t="s">
        <v>1027</v>
      </c>
      <c r="B270" s="861">
        <v>9225</v>
      </c>
      <c r="C270" s="856"/>
      <c r="D270" s="856"/>
      <c r="E270" s="861">
        <v>9225</v>
      </c>
      <c r="F270" s="714" t="s">
        <v>2423</v>
      </c>
      <c r="G270" s="714"/>
    </row>
    <row r="271" spans="1:9">
      <c r="A271" s="851" t="s">
        <v>2308</v>
      </c>
      <c r="B271" s="863"/>
      <c r="C271" s="853">
        <v>4011822</v>
      </c>
      <c r="D271" s="853">
        <v>4011822</v>
      </c>
      <c r="E271" s="863"/>
      <c r="F271" s="714"/>
      <c r="G271" s="714"/>
    </row>
    <row r="272" spans="1:9">
      <c r="A272" s="881" t="s">
        <v>1988</v>
      </c>
      <c r="B272" s="890">
        <v>27302</v>
      </c>
      <c r="C272" s="889">
        <v>27302</v>
      </c>
      <c r="D272" s="888"/>
      <c r="E272" s="888"/>
      <c r="F272" s="714"/>
      <c r="G272" s="714"/>
    </row>
    <row r="273" spans="1:9">
      <c r="A273" s="851" t="s">
        <v>1712</v>
      </c>
      <c r="B273" s="859">
        <v>198116</v>
      </c>
      <c r="C273" s="853">
        <v>1340985</v>
      </c>
      <c r="D273" s="853">
        <v>1476711</v>
      </c>
      <c r="E273" s="869">
        <v>62390</v>
      </c>
      <c r="F273" s="732" t="s">
        <v>2436</v>
      </c>
      <c r="G273" s="714"/>
    </row>
    <row r="274" spans="1:9">
      <c r="A274" s="851" t="s">
        <v>2309</v>
      </c>
      <c r="B274" s="856"/>
      <c r="C274" s="857">
        <v>87000</v>
      </c>
      <c r="D274" s="857">
        <v>87150</v>
      </c>
      <c r="E274" s="861">
        <v>150</v>
      </c>
      <c r="F274" s="714" t="s">
        <v>2423</v>
      </c>
      <c r="G274" s="732"/>
      <c r="H274" s="254"/>
      <c r="I274" s="254"/>
    </row>
    <row r="275" spans="1:9">
      <c r="A275" s="840" t="s">
        <v>685</v>
      </c>
      <c r="B275" s="858">
        <v>265000</v>
      </c>
      <c r="C275" s="857">
        <v>25000</v>
      </c>
      <c r="D275" s="856"/>
      <c r="E275" s="874">
        <v>290000</v>
      </c>
      <c r="F275" s="732" t="s">
        <v>2436</v>
      </c>
      <c r="G275" s="714"/>
    </row>
    <row r="276" spans="1:9">
      <c r="A276" s="851" t="s">
        <v>2310</v>
      </c>
      <c r="B276" s="843"/>
      <c r="C276" s="842">
        <v>400000</v>
      </c>
      <c r="D276" s="843"/>
      <c r="E276" s="882">
        <v>400000</v>
      </c>
      <c r="F276" s="732" t="s">
        <v>2436</v>
      </c>
      <c r="G276" s="732"/>
      <c r="H276" s="254"/>
      <c r="I276" s="254"/>
    </row>
    <row r="277" spans="1:9">
      <c r="A277" s="840" t="s">
        <v>1819</v>
      </c>
      <c r="B277" s="856"/>
      <c r="C277" s="856"/>
      <c r="D277" s="857">
        <v>6465</v>
      </c>
      <c r="E277" s="861">
        <v>6465</v>
      </c>
      <c r="F277" s="714" t="s">
        <v>2423</v>
      </c>
      <c r="G277" s="732"/>
      <c r="H277" s="254"/>
      <c r="I277" s="254"/>
    </row>
    <row r="278" spans="1:9">
      <c r="A278" s="851" t="s">
        <v>2311</v>
      </c>
      <c r="B278" s="863"/>
      <c r="C278" s="853">
        <v>2000000</v>
      </c>
      <c r="D278" s="853">
        <v>2330441</v>
      </c>
      <c r="E278" s="852">
        <v>330441</v>
      </c>
      <c r="F278" s="714" t="s">
        <v>2423</v>
      </c>
      <c r="G278" s="732"/>
      <c r="H278" s="254"/>
      <c r="I278" s="254"/>
    </row>
    <row r="279" spans="1:9">
      <c r="A279" s="881" t="s">
        <v>1990</v>
      </c>
      <c r="B279" s="891">
        <v>92384</v>
      </c>
      <c r="C279" s="889">
        <v>828731</v>
      </c>
      <c r="D279" s="889">
        <v>921115</v>
      </c>
      <c r="E279" s="888"/>
      <c r="F279" s="714"/>
      <c r="G279" s="714"/>
    </row>
    <row r="280" spans="1:9">
      <c r="A280" s="840" t="s">
        <v>1029</v>
      </c>
      <c r="B280" s="863"/>
      <c r="C280" s="853">
        <v>9100</v>
      </c>
      <c r="D280" s="853">
        <v>9399</v>
      </c>
      <c r="E280" s="852">
        <v>299</v>
      </c>
      <c r="F280" s="714" t="s">
        <v>2423</v>
      </c>
      <c r="G280" s="732"/>
      <c r="H280" s="254"/>
      <c r="I280" s="254"/>
    </row>
    <row r="281" spans="1:9">
      <c r="A281" s="851" t="s">
        <v>2312</v>
      </c>
      <c r="B281" s="856"/>
      <c r="C281" s="857">
        <v>22500</v>
      </c>
      <c r="D281" s="857">
        <v>22715</v>
      </c>
      <c r="E281" s="861">
        <v>215</v>
      </c>
      <c r="F281" s="714" t="s">
        <v>2423</v>
      </c>
      <c r="G281" s="732"/>
      <c r="H281" s="254"/>
      <c r="I281" s="254"/>
    </row>
    <row r="282" spans="1:9">
      <c r="A282" s="851" t="s">
        <v>2313</v>
      </c>
      <c r="B282" s="863"/>
      <c r="C282" s="853">
        <v>329543</v>
      </c>
      <c r="D282" s="853">
        <v>296543</v>
      </c>
      <c r="E282" s="869">
        <v>33000</v>
      </c>
      <c r="F282" s="732" t="s">
        <v>2436</v>
      </c>
      <c r="G282" s="732"/>
      <c r="H282" s="254"/>
      <c r="I282" s="254"/>
    </row>
    <row r="283" spans="1:9">
      <c r="A283" s="851" t="s">
        <v>1031</v>
      </c>
      <c r="B283" s="852">
        <v>207531</v>
      </c>
      <c r="C283" s="853">
        <v>5440322</v>
      </c>
      <c r="D283" s="853">
        <v>3996038</v>
      </c>
      <c r="E283" s="869">
        <v>1236753</v>
      </c>
      <c r="F283" s="732" t="s">
        <v>2436</v>
      </c>
      <c r="G283" s="732"/>
      <c r="H283" s="254"/>
      <c r="I283" s="254"/>
    </row>
    <row r="284" spans="1:9">
      <c r="A284" s="840" t="s">
        <v>1991</v>
      </c>
      <c r="B284" s="859">
        <v>12545</v>
      </c>
      <c r="C284" s="892">
        <v>1144156</v>
      </c>
      <c r="D284" s="892">
        <v>1180283</v>
      </c>
      <c r="E284" s="852">
        <v>23582</v>
      </c>
      <c r="F284" s="714" t="s">
        <v>2423</v>
      </c>
      <c r="G284" s="732"/>
      <c r="H284" s="254"/>
      <c r="I284" s="254"/>
    </row>
    <row r="285" spans="1:9">
      <c r="A285" s="871" t="s">
        <v>2314</v>
      </c>
      <c r="B285" s="843"/>
      <c r="C285" s="872">
        <v>52000</v>
      </c>
      <c r="D285" s="872">
        <v>64300</v>
      </c>
      <c r="E285" s="846">
        <v>12300</v>
      </c>
      <c r="F285" s="714" t="s">
        <v>2423</v>
      </c>
      <c r="G285" s="732"/>
      <c r="H285" s="254"/>
      <c r="I285" s="254"/>
    </row>
    <row r="286" spans="1:9">
      <c r="A286" s="851" t="s">
        <v>696</v>
      </c>
      <c r="B286" s="861">
        <v>11035</v>
      </c>
      <c r="C286" s="856"/>
      <c r="D286" s="856"/>
      <c r="E286" s="861">
        <v>11035</v>
      </c>
      <c r="F286" s="714" t="s">
        <v>2423</v>
      </c>
      <c r="G286" s="732"/>
      <c r="H286" s="254"/>
      <c r="I286" s="254"/>
    </row>
    <row r="287" spans="1:9">
      <c r="A287" s="851" t="s">
        <v>1992</v>
      </c>
      <c r="B287" s="852">
        <v>1600</v>
      </c>
      <c r="C287" s="864"/>
      <c r="D287" s="864"/>
      <c r="E287" s="852">
        <v>1600</v>
      </c>
      <c r="F287" s="714" t="s">
        <v>2423</v>
      </c>
      <c r="G287" s="732"/>
      <c r="H287" s="254"/>
      <c r="I287" s="254"/>
    </row>
    <row r="288" spans="1:9">
      <c r="A288" s="851" t="s">
        <v>2315</v>
      </c>
      <c r="B288" s="863"/>
      <c r="C288" s="892">
        <v>20000</v>
      </c>
      <c r="D288" s="863"/>
      <c r="E288" s="869">
        <v>20000</v>
      </c>
      <c r="F288" s="732" t="s">
        <v>2436</v>
      </c>
      <c r="G288" s="732"/>
      <c r="H288" s="254"/>
      <c r="I288" s="254"/>
    </row>
    <row r="289" spans="1:9">
      <c r="A289" s="871" t="s">
        <v>2316</v>
      </c>
      <c r="B289" s="843"/>
      <c r="C289" s="872">
        <v>2800</v>
      </c>
      <c r="D289" s="893"/>
      <c r="E289" s="882">
        <v>2800</v>
      </c>
      <c r="F289" s="732" t="s">
        <v>2436</v>
      </c>
      <c r="G289" s="732"/>
      <c r="H289" s="254"/>
      <c r="I289" s="254"/>
    </row>
    <row r="290" spans="1:9">
      <c r="A290" s="840" t="s">
        <v>700</v>
      </c>
      <c r="B290" s="852">
        <v>42983</v>
      </c>
      <c r="C290" s="864"/>
      <c r="D290" s="864"/>
      <c r="E290" s="852">
        <v>42983</v>
      </c>
      <c r="F290" s="714" t="s">
        <v>2423</v>
      </c>
      <c r="G290" s="732"/>
      <c r="H290" s="254"/>
      <c r="I290" s="254"/>
    </row>
    <row r="291" spans="1:9">
      <c r="A291" s="851" t="s">
        <v>1993</v>
      </c>
      <c r="B291" s="852">
        <v>3800</v>
      </c>
      <c r="C291" s="864"/>
      <c r="D291" s="864"/>
      <c r="E291" s="852">
        <v>3800</v>
      </c>
      <c r="F291" s="714" t="s">
        <v>2423</v>
      </c>
      <c r="G291" s="732"/>
      <c r="H291" s="254"/>
      <c r="I291" s="254"/>
    </row>
    <row r="292" spans="1:9">
      <c r="A292" s="851" t="s">
        <v>1032</v>
      </c>
      <c r="B292" s="852">
        <v>316617.93</v>
      </c>
      <c r="C292" s="864"/>
      <c r="D292" s="864"/>
      <c r="E292" s="852">
        <v>316617.93</v>
      </c>
      <c r="F292" s="714" t="s">
        <v>2423</v>
      </c>
      <c r="G292" s="732"/>
      <c r="H292" s="254"/>
      <c r="I292" s="254"/>
    </row>
    <row r="293" spans="1:9">
      <c r="A293" s="840" t="s">
        <v>1994</v>
      </c>
      <c r="B293" s="852">
        <v>5574</v>
      </c>
      <c r="C293" s="853">
        <v>25000</v>
      </c>
      <c r="D293" s="864"/>
      <c r="E293" s="869">
        <v>19426</v>
      </c>
      <c r="F293" s="732" t="s">
        <v>2436</v>
      </c>
      <c r="G293" s="732"/>
      <c r="H293" s="254"/>
      <c r="I293" s="254"/>
    </row>
    <row r="294" spans="1:9">
      <c r="A294" s="840" t="s">
        <v>650</v>
      </c>
      <c r="B294" s="852">
        <v>135879</v>
      </c>
      <c r="C294" s="853">
        <v>104433</v>
      </c>
      <c r="D294" s="853">
        <v>115264</v>
      </c>
      <c r="E294" s="852">
        <v>146710</v>
      </c>
      <c r="F294" s="714" t="s">
        <v>2423</v>
      </c>
      <c r="G294" s="714"/>
    </row>
    <row r="295" spans="1:9">
      <c r="A295" s="840" t="s">
        <v>656</v>
      </c>
      <c r="B295" s="859">
        <v>55979</v>
      </c>
      <c r="C295" s="864"/>
      <c r="D295" s="853">
        <v>43300</v>
      </c>
      <c r="E295" s="869">
        <v>12679</v>
      </c>
      <c r="F295" s="732" t="s">
        <v>2436</v>
      </c>
      <c r="G295" s="714"/>
    </row>
    <row r="296" spans="1:9">
      <c r="A296" s="840" t="s">
        <v>1176</v>
      </c>
      <c r="B296" s="852">
        <v>11194</v>
      </c>
      <c r="C296" s="864"/>
      <c r="D296" s="864"/>
      <c r="E296" s="852">
        <v>11194</v>
      </c>
      <c r="F296" s="714" t="s">
        <v>2423</v>
      </c>
      <c r="G296" s="714"/>
    </row>
    <row r="297" spans="1:9">
      <c r="A297" s="840" t="s">
        <v>2317</v>
      </c>
      <c r="B297" s="859">
        <v>13577</v>
      </c>
      <c r="C297" s="853">
        <v>94078</v>
      </c>
      <c r="D297" s="853">
        <v>109325</v>
      </c>
      <c r="E297" s="852">
        <v>1670</v>
      </c>
      <c r="F297" s="714" t="s">
        <v>2423</v>
      </c>
      <c r="G297" s="732"/>
      <c r="H297" s="254"/>
      <c r="I297" s="254"/>
    </row>
    <row r="298" spans="1:9">
      <c r="A298" s="840" t="s">
        <v>1464</v>
      </c>
      <c r="B298" s="852">
        <v>1200</v>
      </c>
      <c r="C298" s="864"/>
      <c r="D298" s="864"/>
      <c r="E298" s="852">
        <v>1200</v>
      </c>
      <c r="F298" s="714" t="s">
        <v>2423</v>
      </c>
      <c r="G298" s="714"/>
    </row>
    <row r="299" spans="1:9">
      <c r="A299" s="840" t="s">
        <v>1037</v>
      </c>
      <c r="B299" s="859">
        <v>2947</v>
      </c>
      <c r="C299" s="853">
        <v>165445</v>
      </c>
      <c r="D299" s="853">
        <v>132205</v>
      </c>
      <c r="E299" s="869">
        <v>36187</v>
      </c>
      <c r="F299" s="732" t="s">
        <v>2436</v>
      </c>
      <c r="G299" s="714"/>
    </row>
    <row r="300" spans="1:9">
      <c r="A300" s="851" t="s">
        <v>695</v>
      </c>
      <c r="B300" s="863"/>
      <c r="C300" s="853">
        <v>6700</v>
      </c>
      <c r="D300" s="853">
        <v>8000</v>
      </c>
      <c r="E300" s="852">
        <v>1300</v>
      </c>
      <c r="F300" s="714" t="s">
        <v>2423</v>
      </c>
      <c r="G300" s="732"/>
      <c r="H300" s="254"/>
      <c r="I300" s="254"/>
    </row>
    <row r="301" spans="1:9">
      <c r="A301" s="851" t="s">
        <v>1467</v>
      </c>
      <c r="B301" s="852">
        <v>2090</v>
      </c>
      <c r="C301" s="864"/>
      <c r="D301" s="864"/>
      <c r="E301" s="852">
        <v>2090</v>
      </c>
      <c r="F301" s="714" t="s">
        <v>2423</v>
      </c>
      <c r="G301" s="714"/>
    </row>
    <row r="302" spans="1:9">
      <c r="A302" s="851" t="s">
        <v>697</v>
      </c>
      <c r="B302" s="859">
        <v>45015</v>
      </c>
      <c r="C302" s="853">
        <v>287520</v>
      </c>
      <c r="D302" s="853">
        <v>351769</v>
      </c>
      <c r="E302" s="852">
        <v>19234</v>
      </c>
      <c r="F302" s="714" t="s">
        <v>2423</v>
      </c>
      <c r="G302" s="732"/>
      <c r="H302" s="254"/>
      <c r="I302" s="254"/>
    </row>
    <row r="303" spans="1:9">
      <c r="A303" s="865" t="s">
        <v>944</v>
      </c>
      <c r="B303" s="866">
        <v>2336621.4</v>
      </c>
      <c r="C303" s="867">
        <v>30223237</v>
      </c>
      <c r="D303" s="867">
        <v>26823318</v>
      </c>
      <c r="E303" s="876">
        <v>1063297.6000000001</v>
      </c>
      <c r="F303" s="714"/>
      <c r="G303" s="849"/>
    </row>
    <row r="304" spans="1:9">
      <c r="A304" s="894" t="s">
        <v>2318</v>
      </c>
      <c r="B304" s="895"/>
      <c r="C304" s="896">
        <v>933970</v>
      </c>
      <c r="D304" s="896">
        <v>933970</v>
      </c>
      <c r="E304" s="895"/>
      <c r="F304" s="714"/>
      <c r="G304" s="714"/>
    </row>
    <row r="305" spans="1:9">
      <c r="A305" s="894" t="s">
        <v>2319</v>
      </c>
      <c r="B305" s="895"/>
      <c r="C305" s="896">
        <v>141400</v>
      </c>
      <c r="D305" s="896">
        <v>141400</v>
      </c>
      <c r="E305" s="895"/>
      <c r="F305" s="714"/>
      <c r="G305" s="714"/>
    </row>
    <row r="306" spans="1:9">
      <c r="A306" s="897" t="s">
        <v>1996</v>
      </c>
      <c r="B306" s="898">
        <v>89170</v>
      </c>
      <c r="C306" s="896">
        <v>89170</v>
      </c>
      <c r="D306" s="899"/>
      <c r="E306" s="895"/>
      <c r="F306" s="714"/>
      <c r="G306" s="714"/>
    </row>
    <row r="307" spans="1:9">
      <c r="A307" s="851" t="s">
        <v>1997</v>
      </c>
      <c r="B307" s="863"/>
      <c r="C307" s="853">
        <v>3500</v>
      </c>
      <c r="D307" s="864"/>
      <c r="E307" s="852">
        <v>3500</v>
      </c>
      <c r="F307" s="732"/>
      <c r="G307" s="714" t="s">
        <v>2424</v>
      </c>
      <c r="H307" s="254"/>
      <c r="I307" s="254"/>
    </row>
    <row r="308" spans="1:9">
      <c r="A308" s="851" t="s">
        <v>2320</v>
      </c>
      <c r="B308" s="863"/>
      <c r="C308" s="853">
        <v>16500</v>
      </c>
      <c r="D308" s="853">
        <v>102000</v>
      </c>
      <c r="E308" s="852">
        <v>85500</v>
      </c>
      <c r="F308" s="732" t="s">
        <v>2424</v>
      </c>
      <c r="G308" s="877">
        <f>E308+E310+E311+E312+E313+E314+E318+E321+E324+E325+E326+E328+E329+E330+E331+E333+E336+E339+E341</f>
        <v>2060076.4</v>
      </c>
      <c r="H308" s="254"/>
      <c r="I308" s="254"/>
    </row>
    <row r="309" spans="1:9">
      <c r="A309" s="850" t="s">
        <v>1716</v>
      </c>
      <c r="B309" s="863"/>
      <c r="C309" s="853">
        <v>207066</v>
      </c>
      <c r="D309" s="853">
        <v>162040</v>
      </c>
      <c r="E309" s="869">
        <v>45026</v>
      </c>
      <c r="F309" s="732" t="s">
        <v>2436</v>
      </c>
      <c r="G309" s="900">
        <f>E309+E316+E317+E322+E323+E335</f>
        <v>3119874</v>
      </c>
      <c r="H309" s="254"/>
      <c r="I309" s="254"/>
    </row>
    <row r="310" spans="1:9">
      <c r="A310" s="851" t="s">
        <v>2321</v>
      </c>
      <c r="B310" s="852">
        <v>669065</v>
      </c>
      <c r="C310" s="853">
        <v>2672285</v>
      </c>
      <c r="D310" s="853">
        <v>2054895</v>
      </c>
      <c r="E310" s="852">
        <v>51675</v>
      </c>
      <c r="F310" s="732" t="s">
        <v>2424</v>
      </c>
      <c r="G310" s="732"/>
      <c r="H310" s="254"/>
      <c r="I310" s="254"/>
    </row>
    <row r="311" spans="1:9">
      <c r="A311" s="851" t="s">
        <v>1999</v>
      </c>
      <c r="B311" s="863"/>
      <c r="C311" s="853">
        <v>656000</v>
      </c>
      <c r="D311" s="853">
        <v>731000</v>
      </c>
      <c r="E311" s="852">
        <v>75000</v>
      </c>
      <c r="F311" s="732" t="s">
        <v>2424</v>
      </c>
      <c r="G311" s="732"/>
      <c r="H311" s="254"/>
      <c r="I311" s="254"/>
    </row>
    <row r="312" spans="1:9">
      <c r="A312" s="851" t="s">
        <v>2322</v>
      </c>
      <c r="B312" s="863"/>
      <c r="C312" s="892">
        <v>600000</v>
      </c>
      <c r="D312" s="892">
        <v>664016</v>
      </c>
      <c r="E312" s="852">
        <v>64016</v>
      </c>
      <c r="F312" s="732" t="s">
        <v>2424</v>
      </c>
      <c r="G312" s="732"/>
      <c r="H312" s="254"/>
      <c r="I312" s="254"/>
    </row>
    <row r="313" spans="1:9">
      <c r="A313" s="871" t="s">
        <v>707</v>
      </c>
      <c r="B313" s="846">
        <v>293640.2</v>
      </c>
      <c r="C313" s="872">
        <v>3068640</v>
      </c>
      <c r="D313" s="872">
        <v>3282450</v>
      </c>
      <c r="E313" s="846">
        <v>507450.2</v>
      </c>
      <c r="F313" s="732" t="s">
        <v>2424</v>
      </c>
      <c r="G313" s="714"/>
    </row>
    <row r="314" spans="1:9">
      <c r="A314" s="901" t="s">
        <v>1717</v>
      </c>
      <c r="B314" s="902">
        <v>973949.2</v>
      </c>
      <c r="C314" s="213">
        <v>1450000</v>
      </c>
      <c r="D314" s="213">
        <v>523902</v>
      </c>
      <c r="E314" s="902">
        <v>47851.199999999997</v>
      </c>
      <c r="F314" s="732" t="s">
        <v>2424</v>
      </c>
      <c r="G314" s="714"/>
    </row>
    <row r="315" spans="1:9">
      <c r="A315" s="897" t="s">
        <v>2323</v>
      </c>
      <c r="B315" s="895"/>
      <c r="C315" s="896">
        <v>183150</v>
      </c>
      <c r="D315" s="896">
        <v>183150</v>
      </c>
      <c r="E315" s="895"/>
      <c r="F315" s="714"/>
      <c r="G315" s="714"/>
    </row>
    <row r="316" spans="1:9">
      <c r="A316" s="903" t="s">
        <v>2324</v>
      </c>
      <c r="B316" s="904"/>
      <c r="C316" s="214">
        <v>654987</v>
      </c>
      <c r="D316" s="214">
        <v>648124</v>
      </c>
      <c r="E316" s="869">
        <v>6863</v>
      </c>
      <c r="F316" s="732" t="s">
        <v>2436</v>
      </c>
      <c r="G316" s="732"/>
      <c r="H316" s="254"/>
      <c r="I316" s="254"/>
    </row>
    <row r="317" spans="1:9">
      <c r="A317" s="905" t="s">
        <v>2325</v>
      </c>
      <c r="B317" s="906"/>
      <c r="C317" s="907">
        <v>14740533</v>
      </c>
      <c r="D317" s="907">
        <v>12716406</v>
      </c>
      <c r="E317" s="882">
        <v>2024127</v>
      </c>
      <c r="F317" s="732" t="s">
        <v>2436</v>
      </c>
      <c r="G317" s="732"/>
      <c r="H317" s="254"/>
      <c r="I317" s="254"/>
    </row>
    <row r="318" spans="1:9">
      <c r="A318" s="901" t="s">
        <v>709</v>
      </c>
      <c r="B318" s="902">
        <v>52224</v>
      </c>
      <c r="C318" s="908"/>
      <c r="D318" s="908"/>
      <c r="E318" s="902">
        <v>52224</v>
      </c>
      <c r="F318" s="714" t="s">
        <v>2424</v>
      </c>
      <c r="G318" s="714"/>
    </row>
    <row r="319" spans="1:9">
      <c r="A319" s="897" t="s">
        <v>2326</v>
      </c>
      <c r="B319" s="895"/>
      <c r="C319" s="896">
        <v>160300</v>
      </c>
      <c r="D319" s="896">
        <v>160300</v>
      </c>
      <c r="E319" s="895"/>
      <c r="F319" s="714"/>
      <c r="G319" s="714"/>
    </row>
    <row r="320" spans="1:9">
      <c r="A320" s="897" t="s">
        <v>2327</v>
      </c>
      <c r="B320" s="895"/>
      <c r="C320" s="896">
        <v>161979</v>
      </c>
      <c r="D320" s="896">
        <v>161979</v>
      </c>
      <c r="E320" s="895"/>
      <c r="F320" s="714"/>
      <c r="G320" s="714"/>
    </row>
    <row r="321" spans="1:9">
      <c r="A321" s="909" t="s">
        <v>1475</v>
      </c>
      <c r="B321" s="902">
        <v>45200</v>
      </c>
      <c r="C321" s="213">
        <v>471900</v>
      </c>
      <c r="D321" s="213">
        <v>659370</v>
      </c>
      <c r="E321" s="902">
        <v>232670</v>
      </c>
      <c r="F321" s="714" t="s">
        <v>2424</v>
      </c>
      <c r="G321" s="714"/>
    </row>
    <row r="322" spans="1:9">
      <c r="A322" s="903" t="s">
        <v>2328</v>
      </c>
      <c r="B322" s="904"/>
      <c r="C322" s="213">
        <v>990000</v>
      </c>
      <c r="D322" s="908"/>
      <c r="E322" s="869">
        <v>990000</v>
      </c>
      <c r="F322" s="732" t="s">
        <v>2436</v>
      </c>
      <c r="G322" s="732"/>
      <c r="H322" s="254"/>
      <c r="I322" s="254"/>
    </row>
    <row r="323" spans="1:9">
      <c r="A323" s="901" t="s">
        <v>2329</v>
      </c>
      <c r="B323" s="904"/>
      <c r="C323" s="213">
        <v>50858</v>
      </c>
      <c r="D323" s="908"/>
      <c r="E323" s="869">
        <v>50858</v>
      </c>
      <c r="F323" s="732" t="s">
        <v>2436</v>
      </c>
      <c r="G323" s="732"/>
      <c r="H323" s="254"/>
      <c r="I323" s="254"/>
    </row>
    <row r="324" spans="1:9">
      <c r="A324" s="901" t="s">
        <v>1831</v>
      </c>
      <c r="B324" s="902">
        <v>5241</v>
      </c>
      <c r="C324" s="908"/>
      <c r="D324" s="908"/>
      <c r="E324" s="902">
        <v>5241</v>
      </c>
      <c r="F324" s="714" t="s">
        <v>2424</v>
      </c>
      <c r="G324" s="714"/>
    </row>
    <row r="325" spans="1:9">
      <c r="A325" s="901" t="s">
        <v>2330</v>
      </c>
      <c r="B325" s="904"/>
      <c r="C325" s="213">
        <v>60500</v>
      </c>
      <c r="D325" s="213">
        <v>121000</v>
      </c>
      <c r="E325" s="902">
        <v>60500</v>
      </c>
      <c r="F325" s="714" t="s">
        <v>2424</v>
      </c>
      <c r="G325" s="732"/>
      <c r="H325" s="254"/>
      <c r="I325" s="254"/>
    </row>
    <row r="326" spans="1:9">
      <c r="A326" s="901" t="s">
        <v>2331</v>
      </c>
      <c r="B326" s="904"/>
      <c r="C326" s="213">
        <v>45725</v>
      </c>
      <c r="D326" s="213">
        <v>82644</v>
      </c>
      <c r="E326" s="902">
        <v>36919</v>
      </c>
      <c r="F326" s="714" t="s">
        <v>2424</v>
      </c>
      <c r="G326" s="732"/>
      <c r="H326" s="254"/>
      <c r="I326" s="254"/>
    </row>
    <row r="327" spans="1:9">
      <c r="A327" s="897" t="s">
        <v>2332</v>
      </c>
      <c r="B327" s="895"/>
      <c r="C327" s="896">
        <v>98700</v>
      </c>
      <c r="D327" s="896">
        <v>98700</v>
      </c>
      <c r="E327" s="895"/>
      <c r="F327" s="714"/>
      <c r="G327" s="714"/>
    </row>
    <row r="328" spans="1:9">
      <c r="A328" s="901" t="s">
        <v>1834</v>
      </c>
      <c r="B328" s="902">
        <v>4042</v>
      </c>
      <c r="C328" s="213">
        <v>266294</v>
      </c>
      <c r="D328" s="213">
        <v>266294</v>
      </c>
      <c r="E328" s="902">
        <v>4042</v>
      </c>
      <c r="F328" s="714" t="s">
        <v>2424</v>
      </c>
      <c r="G328" s="714"/>
    </row>
    <row r="329" spans="1:9">
      <c r="A329" s="901" t="s">
        <v>1835</v>
      </c>
      <c r="B329" s="904"/>
      <c r="C329" s="908"/>
      <c r="D329" s="213">
        <v>110000</v>
      </c>
      <c r="E329" s="902">
        <v>110000</v>
      </c>
      <c r="F329" s="714" t="s">
        <v>2424</v>
      </c>
      <c r="G329" s="732"/>
      <c r="H329" s="254"/>
      <c r="I329" s="254"/>
    </row>
    <row r="330" spans="1:9">
      <c r="A330" s="901" t="s">
        <v>2333</v>
      </c>
      <c r="B330" s="904"/>
      <c r="C330" s="908"/>
      <c r="D330" s="213">
        <v>506466</v>
      </c>
      <c r="E330" s="902">
        <v>506466</v>
      </c>
      <c r="F330" s="714" t="s">
        <v>2424</v>
      </c>
      <c r="G330" s="732"/>
      <c r="H330" s="254"/>
      <c r="I330" s="254"/>
    </row>
    <row r="331" spans="1:9">
      <c r="A331" s="901" t="s">
        <v>2334</v>
      </c>
      <c r="B331" s="904"/>
      <c r="C331" s="213">
        <v>765000</v>
      </c>
      <c r="D331" s="213">
        <v>859190</v>
      </c>
      <c r="E331" s="902">
        <v>94190</v>
      </c>
      <c r="F331" s="714" t="s">
        <v>2424</v>
      </c>
      <c r="G331" s="732"/>
      <c r="H331" s="254"/>
      <c r="I331" s="254"/>
    </row>
    <row r="332" spans="1:9">
      <c r="A332" s="897" t="s">
        <v>2335</v>
      </c>
      <c r="B332" s="895"/>
      <c r="C332" s="896">
        <v>71598</v>
      </c>
      <c r="D332" s="896">
        <v>71598</v>
      </c>
      <c r="E332" s="895"/>
      <c r="F332" s="714"/>
      <c r="G332" s="714"/>
    </row>
    <row r="333" spans="1:9">
      <c r="A333" s="909" t="s">
        <v>2336</v>
      </c>
      <c r="B333" s="904"/>
      <c r="C333" s="908"/>
      <c r="D333" s="213">
        <v>14400</v>
      </c>
      <c r="E333" s="902">
        <v>14400</v>
      </c>
      <c r="F333" s="732" t="s">
        <v>2424</v>
      </c>
      <c r="G333" s="732"/>
      <c r="H333" s="254"/>
      <c r="I333" s="254"/>
    </row>
    <row r="334" spans="1:9">
      <c r="A334" s="894" t="s">
        <v>2337</v>
      </c>
      <c r="B334" s="895"/>
      <c r="C334" s="896">
        <v>90990</v>
      </c>
      <c r="D334" s="896">
        <v>90990</v>
      </c>
      <c r="E334" s="895"/>
      <c r="F334" s="714"/>
      <c r="G334" s="714"/>
    </row>
    <row r="335" spans="1:9">
      <c r="A335" s="901" t="s">
        <v>2338</v>
      </c>
      <c r="B335" s="904"/>
      <c r="C335" s="213">
        <v>3000</v>
      </c>
      <c r="D335" s="908"/>
      <c r="E335" s="869">
        <v>3000</v>
      </c>
      <c r="F335" s="732" t="s">
        <v>2436</v>
      </c>
      <c r="G335" s="732"/>
      <c r="H335" s="254"/>
      <c r="I335" s="254"/>
    </row>
    <row r="336" spans="1:9">
      <c r="A336" s="901" t="s">
        <v>1270</v>
      </c>
      <c r="B336" s="902">
        <v>108190</v>
      </c>
      <c r="C336" s="213">
        <v>88190</v>
      </c>
      <c r="D336" s="908"/>
      <c r="E336" s="902">
        <v>20000</v>
      </c>
      <c r="F336" s="714" t="s">
        <v>2424</v>
      </c>
      <c r="G336" s="714"/>
    </row>
    <row r="337" spans="1:9">
      <c r="A337" s="897" t="s">
        <v>2007</v>
      </c>
      <c r="B337" s="898">
        <v>90400</v>
      </c>
      <c r="C337" s="896">
        <v>1094028</v>
      </c>
      <c r="D337" s="896">
        <v>1003628</v>
      </c>
      <c r="E337" s="895"/>
      <c r="F337" s="714"/>
      <c r="G337" s="714"/>
    </row>
    <row r="338" spans="1:9">
      <c r="A338" s="897" t="s">
        <v>721</v>
      </c>
      <c r="B338" s="898">
        <v>5500</v>
      </c>
      <c r="C338" s="896">
        <v>5500</v>
      </c>
      <c r="D338" s="899"/>
      <c r="E338" s="895"/>
      <c r="F338" s="714"/>
      <c r="G338" s="714"/>
    </row>
    <row r="339" spans="1:9">
      <c r="A339" s="909" t="s">
        <v>2339</v>
      </c>
      <c r="B339" s="904"/>
      <c r="C339" s="213">
        <v>193324</v>
      </c>
      <c r="D339" s="213">
        <v>197256</v>
      </c>
      <c r="E339" s="902">
        <v>3932</v>
      </c>
      <c r="F339" s="732" t="s">
        <v>2424</v>
      </c>
      <c r="G339" s="732"/>
      <c r="H339" s="254"/>
      <c r="I339" s="254"/>
    </row>
    <row r="340" spans="1:9">
      <c r="A340" s="894" t="s">
        <v>1043</v>
      </c>
      <c r="B340" s="895"/>
      <c r="C340" s="896">
        <v>11400</v>
      </c>
      <c r="D340" s="896">
        <v>11400</v>
      </c>
      <c r="E340" s="895"/>
      <c r="F340" s="732"/>
      <c r="G340" s="732"/>
      <c r="H340" s="254"/>
      <c r="I340" s="254"/>
    </row>
    <row r="341" spans="1:9">
      <c r="A341" s="909" t="s">
        <v>2008</v>
      </c>
      <c r="B341" s="904"/>
      <c r="C341" s="213">
        <v>68750</v>
      </c>
      <c r="D341" s="213">
        <v>156750</v>
      </c>
      <c r="E341" s="902">
        <v>88000</v>
      </c>
      <c r="F341" s="732" t="s">
        <v>2424</v>
      </c>
      <c r="G341" s="732"/>
      <c r="H341" s="254"/>
      <c r="I341" s="254"/>
    </row>
    <row r="342" spans="1:9">
      <c r="A342" s="894" t="s">
        <v>2276</v>
      </c>
      <c r="B342" s="895"/>
      <c r="C342" s="896">
        <v>108000</v>
      </c>
      <c r="D342" s="896">
        <v>108000</v>
      </c>
      <c r="E342" s="895"/>
      <c r="F342" s="714"/>
      <c r="G342" s="714"/>
    </row>
    <row r="343" spans="1:9">
      <c r="A343" s="910" t="s">
        <v>2013</v>
      </c>
      <c r="B343" s="898">
        <v>412000</v>
      </c>
      <c r="C343" s="896">
        <v>412000</v>
      </c>
      <c r="D343" s="899"/>
      <c r="E343" s="895"/>
      <c r="F343" s="714"/>
      <c r="G343" s="714"/>
    </row>
    <row r="344" spans="1:9">
      <c r="A344" s="910" t="s">
        <v>1177</v>
      </c>
      <c r="B344" s="895"/>
      <c r="C344" s="896">
        <v>14294920</v>
      </c>
      <c r="D344" s="896">
        <v>14294920</v>
      </c>
      <c r="E344" s="895"/>
      <c r="F344" s="714"/>
      <c r="G344" s="714"/>
    </row>
    <row r="345" spans="1:9">
      <c r="A345" s="910" t="s">
        <v>2014</v>
      </c>
      <c r="B345" s="895"/>
      <c r="C345" s="896">
        <v>2938363</v>
      </c>
      <c r="D345" s="896">
        <v>2938363</v>
      </c>
      <c r="E345" s="895"/>
      <c r="F345" s="714"/>
      <c r="G345" s="714"/>
    </row>
    <row r="346" spans="1:9">
      <c r="A346" s="911"/>
      <c r="B346" s="904"/>
      <c r="C346" s="213"/>
      <c r="D346" s="213"/>
      <c r="E346" s="904"/>
      <c r="F346" s="912" t="s">
        <v>2422</v>
      </c>
      <c r="G346" s="714"/>
    </row>
    <row r="347" spans="1:9">
      <c r="A347" s="911" t="s">
        <v>1062</v>
      </c>
      <c r="B347" s="902">
        <v>78862</v>
      </c>
      <c r="C347" s="908"/>
      <c r="D347" s="908"/>
      <c r="E347" s="913">
        <v>78862</v>
      </c>
      <c r="F347" s="714"/>
      <c r="G347" s="714"/>
    </row>
    <row r="348" spans="1:9">
      <c r="A348" s="911" t="s">
        <v>2015</v>
      </c>
      <c r="B348" s="902">
        <v>7968570</v>
      </c>
      <c r="C348" s="213">
        <v>12221896</v>
      </c>
      <c r="D348" s="213">
        <v>1924593</v>
      </c>
      <c r="E348" s="914">
        <v>2328733</v>
      </c>
      <c r="F348" s="714" t="s">
        <v>2441</v>
      </c>
      <c r="G348" s="714"/>
    </row>
    <row r="349" spans="1:9">
      <c r="A349" s="911" t="s">
        <v>91</v>
      </c>
      <c r="B349" s="902">
        <v>294347</v>
      </c>
      <c r="C349" s="213">
        <v>39647</v>
      </c>
      <c r="D349" s="213">
        <v>39647</v>
      </c>
      <c r="E349" s="913">
        <v>294347</v>
      </c>
      <c r="F349" s="714"/>
      <c r="G349" s="714"/>
    </row>
    <row r="350" spans="1:9">
      <c r="A350" s="911" t="s">
        <v>1063</v>
      </c>
      <c r="B350" s="902">
        <v>32203.14</v>
      </c>
      <c r="C350" s="908"/>
      <c r="D350" s="908"/>
      <c r="E350" s="913">
        <v>32203.14</v>
      </c>
      <c r="F350" s="714"/>
      <c r="G350" s="714"/>
    </row>
    <row r="351" spans="1:9">
      <c r="A351" s="915" t="s">
        <v>39</v>
      </c>
      <c r="B351" s="916">
        <v>45976627.259999998</v>
      </c>
      <c r="C351" s="917">
        <v>8059481</v>
      </c>
      <c r="D351" s="918"/>
      <c r="E351" s="916">
        <v>54036108.259999998</v>
      </c>
      <c r="F351" s="714"/>
      <c r="G351" s="714"/>
    </row>
    <row r="352" spans="1:9">
      <c r="A352" s="911" t="s">
        <v>92</v>
      </c>
      <c r="B352" s="914">
        <v>868251</v>
      </c>
      <c r="C352" s="908"/>
      <c r="D352" s="908"/>
      <c r="E352" s="914">
        <v>868251</v>
      </c>
      <c r="F352" s="714"/>
      <c r="G352" s="714"/>
    </row>
    <row r="353" spans="1:8">
      <c r="A353" s="911" t="s">
        <v>93</v>
      </c>
      <c r="B353" s="914">
        <v>742727.8</v>
      </c>
      <c r="C353" s="213">
        <v>217883</v>
      </c>
      <c r="D353" s="908"/>
      <c r="E353" s="914">
        <v>960610.8</v>
      </c>
      <c r="F353" s="714"/>
      <c r="G353" s="714"/>
    </row>
    <row r="354" spans="1:8">
      <c r="A354" s="911" t="s">
        <v>94</v>
      </c>
      <c r="B354" s="902">
        <v>66044.649999999994</v>
      </c>
      <c r="C354" s="908"/>
      <c r="D354" s="908"/>
      <c r="E354" s="902">
        <v>66044.649999999994</v>
      </c>
      <c r="F354" s="714"/>
      <c r="G354" s="714"/>
    </row>
    <row r="355" spans="1:8">
      <c r="A355" s="911" t="s">
        <v>83</v>
      </c>
      <c r="B355" s="914">
        <v>39882554.630000003</v>
      </c>
      <c r="C355" s="213">
        <v>7764316</v>
      </c>
      <c r="D355" s="908"/>
      <c r="E355" s="914">
        <v>47646870.630000003</v>
      </c>
      <c r="F355" s="714"/>
      <c r="G355" s="714"/>
    </row>
    <row r="356" spans="1:8">
      <c r="A356" s="911" t="s">
        <v>942</v>
      </c>
      <c r="B356" s="914">
        <v>4549138.4800000004</v>
      </c>
      <c r="C356" s="213">
        <v>77282</v>
      </c>
      <c r="D356" s="908"/>
      <c r="E356" s="914">
        <v>4626420.4800000004</v>
      </c>
      <c r="F356" s="714"/>
      <c r="G356" s="714"/>
    </row>
    <row r="357" spans="1:8">
      <c r="A357" s="915" t="s">
        <v>96</v>
      </c>
      <c r="B357" s="916">
        <v>95845505.019999996</v>
      </c>
      <c r="C357" s="917">
        <v>1108641377.3800001</v>
      </c>
      <c r="D357" s="917">
        <v>1118973188.1199999</v>
      </c>
      <c r="E357" s="916">
        <v>85513694.280000001</v>
      </c>
      <c r="F357" s="714"/>
      <c r="G357" s="714"/>
    </row>
    <row r="358" spans="1:8">
      <c r="A358" s="919" t="s">
        <v>97</v>
      </c>
      <c r="B358" s="920">
        <f>SUM(B359:B361)</f>
        <v>23203890</v>
      </c>
      <c r="C358" s="921"/>
      <c r="D358" s="921"/>
      <c r="E358" s="922">
        <f>SUM(E359:E361)</f>
        <v>23109475</v>
      </c>
      <c r="F358" s="714"/>
      <c r="G358" s="714"/>
    </row>
    <row r="359" spans="1:8">
      <c r="A359" s="923" t="s">
        <v>2366</v>
      </c>
      <c r="B359" s="924">
        <v>1718775</v>
      </c>
      <c r="C359" s="908"/>
      <c r="D359" s="908"/>
      <c r="E359" s="924">
        <f>B359</f>
        <v>1718775</v>
      </c>
      <c r="F359" s="732" t="s">
        <v>2437</v>
      </c>
      <c r="G359" s="714"/>
    </row>
    <row r="360" spans="1:8">
      <c r="A360" s="923" t="s">
        <v>730</v>
      </c>
      <c r="B360" s="924">
        <v>20450000</v>
      </c>
      <c r="C360" s="908"/>
      <c r="D360" s="908"/>
      <c r="E360" s="924">
        <f>B360</f>
        <v>20450000</v>
      </c>
      <c r="F360" s="714"/>
      <c r="G360" s="714"/>
      <c r="H360" s="100"/>
    </row>
    <row r="361" spans="1:8">
      <c r="A361" s="923" t="s">
        <v>141</v>
      </c>
      <c r="B361" s="924">
        <v>1035115</v>
      </c>
      <c r="C361" s="908">
        <v>1175000</v>
      </c>
      <c r="D361" s="908">
        <v>1269415</v>
      </c>
      <c r="E361" s="924">
        <f>B361+C361-D361</f>
        <v>940700</v>
      </c>
      <c r="F361" s="714"/>
      <c r="G361" s="267">
        <v>77854186</v>
      </c>
    </row>
    <row r="362" spans="1:8">
      <c r="A362" s="14"/>
      <c r="B362" s="198"/>
      <c r="C362" s="95"/>
      <c r="D362" s="95"/>
      <c r="E362" s="198"/>
      <c r="F362" s="515"/>
      <c r="G362" s="924">
        <f>D362</f>
        <v>0</v>
      </c>
    </row>
    <row r="363" spans="1:8">
      <c r="A363" s="13" t="s">
        <v>98</v>
      </c>
      <c r="B363" s="269">
        <v>34679553.009999998</v>
      </c>
      <c r="C363" s="106">
        <v>384791567.10000002</v>
      </c>
      <c r="D363" s="106">
        <v>375238809.66000003</v>
      </c>
      <c r="E363" s="269">
        <f>B363+C363-D363</f>
        <v>44232310.449999988</v>
      </c>
      <c r="F363" s="466" t="s">
        <v>2431</v>
      </c>
    </row>
    <row r="364" spans="1:8">
      <c r="A364" s="17" t="s">
        <v>2017</v>
      </c>
      <c r="B364" s="264">
        <v>88200</v>
      </c>
      <c r="C364" s="93">
        <v>3929400</v>
      </c>
      <c r="D364" s="93">
        <v>2531400</v>
      </c>
      <c r="E364" s="270">
        <v>1309800</v>
      </c>
      <c r="F364" s="254" t="s">
        <v>2432</v>
      </c>
      <c r="G364" s="641">
        <f>-E360+G361</f>
        <v>57404186</v>
      </c>
      <c r="H364" s="254"/>
    </row>
    <row r="365" spans="1:8">
      <c r="A365" s="560" t="s">
        <v>2018</v>
      </c>
      <c r="B365" s="578">
        <v>1103400</v>
      </c>
      <c r="C365" s="579">
        <v>11295000</v>
      </c>
      <c r="D365" s="579">
        <v>12398400</v>
      </c>
      <c r="E365" s="554"/>
    </row>
    <row r="366" spans="1:8">
      <c r="A366" s="17" t="s">
        <v>732</v>
      </c>
      <c r="B366" s="267">
        <v>155431</v>
      </c>
      <c r="C366" s="96"/>
      <c r="D366" s="96"/>
      <c r="E366" s="267">
        <v>155431</v>
      </c>
      <c r="F366" t="s">
        <v>2432</v>
      </c>
    </row>
    <row r="367" spans="1:8">
      <c r="A367" s="17" t="s">
        <v>733</v>
      </c>
      <c r="B367" s="267">
        <v>236250</v>
      </c>
      <c r="C367" s="96"/>
      <c r="D367" s="96"/>
      <c r="E367" s="267">
        <v>236250</v>
      </c>
      <c r="F367" t="s">
        <v>2432</v>
      </c>
      <c r="G367" s="100">
        <f>G361+E360</f>
        <v>98304186</v>
      </c>
    </row>
    <row r="368" spans="1:8">
      <c r="A368" s="17" t="s">
        <v>734</v>
      </c>
      <c r="B368" s="267">
        <v>545590</v>
      </c>
      <c r="C368" s="96"/>
      <c r="D368" s="96"/>
      <c r="E368" s="267">
        <v>545590</v>
      </c>
      <c r="F368" t="s">
        <v>2432</v>
      </c>
    </row>
    <row r="369" spans="1:9">
      <c r="A369" s="15" t="s">
        <v>1263</v>
      </c>
      <c r="B369" s="267">
        <v>1020296</v>
      </c>
      <c r="C369" s="96"/>
      <c r="D369" s="96"/>
      <c r="E369" s="267">
        <v>1020296</v>
      </c>
      <c r="F369" t="s">
        <v>2432</v>
      </c>
    </row>
    <row r="370" spans="1:9">
      <c r="A370" s="15" t="s">
        <v>736</v>
      </c>
      <c r="B370" s="267">
        <v>99600</v>
      </c>
      <c r="C370" s="104">
        <v>1666000</v>
      </c>
      <c r="D370" s="96"/>
      <c r="E370" s="267">
        <v>1765600</v>
      </c>
      <c r="F370" t="s">
        <v>2432</v>
      </c>
    </row>
    <row r="371" spans="1:9">
      <c r="A371" s="15" t="s">
        <v>737</v>
      </c>
      <c r="B371" s="267">
        <v>626800</v>
      </c>
      <c r="C371" s="96"/>
      <c r="D371" s="96"/>
      <c r="E371" s="267">
        <v>626800</v>
      </c>
      <c r="F371" t="s">
        <v>2432</v>
      </c>
    </row>
    <row r="372" spans="1:9">
      <c r="A372" s="17" t="s">
        <v>2019</v>
      </c>
      <c r="B372" s="263">
        <v>2145066.44</v>
      </c>
      <c r="C372" s="104">
        <v>23770632.719999999</v>
      </c>
      <c r="D372" s="104">
        <v>18869487</v>
      </c>
      <c r="E372" s="267">
        <v>2756079.28</v>
      </c>
      <c r="F372" t="s">
        <v>2432</v>
      </c>
      <c r="G372" s="254"/>
      <c r="H372" s="254"/>
    </row>
    <row r="373" spans="1:9">
      <c r="A373" s="17" t="s">
        <v>2020</v>
      </c>
      <c r="B373" s="267">
        <v>1770035.08</v>
      </c>
      <c r="C373" s="104">
        <v>4088507.66</v>
      </c>
      <c r="D373" s="104">
        <v>5843100</v>
      </c>
      <c r="E373" s="267">
        <v>15442.74</v>
      </c>
      <c r="F373" t="s">
        <v>2432</v>
      </c>
    </row>
    <row r="374" spans="1:9">
      <c r="A374" s="15" t="s">
        <v>2021</v>
      </c>
      <c r="B374" s="267">
        <v>1119526</v>
      </c>
      <c r="C374" s="96"/>
      <c r="D374" s="104">
        <v>373174</v>
      </c>
      <c r="E374" s="267">
        <v>746352</v>
      </c>
      <c r="F374" t="s">
        <v>2432</v>
      </c>
    </row>
    <row r="375" spans="1:9">
      <c r="A375" s="560" t="s">
        <v>2341</v>
      </c>
      <c r="B375" s="554"/>
      <c r="C375" s="579">
        <v>5035500</v>
      </c>
      <c r="D375" s="579">
        <v>5035500</v>
      </c>
      <c r="E375" s="554"/>
    </row>
    <row r="376" spans="1:9">
      <c r="A376" s="560" t="s">
        <v>1485</v>
      </c>
      <c r="B376" s="578">
        <v>120000</v>
      </c>
      <c r="C376" s="554"/>
      <c r="D376" s="579">
        <v>120000</v>
      </c>
      <c r="E376" s="554"/>
    </row>
    <row r="377" spans="1:9">
      <c r="A377" s="15" t="s">
        <v>2022</v>
      </c>
      <c r="B377" s="267">
        <v>5159528.0199999996</v>
      </c>
      <c r="C377" s="104">
        <v>656698.31999999995</v>
      </c>
      <c r="D377" s="104">
        <v>5725611</v>
      </c>
      <c r="E377" s="267">
        <v>90615.34</v>
      </c>
      <c r="F377" t="s">
        <v>2432</v>
      </c>
    </row>
    <row r="378" spans="1:9">
      <c r="A378" s="17" t="s">
        <v>1335</v>
      </c>
      <c r="B378" s="263">
        <v>3324167</v>
      </c>
      <c r="C378" s="104">
        <v>4509118.66</v>
      </c>
      <c r="D378" s="104">
        <v>52818</v>
      </c>
      <c r="E378" s="582">
        <v>1132133.6599999999</v>
      </c>
      <c r="F378" t="s">
        <v>2432</v>
      </c>
    </row>
    <row r="379" spans="1:9">
      <c r="A379" s="15" t="s">
        <v>2342</v>
      </c>
      <c r="B379" s="96"/>
      <c r="C379" s="104">
        <v>77490.600000000006</v>
      </c>
      <c r="D379" s="104">
        <v>25000</v>
      </c>
      <c r="E379" s="267">
        <v>52490.6</v>
      </c>
      <c r="F379" t="s">
        <v>2432</v>
      </c>
      <c r="G379" s="254"/>
      <c r="H379" s="254"/>
    </row>
    <row r="380" spans="1:9">
      <c r="A380" s="15" t="s">
        <v>1064</v>
      </c>
      <c r="B380" s="267">
        <v>219102</v>
      </c>
      <c r="C380" s="96"/>
      <c r="D380" s="96"/>
      <c r="E380" s="267">
        <v>219102</v>
      </c>
      <c r="F380" t="s">
        <v>2432</v>
      </c>
    </row>
    <row r="381" spans="1:9">
      <c r="A381" s="15" t="s">
        <v>2343</v>
      </c>
      <c r="B381" s="96"/>
      <c r="C381" s="104">
        <v>10086227</v>
      </c>
      <c r="D381" s="104">
        <v>7560685</v>
      </c>
      <c r="E381" s="267">
        <v>2525542</v>
      </c>
      <c r="F381" t="s">
        <v>2432</v>
      </c>
      <c r="G381" s="254"/>
      <c r="H381" s="254"/>
    </row>
    <row r="382" spans="1:9">
      <c r="A382" s="15" t="s">
        <v>1721</v>
      </c>
      <c r="B382" s="96"/>
      <c r="C382" s="104">
        <v>12185215.66</v>
      </c>
      <c r="D382" s="104">
        <v>12185453</v>
      </c>
      <c r="E382" s="263">
        <v>237.34</v>
      </c>
      <c r="F382" s="581" t="s">
        <v>2433</v>
      </c>
      <c r="G382" s="581"/>
      <c r="H382" s="254"/>
      <c r="I382" s="254"/>
    </row>
    <row r="383" spans="1:9">
      <c r="A383" s="15" t="s">
        <v>2344</v>
      </c>
      <c r="B383" s="96"/>
      <c r="C383" s="104">
        <v>12189817</v>
      </c>
      <c r="D383" s="104">
        <v>12193591</v>
      </c>
      <c r="E383" s="263">
        <v>3774</v>
      </c>
      <c r="F383" s="581" t="s">
        <v>2433</v>
      </c>
      <c r="G383" s="581"/>
      <c r="H383" s="254"/>
      <c r="I383" s="254"/>
    </row>
    <row r="384" spans="1:9">
      <c r="A384" s="15" t="s">
        <v>2024</v>
      </c>
      <c r="B384" s="267">
        <v>4405411.2300000004</v>
      </c>
      <c r="C384" s="104">
        <v>22749170.579999998</v>
      </c>
      <c r="D384" s="104">
        <v>22658167.829999998</v>
      </c>
      <c r="E384" s="267">
        <v>4496413.9800000004</v>
      </c>
      <c r="F384" t="s">
        <v>2432</v>
      </c>
    </row>
    <row r="385" spans="1:9">
      <c r="A385" s="15" t="s">
        <v>2345</v>
      </c>
      <c r="B385" s="96"/>
      <c r="C385" s="104">
        <v>510255.6</v>
      </c>
      <c r="D385" s="104">
        <v>400000</v>
      </c>
      <c r="E385" s="267">
        <v>110255.6</v>
      </c>
      <c r="F385" t="s">
        <v>2432</v>
      </c>
      <c r="G385" s="254"/>
      <c r="H385" s="254"/>
    </row>
    <row r="386" spans="1:9">
      <c r="A386" s="560" t="s">
        <v>2346</v>
      </c>
      <c r="B386" s="554"/>
      <c r="C386" s="579">
        <v>1800000</v>
      </c>
      <c r="D386" s="579">
        <v>1800000</v>
      </c>
      <c r="E386" s="554"/>
    </row>
    <row r="387" spans="1:9">
      <c r="A387" s="15" t="s">
        <v>750</v>
      </c>
      <c r="B387" s="267">
        <v>1262140</v>
      </c>
      <c r="C387" s="96"/>
      <c r="D387" s="96"/>
      <c r="E387" s="267">
        <v>1262140</v>
      </c>
      <c r="F387" t="s">
        <v>2432</v>
      </c>
    </row>
    <row r="388" spans="1:9">
      <c r="A388" s="15" t="s">
        <v>752</v>
      </c>
      <c r="B388" s="267">
        <v>400133</v>
      </c>
      <c r="C388" s="96"/>
      <c r="D388" s="104">
        <v>200000</v>
      </c>
      <c r="E388" s="267">
        <v>200133</v>
      </c>
      <c r="F388" t="s">
        <v>2432</v>
      </c>
    </row>
    <row r="389" spans="1:9">
      <c r="A389" s="17" t="s">
        <v>753</v>
      </c>
      <c r="B389" s="267">
        <v>607145.86</v>
      </c>
      <c r="C389" s="96"/>
      <c r="D389" s="96"/>
      <c r="E389" s="267">
        <v>607145.86</v>
      </c>
      <c r="F389" t="s">
        <v>2432</v>
      </c>
    </row>
    <row r="390" spans="1:9">
      <c r="A390" s="560" t="s">
        <v>1067</v>
      </c>
      <c r="B390" s="578">
        <v>92441</v>
      </c>
      <c r="C390" s="554"/>
      <c r="D390" s="579">
        <v>92441</v>
      </c>
      <c r="E390" s="554"/>
    </row>
    <row r="391" spans="1:9">
      <c r="A391" s="15" t="s">
        <v>1723</v>
      </c>
      <c r="B391" s="267">
        <v>356740</v>
      </c>
      <c r="C391" s="104">
        <v>2513280</v>
      </c>
      <c r="D391" s="104">
        <v>2700952</v>
      </c>
      <c r="E391" s="267">
        <v>169068</v>
      </c>
      <c r="F391" t="s">
        <v>2432</v>
      </c>
    </row>
    <row r="392" spans="1:9">
      <c r="A392" s="560" t="s">
        <v>2025</v>
      </c>
      <c r="B392" s="578">
        <v>319031.2</v>
      </c>
      <c r="C392" s="579">
        <v>1457496.82</v>
      </c>
      <c r="D392" s="579">
        <v>1776528.02</v>
      </c>
      <c r="E392" s="554"/>
    </row>
    <row r="393" spans="1:9">
      <c r="A393" s="560" t="s">
        <v>1724</v>
      </c>
      <c r="B393" s="578">
        <v>35108</v>
      </c>
      <c r="C393" s="554"/>
      <c r="D393" s="579">
        <v>35108</v>
      </c>
      <c r="E393" s="554"/>
    </row>
    <row r="394" spans="1:9">
      <c r="A394" s="580" t="s">
        <v>1068</v>
      </c>
      <c r="B394" s="578">
        <v>52926</v>
      </c>
      <c r="C394" s="554"/>
      <c r="D394" s="579">
        <v>52926</v>
      </c>
      <c r="E394" s="554"/>
    </row>
    <row r="395" spans="1:9">
      <c r="A395" s="560" t="s">
        <v>756</v>
      </c>
      <c r="B395" s="578">
        <v>98880</v>
      </c>
      <c r="C395" s="554"/>
      <c r="D395" s="579">
        <v>98880</v>
      </c>
      <c r="E395" s="554"/>
    </row>
    <row r="396" spans="1:9">
      <c r="A396" s="560" t="s">
        <v>1259</v>
      </c>
      <c r="B396" s="578">
        <v>46383</v>
      </c>
      <c r="C396" s="554"/>
      <c r="D396" s="579">
        <v>46383</v>
      </c>
      <c r="E396" s="554"/>
    </row>
    <row r="397" spans="1:9">
      <c r="A397" s="560" t="s">
        <v>1725</v>
      </c>
      <c r="B397" s="578">
        <v>26427.919999999998</v>
      </c>
      <c r="C397" s="579">
        <v>2768163.18</v>
      </c>
      <c r="D397" s="579">
        <v>2794591.1</v>
      </c>
      <c r="E397" s="554"/>
    </row>
    <row r="398" spans="1:9">
      <c r="A398" s="15" t="s">
        <v>2026</v>
      </c>
      <c r="B398" s="263">
        <v>0.9</v>
      </c>
      <c r="C398" s="104">
        <v>29025944.399999999</v>
      </c>
      <c r="D398" s="104">
        <v>21276208</v>
      </c>
      <c r="E398" s="267">
        <v>7749735.5</v>
      </c>
      <c r="F398" s="254" t="s">
        <v>2432</v>
      </c>
      <c r="G398" s="254"/>
      <c r="H398" s="254"/>
    </row>
    <row r="399" spans="1:9">
      <c r="A399" s="17" t="s">
        <v>757</v>
      </c>
      <c r="B399" s="263">
        <v>376638</v>
      </c>
      <c r="C399" s="96"/>
      <c r="D399" s="96"/>
      <c r="E399" s="263">
        <v>376638</v>
      </c>
      <c r="F399" s="581" t="s">
        <v>2433</v>
      </c>
      <c r="G399" s="581"/>
      <c r="H399" s="254"/>
      <c r="I399" s="254"/>
    </row>
    <row r="400" spans="1:9">
      <c r="A400" s="560" t="s">
        <v>2347</v>
      </c>
      <c r="B400" s="554"/>
      <c r="C400" s="579">
        <v>8283062.5199999996</v>
      </c>
      <c r="D400" s="579">
        <v>8283062.5199999996</v>
      </c>
      <c r="E400" s="554"/>
    </row>
    <row r="401" spans="1:9">
      <c r="A401" s="17" t="s">
        <v>2027</v>
      </c>
      <c r="B401" s="267">
        <v>3894985.52</v>
      </c>
      <c r="C401" s="104">
        <v>1532168.64</v>
      </c>
      <c r="D401" s="104">
        <v>5234562.5199999996</v>
      </c>
      <c r="E401" s="267">
        <v>192591.64</v>
      </c>
      <c r="F401" t="s">
        <v>2432</v>
      </c>
    </row>
    <row r="402" spans="1:9">
      <c r="A402" s="560" t="s">
        <v>1488</v>
      </c>
      <c r="B402" s="578">
        <v>16491.28</v>
      </c>
      <c r="C402" s="554"/>
      <c r="D402" s="579">
        <v>16491.28</v>
      </c>
      <c r="E402" s="554"/>
    </row>
    <row r="403" spans="1:9">
      <c r="A403" s="15" t="s">
        <v>1256</v>
      </c>
      <c r="B403" s="267">
        <v>328423.65999999997</v>
      </c>
      <c r="C403" s="96"/>
      <c r="D403" s="96"/>
      <c r="E403" s="267">
        <v>328423.65999999997</v>
      </c>
      <c r="F403" t="s">
        <v>2432</v>
      </c>
    </row>
    <row r="404" spans="1:9">
      <c r="A404" s="15" t="s">
        <v>2348</v>
      </c>
      <c r="B404" s="96"/>
      <c r="C404" s="104">
        <v>376007</v>
      </c>
      <c r="D404" s="104">
        <v>142366</v>
      </c>
      <c r="E404" s="267">
        <v>233641</v>
      </c>
      <c r="F404" s="254" t="s">
        <v>2432</v>
      </c>
      <c r="G404" s="254"/>
      <c r="H404" s="254"/>
    </row>
    <row r="405" spans="1:9">
      <c r="A405" s="17" t="s">
        <v>1490</v>
      </c>
      <c r="B405" s="263">
        <v>55773</v>
      </c>
      <c r="C405" s="96"/>
      <c r="D405" s="96"/>
      <c r="E405" s="263">
        <v>55773</v>
      </c>
      <c r="F405" s="581" t="s">
        <v>2433</v>
      </c>
    </row>
    <row r="406" spans="1:9">
      <c r="A406" s="15" t="s">
        <v>2349</v>
      </c>
      <c r="B406" s="96"/>
      <c r="C406" s="96"/>
      <c r="D406" s="104">
        <v>1500000</v>
      </c>
      <c r="E406" s="263">
        <v>1500000</v>
      </c>
      <c r="F406" s="581" t="s">
        <v>2433</v>
      </c>
      <c r="G406" s="581"/>
      <c r="H406" s="254"/>
      <c r="I406" s="254"/>
    </row>
    <row r="407" spans="1:9">
      <c r="A407" s="560" t="s">
        <v>772</v>
      </c>
      <c r="B407" s="578">
        <v>811076</v>
      </c>
      <c r="C407" s="554"/>
      <c r="D407" s="579">
        <v>811076</v>
      </c>
      <c r="E407" s="554"/>
    </row>
    <row r="408" spans="1:9">
      <c r="A408" s="15" t="s">
        <v>2350</v>
      </c>
      <c r="B408" s="96"/>
      <c r="C408" s="104">
        <v>1156400</v>
      </c>
      <c r="D408" s="104">
        <v>980000</v>
      </c>
      <c r="E408" s="267">
        <v>176400</v>
      </c>
      <c r="F408" s="254" t="s">
        <v>2432</v>
      </c>
      <c r="G408" s="254"/>
      <c r="H408" s="254"/>
    </row>
    <row r="409" spans="1:9">
      <c r="A409" s="15" t="s">
        <v>1492</v>
      </c>
      <c r="B409" s="267">
        <v>918354.6</v>
      </c>
      <c r="C409" s="96"/>
      <c r="D409" s="104">
        <v>52823.6</v>
      </c>
      <c r="E409" s="267">
        <v>865531</v>
      </c>
      <c r="F409" t="s">
        <v>2432</v>
      </c>
    </row>
    <row r="410" spans="1:9">
      <c r="A410" s="580" t="s">
        <v>776</v>
      </c>
      <c r="B410" s="578">
        <v>67872</v>
      </c>
      <c r="C410" s="554"/>
      <c r="D410" s="579">
        <v>67872</v>
      </c>
      <c r="E410" s="554"/>
    </row>
    <row r="411" spans="1:9">
      <c r="A411" s="560" t="s">
        <v>1727</v>
      </c>
      <c r="B411" s="578">
        <v>171458</v>
      </c>
      <c r="C411" s="554"/>
      <c r="D411" s="579">
        <v>171458</v>
      </c>
      <c r="E411" s="554"/>
    </row>
    <row r="412" spans="1:9">
      <c r="A412" s="17" t="s">
        <v>2351</v>
      </c>
      <c r="B412" s="96"/>
      <c r="C412" s="104">
        <v>30632800</v>
      </c>
      <c r="D412" s="104">
        <v>30622699</v>
      </c>
      <c r="E412" s="267">
        <v>10101</v>
      </c>
      <c r="F412" s="254" t="s">
        <v>2432</v>
      </c>
      <c r="G412" s="254"/>
      <c r="H412" s="254"/>
    </row>
    <row r="413" spans="1:9">
      <c r="A413" s="15" t="s">
        <v>2352</v>
      </c>
      <c r="B413" s="96"/>
      <c r="C413" s="104">
        <v>5811797.3600000003</v>
      </c>
      <c r="D413" s="104">
        <v>3921257</v>
      </c>
      <c r="E413" s="267">
        <v>1890540.36</v>
      </c>
      <c r="F413" s="254" t="s">
        <v>2432</v>
      </c>
      <c r="G413" s="254"/>
      <c r="H413" s="254"/>
    </row>
    <row r="414" spans="1:9">
      <c r="A414" s="15" t="s">
        <v>1728</v>
      </c>
      <c r="B414" s="267">
        <v>980339.08</v>
      </c>
      <c r="C414" s="96"/>
      <c r="D414" s="104">
        <v>56237</v>
      </c>
      <c r="E414" s="267">
        <v>924102.08</v>
      </c>
      <c r="F414" t="s">
        <v>2432</v>
      </c>
    </row>
    <row r="415" spans="1:9">
      <c r="A415" s="15" t="s">
        <v>2353</v>
      </c>
      <c r="B415" s="96"/>
      <c r="C415" s="104">
        <v>51678339.829999998</v>
      </c>
      <c r="D415" s="104">
        <v>51676931</v>
      </c>
      <c r="E415" s="267">
        <v>1408.83</v>
      </c>
      <c r="F415" s="254" t="s">
        <v>2432</v>
      </c>
      <c r="G415" s="254"/>
      <c r="H415" s="254"/>
    </row>
    <row r="416" spans="1:9">
      <c r="A416" s="560" t="s">
        <v>2354</v>
      </c>
      <c r="B416" s="554"/>
      <c r="C416" s="579">
        <v>7000000.7199999997</v>
      </c>
      <c r="D416" s="579">
        <v>7000000.7199999997</v>
      </c>
      <c r="E416" s="554"/>
    </row>
    <row r="417" spans="1:9">
      <c r="A417" s="560" t="s">
        <v>2029</v>
      </c>
      <c r="B417" s="578">
        <v>725000</v>
      </c>
      <c r="C417" s="554"/>
      <c r="D417" s="579">
        <v>725000</v>
      </c>
      <c r="E417" s="554"/>
    </row>
    <row r="418" spans="1:9">
      <c r="A418" s="15" t="s">
        <v>2030</v>
      </c>
      <c r="B418" s="96"/>
      <c r="C418" s="104">
        <v>9939109.1199999992</v>
      </c>
      <c r="D418" s="104">
        <v>9721950.9299999997</v>
      </c>
      <c r="E418" s="267">
        <v>217158.19</v>
      </c>
      <c r="F418" s="254" t="s">
        <v>2432</v>
      </c>
      <c r="G418" s="254"/>
      <c r="H418" s="254"/>
    </row>
    <row r="419" spans="1:9">
      <c r="A419" s="15" t="s">
        <v>2031</v>
      </c>
      <c r="B419" s="267">
        <v>2867945</v>
      </c>
      <c r="C419" s="104">
        <v>52111771.270000003</v>
      </c>
      <c r="D419" s="104">
        <v>51827578.520000003</v>
      </c>
      <c r="E419" s="267">
        <v>3152137.75</v>
      </c>
      <c r="F419" s="254" t="s">
        <v>2432</v>
      </c>
      <c r="G419" s="254"/>
      <c r="H419" s="254"/>
    </row>
    <row r="420" spans="1:9">
      <c r="A420" s="15" t="s">
        <v>1730</v>
      </c>
      <c r="B420" s="267">
        <v>3813737.57</v>
      </c>
      <c r="C420" s="96"/>
      <c r="D420" s="104">
        <v>4569729</v>
      </c>
      <c r="E420" s="263">
        <v>755991.43</v>
      </c>
      <c r="F420" s="581" t="s">
        <v>2433</v>
      </c>
      <c r="G420" s="581"/>
      <c r="H420" s="254"/>
      <c r="I420" s="254"/>
    </row>
    <row r="421" spans="1:9">
      <c r="A421" s="15" t="s">
        <v>2355</v>
      </c>
      <c r="B421" s="96"/>
      <c r="C421" s="104">
        <v>7048416.2599999998</v>
      </c>
      <c r="D421" s="104">
        <v>7159217.1100000003</v>
      </c>
      <c r="E421" s="263">
        <v>110800.85</v>
      </c>
      <c r="F421" s="581" t="s">
        <v>2433</v>
      </c>
      <c r="G421" s="581"/>
      <c r="H421" s="254"/>
      <c r="I421" s="254"/>
    </row>
    <row r="422" spans="1:9">
      <c r="A422" s="15" t="s">
        <v>2356</v>
      </c>
      <c r="B422" s="96"/>
      <c r="C422" s="104">
        <v>6948741.5199999996</v>
      </c>
      <c r="D422" s="104">
        <v>7243180</v>
      </c>
      <c r="E422" s="263">
        <v>294438.48</v>
      </c>
      <c r="F422" s="581" t="s">
        <v>2433</v>
      </c>
      <c r="G422" s="581"/>
      <c r="H422" s="254"/>
      <c r="I422" s="254"/>
    </row>
    <row r="423" spans="1:9">
      <c r="A423" s="15" t="s">
        <v>2357</v>
      </c>
      <c r="B423" s="96"/>
      <c r="C423" s="104">
        <v>25833740</v>
      </c>
      <c r="D423" s="104">
        <v>22450047</v>
      </c>
      <c r="E423" s="267">
        <v>3383693</v>
      </c>
      <c r="F423" s="254" t="s">
        <v>2432</v>
      </c>
      <c r="G423" s="254"/>
      <c r="H423" s="254"/>
    </row>
    <row r="424" spans="1:9">
      <c r="A424" s="17" t="s">
        <v>778</v>
      </c>
      <c r="B424" s="267">
        <v>718081</v>
      </c>
      <c r="C424" s="96"/>
      <c r="D424" s="96"/>
      <c r="E424" s="267">
        <v>718081</v>
      </c>
      <c r="F424" t="s">
        <v>2432</v>
      </c>
    </row>
    <row r="425" spans="1:9">
      <c r="A425" s="15" t="s">
        <v>1255</v>
      </c>
      <c r="B425" s="267">
        <v>127610</v>
      </c>
      <c r="C425" s="96"/>
      <c r="D425" s="96"/>
      <c r="E425" s="267">
        <v>127610</v>
      </c>
      <c r="F425" t="s">
        <v>2432</v>
      </c>
    </row>
    <row r="426" spans="1:9">
      <c r="A426" s="15" t="s">
        <v>782</v>
      </c>
      <c r="B426" s="267">
        <v>836602</v>
      </c>
      <c r="C426" s="96"/>
      <c r="D426" s="96"/>
      <c r="E426" s="267">
        <v>836602</v>
      </c>
      <c r="F426" t="s">
        <v>2432</v>
      </c>
    </row>
    <row r="427" spans="1:9">
      <c r="A427" s="15" t="s">
        <v>1254</v>
      </c>
      <c r="B427" s="267">
        <v>1183593</v>
      </c>
      <c r="C427" s="96"/>
      <c r="D427" s="96"/>
      <c r="E427" s="267">
        <v>1183593</v>
      </c>
      <c r="F427" t="s">
        <v>2432</v>
      </c>
    </row>
    <row r="428" spans="1:9">
      <c r="A428" s="15" t="s">
        <v>2032</v>
      </c>
      <c r="B428" s="263">
        <v>247154.14</v>
      </c>
      <c r="C428" s="104">
        <v>478369.64</v>
      </c>
      <c r="D428" s="104">
        <v>230250</v>
      </c>
      <c r="E428" s="267">
        <v>965.5</v>
      </c>
      <c r="F428" s="254" t="s">
        <v>2432</v>
      </c>
      <c r="G428" s="254"/>
      <c r="H428" s="254"/>
    </row>
    <row r="429" spans="1:9">
      <c r="A429" s="15" t="s">
        <v>1499</v>
      </c>
      <c r="B429" s="263">
        <v>400000</v>
      </c>
      <c r="C429" s="96"/>
      <c r="D429" s="96"/>
      <c r="E429" s="263">
        <v>400000</v>
      </c>
      <c r="F429" s="581" t="s">
        <v>2433</v>
      </c>
    </row>
    <row r="430" spans="1:9">
      <c r="A430" s="15" t="s">
        <v>2358</v>
      </c>
      <c r="B430" s="96"/>
      <c r="C430" s="104">
        <v>9640100.8599999994</v>
      </c>
      <c r="D430" s="104">
        <v>9444154</v>
      </c>
      <c r="E430" s="267">
        <v>195946.86</v>
      </c>
      <c r="F430" s="254" t="s">
        <v>2432</v>
      </c>
      <c r="G430" s="254"/>
      <c r="H430" s="254"/>
    </row>
    <row r="431" spans="1:9">
      <c r="A431" s="560" t="s">
        <v>1500</v>
      </c>
      <c r="B431" s="578">
        <v>255012.51</v>
      </c>
      <c r="C431" s="554"/>
      <c r="D431" s="579">
        <v>255012.51</v>
      </c>
      <c r="E431" s="554"/>
    </row>
    <row r="432" spans="1:9">
      <c r="A432" s="560" t="s">
        <v>1732</v>
      </c>
      <c r="B432" s="578">
        <v>2710000</v>
      </c>
      <c r="C432" s="579">
        <v>9470370</v>
      </c>
      <c r="D432" s="579">
        <v>12180370</v>
      </c>
      <c r="E432" s="554"/>
    </row>
    <row r="433" spans="1:9">
      <c r="A433" s="17" t="s">
        <v>2359</v>
      </c>
      <c r="B433" s="96"/>
      <c r="C433" s="104">
        <v>4857891.62</v>
      </c>
      <c r="D433" s="104">
        <v>370517</v>
      </c>
      <c r="E433" s="267">
        <v>4487374.62</v>
      </c>
      <c r="F433" s="254" t="s">
        <v>2432</v>
      </c>
      <c r="G433" s="254"/>
      <c r="H433" s="254"/>
    </row>
    <row r="434" spans="1:9">
      <c r="A434" s="15" t="s">
        <v>2360</v>
      </c>
      <c r="B434" s="96"/>
      <c r="C434" s="104">
        <v>1000000</v>
      </c>
      <c r="D434" s="104">
        <v>1000000</v>
      </c>
      <c r="E434" s="96"/>
    </row>
    <row r="435" spans="1:9">
      <c r="A435" s="15" t="s">
        <v>1248</v>
      </c>
      <c r="B435" s="267">
        <v>517480</v>
      </c>
      <c r="C435" s="96"/>
      <c r="D435" s="96"/>
      <c r="E435" s="267">
        <v>517480</v>
      </c>
      <c r="F435" s="254" t="s">
        <v>2432</v>
      </c>
      <c r="G435" s="254"/>
      <c r="H435" s="254"/>
    </row>
    <row r="436" spans="1:9">
      <c r="A436" s="15" t="s">
        <v>1501</v>
      </c>
      <c r="B436" s="267">
        <v>494165.96</v>
      </c>
      <c r="C436" s="96"/>
      <c r="D436" s="96"/>
      <c r="E436" s="267">
        <v>494165.96</v>
      </c>
      <c r="F436" s="254" t="s">
        <v>2432</v>
      </c>
      <c r="G436" s="254"/>
      <c r="H436" s="254"/>
    </row>
    <row r="437" spans="1:9">
      <c r="A437" s="15" t="s">
        <v>2361</v>
      </c>
      <c r="B437" s="96"/>
      <c r="C437" s="104">
        <v>678562.54</v>
      </c>
      <c r="D437" s="104">
        <v>678563</v>
      </c>
      <c r="E437" s="263">
        <v>0.46</v>
      </c>
      <c r="F437" s="581"/>
      <c r="G437" s="581"/>
      <c r="H437" s="254"/>
      <c r="I437" s="254"/>
    </row>
    <row r="438" spans="1:9">
      <c r="A438" s="14" t="s">
        <v>69</v>
      </c>
      <c r="B438" s="198">
        <v>54632</v>
      </c>
      <c r="C438" s="112">
        <v>40914060</v>
      </c>
      <c r="D438" s="112">
        <v>40958771</v>
      </c>
      <c r="E438" s="198">
        <f>9921-2</f>
        <v>9919</v>
      </c>
      <c r="F438" s="254"/>
      <c r="G438" s="254"/>
      <c r="H438" s="254"/>
    </row>
    <row r="439" spans="1:9">
      <c r="A439" s="13" t="s">
        <v>70</v>
      </c>
      <c r="B439" s="269">
        <v>20073247.010000002</v>
      </c>
      <c r="C439" s="106">
        <v>672208284.27999997</v>
      </c>
      <c r="D439" s="106">
        <v>678814545.46000004</v>
      </c>
      <c r="E439" s="633">
        <f>B439+C439-D439</f>
        <v>13466985.829999924</v>
      </c>
      <c r="F439" s="254"/>
      <c r="G439" s="466"/>
    </row>
    <row r="440" spans="1:9">
      <c r="A440" s="17" t="s">
        <v>804</v>
      </c>
      <c r="B440" s="273">
        <v>19627619.5</v>
      </c>
      <c r="C440" s="107">
        <v>619801960.27999997</v>
      </c>
      <c r="D440" s="107">
        <v>628009022.21000004</v>
      </c>
      <c r="E440" s="273">
        <v>11420557.57</v>
      </c>
      <c r="F440" s="515"/>
    </row>
    <row r="441" spans="1:9">
      <c r="A441" s="190" t="s">
        <v>806</v>
      </c>
      <c r="B441" s="269">
        <v>12797.11</v>
      </c>
      <c r="C441" s="108"/>
      <c r="D441" s="108"/>
      <c r="E441" s="269">
        <v>12797.11</v>
      </c>
      <c r="F441" s="515"/>
    </row>
    <row r="442" spans="1:9">
      <c r="A442" s="15" t="s">
        <v>807</v>
      </c>
      <c r="B442" s="267">
        <v>140064.47</v>
      </c>
      <c r="C442" s="112">
        <v>5764988.2000000002</v>
      </c>
      <c r="D442" s="112">
        <v>5886319.5</v>
      </c>
      <c r="E442" s="267">
        <v>18733.169999999998</v>
      </c>
      <c r="F442" s="515"/>
    </row>
    <row r="443" spans="1:9">
      <c r="A443" s="190" t="s">
        <v>808</v>
      </c>
      <c r="B443" s="267">
        <v>14093.85</v>
      </c>
      <c r="C443" s="112">
        <v>10560652</v>
      </c>
      <c r="D443" s="112">
        <v>10500590</v>
      </c>
      <c r="E443" s="267">
        <v>74155.850000000006</v>
      </c>
      <c r="F443" s="515"/>
    </row>
    <row r="444" spans="1:9">
      <c r="A444" s="560" t="s">
        <v>809</v>
      </c>
      <c r="B444" s="578">
        <v>24337.5</v>
      </c>
      <c r="C444" s="576"/>
      <c r="D444" s="555">
        <v>24337.5</v>
      </c>
      <c r="E444" s="554"/>
    </row>
    <row r="445" spans="1:9">
      <c r="A445" s="15" t="s">
        <v>261</v>
      </c>
      <c r="B445" s="267">
        <v>13975117.98</v>
      </c>
      <c r="C445" s="112">
        <v>340195606.73000002</v>
      </c>
      <c r="D445" s="112">
        <v>348995939.35000002</v>
      </c>
      <c r="E445" s="267">
        <v>5174785.3600000003</v>
      </c>
      <c r="F445" s="515"/>
    </row>
    <row r="446" spans="1:9">
      <c r="A446" s="190" t="s">
        <v>811</v>
      </c>
      <c r="B446" s="267">
        <v>2540565.2200000002</v>
      </c>
      <c r="C446" s="112">
        <v>176254810.84999999</v>
      </c>
      <c r="D446" s="112">
        <v>174528467.5</v>
      </c>
      <c r="E446" s="267">
        <v>4266908.57</v>
      </c>
      <c r="F446" s="515"/>
    </row>
    <row r="447" spans="1:9">
      <c r="A447" s="190" t="s">
        <v>812</v>
      </c>
      <c r="B447" s="267">
        <v>2885227.5</v>
      </c>
      <c r="C447" s="112">
        <v>67460467</v>
      </c>
      <c r="D447" s="112">
        <v>68646990</v>
      </c>
      <c r="E447" s="267">
        <v>1698704.5</v>
      </c>
      <c r="F447" s="515"/>
    </row>
    <row r="448" spans="1:9">
      <c r="A448" s="190" t="s">
        <v>813</v>
      </c>
      <c r="B448" s="267">
        <v>21297.87</v>
      </c>
      <c r="C448" s="95"/>
      <c r="D448" s="95"/>
      <c r="E448" s="267">
        <v>21297.87</v>
      </c>
      <c r="F448" s="515"/>
    </row>
    <row r="449" spans="1:7">
      <c r="A449" s="190" t="s">
        <v>2223</v>
      </c>
      <c r="B449" s="96"/>
      <c r="C449" s="112">
        <v>19565435.5</v>
      </c>
      <c r="D449" s="112">
        <v>19426378.359999999</v>
      </c>
      <c r="E449" s="267">
        <v>139057.14000000001</v>
      </c>
      <c r="F449" s="515"/>
    </row>
    <row r="450" spans="1:7">
      <c r="A450" s="190" t="s">
        <v>814</v>
      </c>
      <c r="B450" s="267">
        <v>14118</v>
      </c>
      <c r="C450" s="95"/>
      <c r="D450" s="95"/>
      <c r="E450" s="267">
        <v>14118</v>
      </c>
      <c r="F450" s="515"/>
    </row>
    <row r="451" spans="1:7">
      <c r="A451" s="17" t="s">
        <v>815</v>
      </c>
      <c r="B451" s="269">
        <v>445627.51</v>
      </c>
      <c r="C451" s="93">
        <v>52406324</v>
      </c>
      <c r="D451" s="93">
        <v>50805523.25</v>
      </c>
      <c r="E451" s="269">
        <v>2046428.26</v>
      </c>
      <c r="F451" s="515"/>
    </row>
    <row r="452" spans="1:7">
      <c r="A452" s="15" t="s">
        <v>816</v>
      </c>
      <c r="B452" s="267">
        <v>11681.17</v>
      </c>
      <c r="C452" s="95"/>
      <c r="D452" s="95"/>
      <c r="E452" s="267">
        <v>11681.17</v>
      </c>
      <c r="F452" s="515"/>
    </row>
    <row r="453" spans="1:7">
      <c r="A453" s="190" t="s">
        <v>817</v>
      </c>
      <c r="B453" s="267">
        <v>26862.32</v>
      </c>
      <c r="C453" s="112">
        <v>1000</v>
      </c>
      <c r="D453" s="95"/>
      <c r="E453" s="267">
        <v>27862.32</v>
      </c>
      <c r="F453" s="515"/>
    </row>
    <row r="454" spans="1:7">
      <c r="A454" s="190" t="s">
        <v>818</v>
      </c>
      <c r="B454" s="267">
        <v>320500.88</v>
      </c>
      <c r="C454" s="112">
        <v>49692524</v>
      </c>
      <c r="D454" s="112">
        <v>48067483.25</v>
      </c>
      <c r="E454" s="267">
        <v>1945541.63</v>
      </c>
      <c r="F454" s="515"/>
    </row>
    <row r="455" spans="1:7">
      <c r="A455" s="190" t="s">
        <v>819</v>
      </c>
      <c r="B455" s="267">
        <v>75377.75</v>
      </c>
      <c r="C455" s="112">
        <v>2712800</v>
      </c>
      <c r="D455" s="112">
        <v>2738040</v>
      </c>
      <c r="E455" s="267">
        <v>50137.75</v>
      </c>
      <c r="F455" s="515"/>
    </row>
    <row r="456" spans="1:7">
      <c r="A456" s="15" t="s">
        <v>820</v>
      </c>
      <c r="B456" s="267">
        <v>11037.14</v>
      </c>
      <c r="C456" s="95"/>
      <c r="D456" s="95"/>
      <c r="E456" s="267">
        <v>11037.14</v>
      </c>
      <c r="F456" s="515"/>
    </row>
    <row r="457" spans="1:7">
      <c r="A457" s="190" t="s">
        <v>821</v>
      </c>
      <c r="B457" s="267">
        <v>168.25</v>
      </c>
      <c r="C457" s="95"/>
      <c r="D457" s="95"/>
      <c r="E457" s="267">
        <v>168.25</v>
      </c>
      <c r="F457" s="515"/>
    </row>
    <row r="458" spans="1:7">
      <c r="A458" s="13" t="s">
        <v>99</v>
      </c>
      <c r="B458" s="267">
        <v>18844298</v>
      </c>
      <c r="C458" s="112">
        <v>10727466</v>
      </c>
      <c r="D458" s="112">
        <v>23961062</v>
      </c>
      <c r="E458" s="267">
        <f>B458+C458-D458</f>
        <v>5610702</v>
      </c>
      <c r="F458" s="515" t="s">
        <v>2440</v>
      </c>
      <c r="G458" s="100"/>
    </row>
    <row r="459" spans="1:7">
      <c r="A459" s="1" t="s">
        <v>100</v>
      </c>
      <c r="B459" s="270">
        <v>4617661.75</v>
      </c>
      <c r="C459" s="93">
        <v>175635521.84999999</v>
      </c>
      <c r="D459" s="93">
        <v>174073655.15000001</v>
      </c>
      <c r="E459" s="270">
        <f>B459+C459-D459</f>
        <v>6179528.4499999881</v>
      </c>
      <c r="G459" s="252"/>
    </row>
    <row r="460" spans="1:7">
      <c r="A460" s="577" t="s">
        <v>2036</v>
      </c>
      <c r="B460" s="578">
        <v>109460</v>
      </c>
      <c r="C460" s="555">
        <v>2212764</v>
      </c>
      <c r="D460" s="555">
        <v>2322224</v>
      </c>
      <c r="E460" s="554"/>
    </row>
    <row r="461" spans="1:7">
      <c r="A461" s="577" t="s">
        <v>2037</v>
      </c>
      <c r="B461" s="578">
        <v>217196</v>
      </c>
      <c r="C461" s="555">
        <v>4058790</v>
      </c>
      <c r="D461" s="555">
        <v>4275986</v>
      </c>
      <c r="E461" s="554"/>
    </row>
    <row r="462" spans="1:7">
      <c r="A462" s="13" t="s">
        <v>822</v>
      </c>
      <c r="B462" s="263">
        <v>201</v>
      </c>
      <c r="C462" s="95"/>
      <c r="D462" s="95"/>
      <c r="E462" s="263">
        <v>201</v>
      </c>
      <c r="F462" s="515"/>
    </row>
    <row r="463" spans="1:7">
      <c r="A463" s="13" t="s">
        <v>1246</v>
      </c>
      <c r="B463" s="263">
        <v>34050</v>
      </c>
      <c r="C463" s="95"/>
      <c r="D463" s="95"/>
      <c r="E463" s="263">
        <v>34050</v>
      </c>
      <c r="F463" s="515"/>
    </row>
    <row r="464" spans="1:7">
      <c r="A464" s="13" t="s">
        <v>1245</v>
      </c>
      <c r="B464" s="263">
        <v>1544</v>
      </c>
      <c r="C464" s="95"/>
      <c r="D464" s="95"/>
      <c r="E464" s="263">
        <v>1544</v>
      </c>
      <c r="F464" s="515"/>
    </row>
    <row r="465" spans="1:6">
      <c r="A465" s="13" t="s">
        <v>823</v>
      </c>
      <c r="B465" s="263">
        <v>2</v>
      </c>
      <c r="C465" s="95"/>
      <c r="D465" s="95"/>
      <c r="E465" s="263">
        <v>2</v>
      </c>
      <c r="F465" s="515"/>
    </row>
    <row r="466" spans="1:6">
      <c r="A466" s="13" t="s">
        <v>2038</v>
      </c>
      <c r="B466" s="267">
        <v>258219</v>
      </c>
      <c r="C466" s="112">
        <v>4063476</v>
      </c>
      <c r="D466" s="112">
        <v>4319195</v>
      </c>
      <c r="E466" s="267">
        <v>0</v>
      </c>
      <c r="F466" s="515"/>
    </row>
    <row r="467" spans="1:6">
      <c r="A467" s="577" t="s">
        <v>2039</v>
      </c>
      <c r="B467" s="578">
        <v>14076</v>
      </c>
      <c r="C467" s="555">
        <v>817844</v>
      </c>
      <c r="D467" s="555">
        <v>831920</v>
      </c>
      <c r="E467" s="554"/>
    </row>
    <row r="468" spans="1:6">
      <c r="A468" s="13" t="s">
        <v>2040</v>
      </c>
      <c r="B468" s="267">
        <v>37345</v>
      </c>
      <c r="C468" s="112">
        <v>5040</v>
      </c>
      <c r="D468" s="112">
        <v>41085</v>
      </c>
      <c r="E468" s="267">
        <v>0</v>
      </c>
      <c r="F468" s="515"/>
    </row>
    <row r="469" spans="1:6">
      <c r="A469" s="577" t="s">
        <v>2041</v>
      </c>
      <c r="B469" s="578">
        <v>3155</v>
      </c>
      <c r="C469" s="555">
        <v>2527785</v>
      </c>
      <c r="D469" s="555">
        <v>2530940</v>
      </c>
      <c r="E469" s="554"/>
    </row>
    <row r="470" spans="1:6">
      <c r="A470" s="13" t="s">
        <v>824</v>
      </c>
      <c r="B470" s="263">
        <v>800</v>
      </c>
      <c r="C470" s="95"/>
      <c r="D470" s="95"/>
      <c r="E470" s="263">
        <v>800</v>
      </c>
      <c r="F470" s="515"/>
    </row>
    <row r="471" spans="1:6">
      <c r="A471" s="13" t="s">
        <v>1839</v>
      </c>
      <c r="B471" s="267">
        <v>41936</v>
      </c>
      <c r="C471" s="112">
        <v>670441</v>
      </c>
      <c r="D471" s="112">
        <v>689334</v>
      </c>
      <c r="E471" s="267">
        <v>0</v>
      </c>
      <c r="F471" s="515"/>
    </row>
    <row r="472" spans="1:6">
      <c r="A472" s="13" t="s">
        <v>825</v>
      </c>
      <c r="B472" s="267">
        <v>2727</v>
      </c>
      <c r="C472" s="95"/>
      <c r="D472" s="95"/>
      <c r="E472" s="267">
        <v>0</v>
      </c>
      <c r="F472" s="515"/>
    </row>
    <row r="473" spans="1:6">
      <c r="A473" s="13" t="s">
        <v>1078</v>
      </c>
      <c r="B473" s="267">
        <v>45000</v>
      </c>
      <c r="C473" s="95"/>
      <c r="D473" s="95"/>
      <c r="E473" s="267">
        <v>0</v>
      </c>
      <c r="F473" s="515"/>
    </row>
    <row r="474" spans="1:6">
      <c r="A474" s="577" t="s">
        <v>2042</v>
      </c>
      <c r="B474" s="578">
        <v>91620</v>
      </c>
      <c r="C474" s="555">
        <v>4600100</v>
      </c>
      <c r="D474" s="555">
        <v>4691720</v>
      </c>
      <c r="E474" s="554"/>
    </row>
    <row r="475" spans="1:6">
      <c r="A475" s="13" t="s">
        <v>1733</v>
      </c>
      <c r="B475" s="267">
        <v>166417</v>
      </c>
      <c r="C475" s="112">
        <v>6883333</v>
      </c>
      <c r="D475" s="112">
        <v>6971684</v>
      </c>
      <c r="E475" s="267">
        <v>0</v>
      </c>
      <c r="F475" s="515"/>
    </row>
    <row r="476" spans="1:6">
      <c r="A476" s="13" t="s">
        <v>2178</v>
      </c>
      <c r="B476" s="96"/>
      <c r="C476" s="112">
        <v>3005613</v>
      </c>
      <c r="D476" s="112">
        <v>2790461</v>
      </c>
      <c r="E476" s="267">
        <v>0</v>
      </c>
      <c r="F476" s="515"/>
    </row>
    <row r="477" spans="1:6">
      <c r="A477" s="13" t="s">
        <v>830</v>
      </c>
      <c r="B477" s="263">
        <v>500</v>
      </c>
      <c r="C477" s="112">
        <v>10825315.25</v>
      </c>
      <c r="D477" s="112">
        <v>10813355.25</v>
      </c>
      <c r="E477" s="267">
        <v>0</v>
      </c>
      <c r="F477" s="515"/>
    </row>
    <row r="478" spans="1:6">
      <c r="A478" s="13" t="s">
        <v>2179</v>
      </c>
      <c r="B478" s="96"/>
      <c r="C478" s="112">
        <v>4021717</v>
      </c>
      <c r="D478" s="112">
        <v>3875241</v>
      </c>
      <c r="E478" s="267">
        <v>0</v>
      </c>
      <c r="F478" s="515"/>
    </row>
    <row r="479" spans="1:6">
      <c r="A479" s="13" t="s">
        <v>2043</v>
      </c>
      <c r="B479" s="267">
        <v>256119</v>
      </c>
      <c r="C479" s="112">
        <v>8449347</v>
      </c>
      <c r="D479" s="112">
        <v>8641520</v>
      </c>
      <c r="E479" s="267">
        <v>0</v>
      </c>
      <c r="F479" s="515"/>
    </row>
    <row r="480" spans="1:6">
      <c r="A480" s="13" t="s">
        <v>1505</v>
      </c>
      <c r="B480" s="267">
        <v>5875</v>
      </c>
      <c r="C480" s="95"/>
      <c r="D480" s="95"/>
      <c r="E480" s="267">
        <v>0</v>
      </c>
      <c r="F480" s="515"/>
    </row>
    <row r="481" spans="1:6">
      <c r="A481" s="13" t="s">
        <v>833</v>
      </c>
      <c r="B481" s="267">
        <v>6924</v>
      </c>
      <c r="C481" s="95"/>
      <c r="D481" s="95"/>
      <c r="E481" s="267">
        <v>0</v>
      </c>
      <c r="F481" s="515"/>
    </row>
    <row r="482" spans="1:6">
      <c r="A482" s="13" t="s">
        <v>1506</v>
      </c>
      <c r="B482" s="263">
        <v>41010</v>
      </c>
      <c r="C482" s="95"/>
      <c r="D482" s="95"/>
      <c r="E482" s="263">
        <v>41010</v>
      </c>
      <c r="F482" s="515"/>
    </row>
    <row r="483" spans="1:6">
      <c r="A483" s="13" t="s">
        <v>2180</v>
      </c>
      <c r="B483" s="96"/>
      <c r="C483" s="112">
        <v>434250</v>
      </c>
      <c r="D483" s="112">
        <v>299912</v>
      </c>
      <c r="E483" s="267">
        <v>0</v>
      </c>
      <c r="F483" s="515"/>
    </row>
    <row r="484" spans="1:6">
      <c r="A484" s="13" t="s">
        <v>835</v>
      </c>
      <c r="B484" s="263">
        <v>2000</v>
      </c>
      <c r="C484" s="95"/>
      <c r="D484" s="95"/>
      <c r="E484" s="263">
        <v>2000</v>
      </c>
      <c r="F484" s="515"/>
    </row>
    <row r="485" spans="1:6">
      <c r="A485" s="577" t="s">
        <v>2044</v>
      </c>
      <c r="B485" s="554"/>
      <c r="C485" s="555">
        <v>587792</v>
      </c>
      <c r="D485" s="555">
        <v>587792</v>
      </c>
      <c r="E485" s="554"/>
    </row>
    <row r="486" spans="1:6">
      <c r="A486" s="13" t="s">
        <v>2045</v>
      </c>
      <c r="B486" s="267">
        <v>138374</v>
      </c>
      <c r="C486" s="112">
        <v>2044498</v>
      </c>
      <c r="D486" s="112">
        <v>2136846</v>
      </c>
      <c r="E486" s="267">
        <v>0</v>
      </c>
      <c r="F486" s="515"/>
    </row>
    <row r="487" spans="1:6">
      <c r="A487" s="13" t="s">
        <v>1737</v>
      </c>
      <c r="B487" s="263">
        <v>11728</v>
      </c>
      <c r="C487" s="112">
        <v>209883</v>
      </c>
      <c r="D487" s="112">
        <v>264010</v>
      </c>
      <c r="E487" s="263">
        <v>65855</v>
      </c>
      <c r="F487" s="515"/>
    </row>
    <row r="488" spans="1:6">
      <c r="A488" s="577" t="s">
        <v>2046</v>
      </c>
      <c r="B488" s="578">
        <v>1811</v>
      </c>
      <c r="C488" s="555">
        <v>1143263</v>
      </c>
      <c r="D488" s="555">
        <v>1145074</v>
      </c>
      <c r="E488" s="554"/>
    </row>
    <row r="489" spans="1:6">
      <c r="A489" s="13" t="s">
        <v>2047</v>
      </c>
      <c r="B489" s="267">
        <v>265583</v>
      </c>
      <c r="C489" s="112">
        <v>9038867</v>
      </c>
      <c r="D489" s="112">
        <v>9283905</v>
      </c>
      <c r="E489" s="267">
        <v>0</v>
      </c>
      <c r="F489" s="515"/>
    </row>
    <row r="490" spans="1:6">
      <c r="A490" s="13" t="s">
        <v>2181</v>
      </c>
      <c r="B490" s="96"/>
      <c r="C490" s="112">
        <v>1751050</v>
      </c>
      <c r="D490" s="112">
        <v>1407363</v>
      </c>
      <c r="E490" s="267">
        <v>0</v>
      </c>
      <c r="F490" s="515"/>
    </row>
    <row r="491" spans="1:6">
      <c r="A491" s="13" t="s">
        <v>836</v>
      </c>
      <c r="B491" s="267">
        <v>88647</v>
      </c>
      <c r="C491" s="95"/>
      <c r="D491" s="95"/>
      <c r="E491" s="267">
        <v>0</v>
      </c>
      <c r="F491" s="515"/>
    </row>
    <row r="492" spans="1:6">
      <c r="A492" s="13" t="s">
        <v>1243</v>
      </c>
      <c r="B492" s="267">
        <v>32269</v>
      </c>
      <c r="C492" s="95"/>
      <c r="D492" s="95"/>
      <c r="E492" s="267">
        <v>0</v>
      </c>
      <c r="F492" s="515"/>
    </row>
    <row r="493" spans="1:6">
      <c r="A493" s="13" t="s">
        <v>2048</v>
      </c>
      <c r="B493" s="267">
        <v>82384</v>
      </c>
      <c r="C493" s="112">
        <v>301740</v>
      </c>
      <c r="D493" s="112">
        <v>387124</v>
      </c>
      <c r="E493" s="263">
        <v>3000</v>
      </c>
      <c r="F493" s="515"/>
    </row>
    <row r="494" spans="1:6">
      <c r="A494" s="13" t="s">
        <v>837</v>
      </c>
      <c r="B494" s="267">
        <v>75</v>
      </c>
      <c r="C494" s="95"/>
      <c r="D494" s="95"/>
      <c r="E494" s="267">
        <v>0</v>
      </c>
      <c r="F494" s="515"/>
    </row>
    <row r="495" spans="1:6">
      <c r="A495" s="13" t="s">
        <v>838</v>
      </c>
      <c r="B495" s="267">
        <v>5578</v>
      </c>
      <c r="C495" s="95"/>
      <c r="D495" s="95"/>
      <c r="E495" s="267">
        <v>0</v>
      </c>
      <c r="F495" s="515"/>
    </row>
    <row r="496" spans="1:6">
      <c r="A496" s="13" t="s">
        <v>839</v>
      </c>
      <c r="B496" s="267">
        <v>22244</v>
      </c>
      <c r="C496" s="95"/>
      <c r="D496" s="95"/>
      <c r="E496" s="267">
        <v>0</v>
      </c>
      <c r="F496" s="515"/>
    </row>
    <row r="497" spans="1:6">
      <c r="A497" s="13" t="s">
        <v>840</v>
      </c>
      <c r="B497" s="267">
        <v>18095</v>
      </c>
      <c r="C497" s="95"/>
      <c r="D497" s="95"/>
      <c r="E497" s="267">
        <v>0</v>
      </c>
      <c r="F497" s="515"/>
    </row>
    <row r="498" spans="1:6">
      <c r="A498" s="13" t="s">
        <v>841</v>
      </c>
      <c r="B498" s="267">
        <v>31056</v>
      </c>
      <c r="C498" s="95"/>
      <c r="D498" s="95"/>
      <c r="E498" s="267">
        <v>0</v>
      </c>
      <c r="F498" s="515"/>
    </row>
    <row r="499" spans="1:6">
      <c r="A499" s="13" t="s">
        <v>842</v>
      </c>
      <c r="B499" s="267">
        <v>27512</v>
      </c>
      <c r="C499" s="95"/>
      <c r="D499" s="95"/>
      <c r="E499" s="267">
        <v>0</v>
      </c>
      <c r="F499" s="515"/>
    </row>
    <row r="500" spans="1:6">
      <c r="A500" s="13" t="s">
        <v>843</v>
      </c>
      <c r="B500" s="263">
        <v>2000</v>
      </c>
      <c r="C500" s="95"/>
      <c r="D500" s="95"/>
      <c r="E500" s="263">
        <v>2000</v>
      </c>
      <c r="F500" s="515"/>
    </row>
    <row r="501" spans="1:6">
      <c r="A501" s="13" t="s">
        <v>844</v>
      </c>
      <c r="B501" s="263">
        <v>2100</v>
      </c>
      <c r="C501" s="95"/>
      <c r="D501" s="95"/>
      <c r="E501" s="263">
        <v>2100</v>
      </c>
      <c r="F501" s="515"/>
    </row>
    <row r="502" spans="1:6">
      <c r="A502" s="13" t="s">
        <v>1841</v>
      </c>
      <c r="B502" s="267">
        <v>23368</v>
      </c>
      <c r="C502" s="112">
        <v>4786525.05</v>
      </c>
      <c r="D502" s="112">
        <v>4786654.05</v>
      </c>
      <c r="E502" s="267">
        <v>0</v>
      </c>
      <c r="F502" s="515"/>
    </row>
    <row r="503" spans="1:6">
      <c r="A503" s="13" t="s">
        <v>845</v>
      </c>
      <c r="B503" s="263">
        <v>5745</v>
      </c>
      <c r="C503" s="95"/>
      <c r="D503" s="95"/>
      <c r="E503" s="263">
        <v>5745</v>
      </c>
      <c r="F503" s="515"/>
    </row>
    <row r="504" spans="1:6">
      <c r="A504" s="13" t="s">
        <v>846</v>
      </c>
      <c r="B504" s="267">
        <v>3188</v>
      </c>
      <c r="C504" s="95"/>
      <c r="D504" s="95"/>
      <c r="E504" s="267">
        <v>0</v>
      </c>
      <c r="F504" s="515"/>
    </row>
    <row r="505" spans="1:6">
      <c r="A505" s="13" t="s">
        <v>1516</v>
      </c>
      <c r="B505" s="263">
        <v>60</v>
      </c>
      <c r="C505" s="95"/>
      <c r="D505" s="95"/>
      <c r="E505" s="263">
        <v>60</v>
      </c>
      <c r="F505" s="515"/>
    </row>
    <row r="506" spans="1:6">
      <c r="A506" s="13" t="s">
        <v>941</v>
      </c>
      <c r="B506" s="267">
        <v>3752</v>
      </c>
      <c r="C506" s="95"/>
      <c r="D506" s="95"/>
      <c r="E506" s="267">
        <v>0</v>
      </c>
      <c r="F506" s="515"/>
    </row>
    <row r="507" spans="1:6">
      <c r="A507" s="577" t="s">
        <v>2050</v>
      </c>
      <c r="B507" s="554"/>
      <c r="C507" s="555">
        <v>943278</v>
      </c>
      <c r="D507" s="555">
        <v>943278</v>
      </c>
      <c r="E507" s="554"/>
    </row>
    <row r="508" spans="1:6">
      <c r="A508" s="13" t="s">
        <v>2182</v>
      </c>
      <c r="B508" s="267">
        <v>204479.85</v>
      </c>
      <c r="C508" s="112">
        <v>18666008.5</v>
      </c>
      <c r="D508" s="112">
        <v>18634254.800000001</v>
      </c>
      <c r="E508" s="267">
        <v>0</v>
      </c>
      <c r="F508" s="515"/>
    </row>
    <row r="509" spans="1:6">
      <c r="A509" s="577" t="s">
        <v>2202</v>
      </c>
      <c r="B509" s="554"/>
      <c r="C509" s="555">
        <v>90200</v>
      </c>
      <c r="D509" s="555">
        <v>90200</v>
      </c>
      <c r="E509" s="554"/>
    </row>
    <row r="510" spans="1:6">
      <c r="A510" s="13" t="s">
        <v>1517</v>
      </c>
      <c r="B510" s="267">
        <v>29772</v>
      </c>
      <c r="C510" s="95"/>
      <c r="D510" s="95"/>
      <c r="E510" s="267">
        <v>0</v>
      </c>
      <c r="F510" s="515"/>
    </row>
    <row r="511" spans="1:6">
      <c r="A511" s="13" t="s">
        <v>849</v>
      </c>
      <c r="B511" s="263">
        <v>1000</v>
      </c>
      <c r="C511" s="95"/>
      <c r="D511" s="95"/>
      <c r="E511" s="263">
        <v>1000</v>
      </c>
      <c r="F511" s="515"/>
    </row>
    <row r="512" spans="1:6">
      <c r="A512" s="13" t="s">
        <v>850</v>
      </c>
      <c r="B512" s="267">
        <v>2950</v>
      </c>
      <c r="C512" s="95"/>
      <c r="D512" s="95"/>
      <c r="E512" s="267">
        <v>0</v>
      </c>
      <c r="F512" s="515"/>
    </row>
    <row r="513" spans="1:6">
      <c r="A513" s="13" t="s">
        <v>2183</v>
      </c>
      <c r="B513" s="96"/>
      <c r="C513" s="112">
        <v>306000</v>
      </c>
      <c r="D513" s="112">
        <v>167929</v>
      </c>
      <c r="E513" s="267">
        <v>0</v>
      </c>
      <c r="F513" s="515"/>
    </row>
    <row r="514" spans="1:6">
      <c r="A514" s="13" t="s">
        <v>1739</v>
      </c>
      <c r="B514" s="267">
        <v>5501</v>
      </c>
      <c r="C514" s="95"/>
      <c r="D514" s="95"/>
      <c r="E514" s="267">
        <v>0</v>
      </c>
      <c r="F514" s="515"/>
    </row>
    <row r="515" spans="1:6">
      <c r="A515" s="13" t="s">
        <v>1240</v>
      </c>
      <c r="B515" s="267">
        <v>15054</v>
      </c>
      <c r="C515" s="95"/>
      <c r="D515" s="95"/>
      <c r="E515" s="267">
        <v>0</v>
      </c>
      <c r="F515" s="515"/>
    </row>
    <row r="516" spans="1:6">
      <c r="A516" s="13" t="s">
        <v>2184</v>
      </c>
      <c r="B516" s="96"/>
      <c r="C516" s="112">
        <v>10317027</v>
      </c>
      <c r="D516" s="112">
        <v>10153478</v>
      </c>
      <c r="E516" s="267">
        <v>0</v>
      </c>
      <c r="F516" s="515"/>
    </row>
    <row r="517" spans="1:6">
      <c r="A517" s="13" t="s">
        <v>2185</v>
      </c>
      <c r="B517" s="96"/>
      <c r="C517" s="112">
        <v>2187521</v>
      </c>
      <c r="D517" s="112">
        <v>1900746</v>
      </c>
      <c r="E517" s="267">
        <v>0</v>
      </c>
      <c r="F517" s="515"/>
    </row>
    <row r="518" spans="1:6">
      <c r="A518" s="13" t="s">
        <v>2186</v>
      </c>
      <c r="B518" s="96"/>
      <c r="C518" s="112">
        <v>1106268</v>
      </c>
      <c r="D518" s="112">
        <v>838218</v>
      </c>
      <c r="E518" s="267">
        <v>0</v>
      </c>
      <c r="F518" s="515"/>
    </row>
    <row r="519" spans="1:6">
      <c r="A519" s="13" t="s">
        <v>854</v>
      </c>
      <c r="B519" s="263">
        <v>2494</v>
      </c>
      <c r="C519" s="95"/>
      <c r="D519" s="95"/>
      <c r="E519" s="263">
        <v>2494</v>
      </c>
      <c r="F519" s="515"/>
    </row>
    <row r="520" spans="1:6">
      <c r="A520" s="13" t="s">
        <v>2187</v>
      </c>
      <c r="B520" s="96"/>
      <c r="C520" s="112">
        <v>96055</v>
      </c>
      <c r="D520" s="112">
        <v>53603</v>
      </c>
      <c r="E520" s="267">
        <v>0</v>
      </c>
      <c r="F520" s="515"/>
    </row>
    <row r="521" spans="1:6">
      <c r="A521" s="13" t="s">
        <v>1521</v>
      </c>
      <c r="B521" s="263">
        <v>1577</v>
      </c>
      <c r="C521" s="95"/>
      <c r="D521" s="95"/>
      <c r="E521" s="263">
        <v>1577</v>
      </c>
      <c r="F521" s="515"/>
    </row>
    <row r="522" spans="1:6">
      <c r="A522" s="13" t="s">
        <v>2188</v>
      </c>
      <c r="B522" s="96"/>
      <c r="C522" s="112">
        <v>1026528</v>
      </c>
      <c r="D522" s="112">
        <v>710047</v>
      </c>
      <c r="E522" s="267">
        <v>0</v>
      </c>
      <c r="F522" s="515"/>
    </row>
    <row r="523" spans="1:6">
      <c r="A523" s="13" t="s">
        <v>2189</v>
      </c>
      <c r="B523" s="96"/>
      <c r="C523" s="112">
        <v>8928479</v>
      </c>
      <c r="D523" s="112">
        <v>8302758</v>
      </c>
      <c r="E523" s="267">
        <v>0</v>
      </c>
      <c r="F523" s="515"/>
    </row>
    <row r="524" spans="1:6">
      <c r="A524" s="13" t="s">
        <v>2203</v>
      </c>
      <c r="B524" s="96"/>
      <c r="C524" s="112">
        <v>7201436</v>
      </c>
      <c r="D524" s="112">
        <v>7145762</v>
      </c>
      <c r="E524" s="267">
        <v>0</v>
      </c>
      <c r="F524" s="515"/>
    </row>
    <row r="525" spans="1:6">
      <c r="A525" s="13" t="s">
        <v>2190</v>
      </c>
      <c r="B525" s="96"/>
      <c r="C525" s="112">
        <v>5000</v>
      </c>
      <c r="D525" s="95"/>
      <c r="E525" s="267">
        <v>0</v>
      </c>
      <c r="F525" s="515"/>
    </row>
    <row r="526" spans="1:6">
      <c r="A526" s="13" t="s">
        <v>1743</v>
      </c>
      <c r="B526" s="267">
        <v>3530</v>
      </c>
      <c r="C526" s="112">
        <v>40755</v>
      </c>
      <c r="D526" s="112">
        <v>40755</v>
      </c>
      <c r="E526" s="267">
        <v>0</v>
      </c>
      <c r="F526" s="515"/>
    </row>
    <row r="527" spans="1:6">
      <c r="A527" s="577" t="s">
        <v>1744</v>
      </c>
      <c r="B527" s="578">
        <v>32292</v>
      </c>
      <c r="C527" s="555">
        <v>74292</v>
      </c>
      <c r="D527" s="555">
        <v>106584</v>
      </c>
      <c r="E527" s="554"/>
    </row>
    <row r="528" spans="1:6">
      <c r="A528" s="577" t="s">
        <v>2052</v>
      </c>
      <c r="B528" s="578">
        <v>42762</v>
      </c>
      <c r="C528" s="555">
        <v>4021744</v>
      </c>
      <c r="D528" s="555">
        <v>4064506</v>
      </c>
      <c r="E528" s="554"/>
    </row>
    <row r="529" spans="1:6">
      <c r="A529" s="13" t="s">
        <v>2053</v>
      </c>
      <c r="B529" s="267">
        <v>900100</v>
      </c>
      <c r="C529" s="112">
        <v>17128336</v>
      </c>
      <c r="D529" s="112">
        <v>17693552</v>
      </c>
      <c r="E529" s="267">
        <v>0</v>
      </c>
      <c r="F529" s="515"/>
    </row>
    <row r="530" spans="1:6">
      <c r="A530" s="13" t="s">
        <v>2191</v>
      </c>
      <c r="B530" s="96"/>
      <c r="C530" s="112">
        <v>2848730</v>
      </c>
      <c r="D530" s="112">
        <v>2411533</v>
      </c>
      <c r="E530" s="267">
        <v>0</v>
      </c>
      <c r="F530" s="515"/>
    </row>
    <row r="531" spans="1:6">
      <c r="A531" s="13" t="s">
        <v>855</v>
      </c>
      <c r="B531" s="267">
        <v>1184066.7</v>
      </c>
      <c r="C531" s="112">
        <v>130000</v>
      </c>
      <c r="D531" s="95"/>
      <c r="E531" s="267">
        <v>0</v>
      </c>
      <c r="F531" s="515"/>
    </row>
    <row r="532" spans="1:6">
      <c r="A532" s="13" t="s">
        <v>2192</v>
      </c>
      <c r="B532" s="96"/>
      <c r="C532" s="112">
        <v>2236576</v>
      </c>
      <c r="D532" s="112">
        <v>2397037</v>
      </c>
      <c r="E532" s="263">
        <v>160461</v>
      </c>
      <c r="F532" s="515"/>
    </row>
    <row r="533" spans="1:6">
      <c r="A533" s="13" t="s">
        <v>1239</v>
      </c>
      <c r="B533" s="267">
        <v>1500</v>
      </c>
      <c r="C533" s="95"/>
      <c r="D533" s="95"/>
      <c r="E533" s="267">
        <v>0</v>
      </c>
      <c r="F533" s="515"/>
    </row>
    <row r="534" spans="1:6">
      <c r="A534" s="13" t="s">
        <v>256</v>
      </c>
      <c r="B534" s="267">
        <v>233932443.25</v>
      </c>
      <c r="C534" s="112">
        <v>16550265.050000001</v>
      </c>
      <c r="D534" s="112">
        <v>68640</v>
      </c>
      <c r="E534" s="267">
        <v>0</v>
      </c>
      <c r="F534" s="515"/>
    </row>
    <row r="535" spans="1:6">
      <c r="A535" s="13" t="s">
        <v>856</v>
      </c>
      <c r="B535" s="263">
        <v>3682429</v>
      </c>
      <c r="C535" s="95"/>
      <c r="D535" s="112">
        <v>943278</v>
      </c>
      <c r="E535" s="263">
        <v>4625707</v>
      </c>
      <c r="F535" s="515"/>
    </row>
    <row r="536" spans="1:6">
      <c r="A536" s="13" t="s">
        <v>857</v>
      </c>
      <c r="B536" s="263">
        <v>155952519</v>
      </c>
      <c r="C536" s="95"/>
      <c r="D536" s="112">
        <v>11386532</v>
      </c>
      <c r="E536" s="263">
        <v>167339051</v>
      </c>
      <c r="F536" s="515"/>
    </row>
    <row r="537" spans="1:6">
      <c r="A537" s="13" t="s">
        <v>858</v>
      </c>
      <c r="B537" s="263">
        <v>74297495.25</v>
      </c>
      <c r="C537" s="112">
        <v>27368</v>
      </c>
      <c r="D537" s="112">
        <v>4179183.05</v>
      </c>
      <c r="E537" s="263">
        <v>78449310.299999997</v>
      </c>
      <c r="F537" s="515"/>
    </row>
    <row r="538" spans="1:6">
      <c r="A538" s="13" t="s">
        <v>859</v>
      </c>
      <c r="B538" s="267">
        <v>10812</v>
      </c>
      <c r="C538" s="95"/>
      <c r="D538" s="95"/>
      <c r="E538" s="267">
        <v>0</v>
      </c>
      <c r="F538" s="515"/>
    </row>
    <row r="539" spans="1:6">
      <c r="A539" s="13" t="s">
        <v>860</v>
      </c>
      <c r="B539" s="267">
        <v>6042</v>
      </c>
      <c r="C539" s="95"/>
      <c r="D539" s="95"/>
      <c r="E539" s="267">
        <v>0</v>
      </c>
      <c r="F539" s="515"/>
    </row>
    <row r="540" spans="1:6">
      <c r="A540" s="13" t="s">
        <v>861</v>
      </c>
      <c r="B540" s="263">
        <v>6589</v>
      </c>
      <c r="C540" s="95"/>
      <c r="D540" s="95"/>
      <c r="E540" s="263">
        <v>6589</v>
      </c>
      <c r="F540" s="515"/>
    </row>
    <row r="541" spans="1:6">
      <c r="A541" s="577" t="s">
        <v>2054</v>
      </c>
      <c r="B541" s="578">
        <v>38664</v>
      </c>
      <c r="C541" s="555">
        <v>222096</v>
      </c>
      <c r="D541" s="555">
        <v>260760</v>
      </c>
      <c r="E541" s="554"/>
    </row>
    <row r="542" spans="1:6">
      <c r="A542" s="577" t="s">
        <v>1528</v>
      </c>
      <c r="B542" s="554"/>
      <c r="C542" s="555">
        <v>47140</v>
      </c>
      <c r="D542" s="555">
        <v>47140</v>
      </c>
      <c r="E542" s="554"/>
    </row>
    <row r="543" spans="1:6">
      <c r="A543" s="13" t="s">
        <v>2193</v>
      </c>
      <c r="B543" s="96"/>
      <c r="C543" s="112">
        <v>5678642</v>
      </c>
      <c r="D543" s="112">
        <v>5663453</v>
      </c>
      <c r="E543" s="267">
        <v>0</v>
      </c>
      <c r="F543" s="515"/>
    </row>
    <row r="544" spans="1:6">
      <c r="A544" s="577" t="s">
        <v>1529</v>
      </c>
      <c r="B544" s="578">
        <v>50068</v>
      </c>
      <c r="C544" s="555">
        <v>12000</v>
      </c>
      <c r="D544" s="555">
        <v>62068</v>
      </c>
      <c r="E544" s="554"/>
    </row>
    <row r="545" spans="1:6">
      <c r="A545" s="13" t="s">
        <v>1237</v>
      </c>
      <c r="B545" s="267">
        <v>69540</v>
      </c>
      <c r="C545" s="95"/>
      <c r="D545" s="95"/>
      <c r="E545" s="267">
        <v>0</v>
      </c>
      <c r="F545" s="515"/>
    </row>
    <row r="546" spans="1:6">
      <c r="A546" s="13" t="s">
        <v>863</v>
      </c>
      <c r="B546" s="267">
        <v>6023</v>
      </c>
      <c r="C546" s="95"/>
      <c r="D546" s="95"/>
      <c r="E546" s="267">
        <v>0</v>
      </c>
      <c r="F546" s="515"/>
    </row>
    <row r="547" spans="1:6">
      <c r="A547" s="13" t="s">
        <v>1089</v>
      </c>
      <c r="B547" s="267">
        <v>40029.199999999997</v>
      </c>
      <c r="C547" s="95"/>
      <c r="D547" s="95"/>
      <c r="E547" s="267">
        <v>0</v>
      </c>
      <c r="F547" s="515"/>
    </row>
    <row r="548" spans="1:6">
      <c r="A548" s="13" t="s">
        <v>1236</v>
      </c>
      <c r="B548" s="267">
        <v>38444</v>
      </c>
      <c r="C548" s="95"/>
      <c r="D548" s="95"/>
      <c r="E548" s="267">
        <v>0</v>
      </c>
      <c r="F548" s="515"/>
    </row>
    <row r="549" spans="1:6">
      <c r="A549" s="13" t="s">
        <v>1235</v>
      </c>
      <c r="B549" s="263">
        <v>2987</v>
      </c>
      <c r="C549" s="95"/>
      <c r="D549" s="95"/>
      <c r="E549" s="263">
        <v>2987</v>
      </c>
      <c r="F549" s="515"/>
    </row>
    <row r="550" spans="1:6">
      <c r="A550" s="13" t="s">
        <v>864</v>
      </c>
      <c r="B550" s="267">
        <v>19090</v>
      </c>
      <c r="C550" s="95"/>
      <c r="D550" s="95"/>
      <c r="E550" s="267">
        <v>0</v>
      </c>
      <c r="F550" s="515"/>
    </row>
    <row r="551" spans="1:6">
      <c r="A551" s="13" t="s">
        <v>2194</v>
      </c>
      <c r="B551" s="96"/>
      <c r="C551" s="112">
        <v>1677634</v>
      </c>
      <c r="D551" s="112">
        <v>1095586</v>
      </c>
      <c r="E551" s="267">
        <v>0</v>
      </c>
      <c r="F551" s="515"/>
    </row>
    <row r="552" spans="1:6">
      <c r="A552" s="13" t="s">
        <v>2204</v>
      </c>
      <c r="B552" s="96"/>
      <c r="C552" s="112">
        <v>956699</v>
      </c>
      <c r="D552" s="112">
        <v>949418</v>
      </c>
      <c r="E552" s="267">
        <v>0</v>
      </c>
      <c r="F552" s="515"/>
    </row>
    <row r="553" spans="1:6">
      <c r="A553" s="13" t="s">
        <v>865</v>
      </c>
      <c r="B553" s="267">
        <v>6188</v>
      </c>
      <c r="C553" s="95"/>
      <c r="D553" s="95"/>
      <c r="E553" s="267">
        <v>0</v>
      </c>
      <c r="F553" s="515"/>
    </row>
    <row r="554" spans="1:6">
      <c r="A554" s="13" t="s">
        <v>866</v>
      </c>
      <c r="B554" s="267">
        <v>6576</v>
      </c>
      <c r="C554" s="95"/>
      <c r="D554" s="95"/>
      <c r="E554" s="267">
        <v>0</v>
      </c>
      <c r="F554" s="515"/>
    </row>
    <row r="555" spans="1:6">
      <c r="A555" s="13" t="s">
        <v>867</v>
      </c>
      <c r="B555" s="267">
        <v>486</v>
      </c>
      <c r="C555" s="95"/>
      <c r="D555" s="95"/>
      <c r="E555" s="267">
        <v>0</v>
      </c>
      <c r="F555" s="515"/>
    </row>
    <row r="556" spans="1:6">
      <c r="A556" s="13" t="s">
        <v>868</v>
      </c>
      <c r="B556" s="267">
        <v>2101</v>
      </c>
      <c r="C556" s="95"/>
      <c r="D556" s="95"/>
      <c r="E556" s="267">
        <v>0</v>
      </c>
      <c r="F556" s="515"/>
    </row>
    <row r="557" spans="1:6">
      <c r="A557" s="13" t="s">
        <v>869</v>
      </c>
      <c r="B557" s="263">
        <v>300</v>
      </c>
      <c r="C557" s="95"/>
      <c r="D557" s="95"/>
      <c r="E557" s="263">
        <v>300</v>
      </c>
      <c r="F557" s="515"/>
    </row>
    <row r="558" spans="1:6">
      <c r="A558" s="13" t="s">
        <v>1530</v>
      </c>
      <c r="B558" s="267">
        <v>18273</v>
      </c>
      <c r="C558" s="112">
        <v>670011</v>
      </c>
      <c r="D558" s="112">
        <v>670011</v>
      </c>
      <c r="E558" s="267">
        <v>0</v>
      </c>
      <c r="F558" s="515"/>
    </row>
    <row r="559" spans="1:6">
      <c r="A559" s="1" t="s">
        <v>101</v>
      </c>
      <c r="B559" s="270">
        <v>273232</v>
      </c>
      <c r="C559" s="93">
        <v>36636991</v>
      </c>
      <c r="D559" s="93">
        <v>35341157</v>
      </c>
      <c r="E559" s="270">
        <v>1569066</v>
      </c>
    </row>
    <row r="560" spans="1:6">
      <c r="A560" s="13" t="s">
        <v>2195</v>
      </c>
      <c r="B560" s="96"/>
      <c r="C560" s="112">
        <v>25500</v>
      </c>
      <c r="D560" s="112">
        <v>10000</v>
      </c>
      <c r="E560" s="267">
        <v>15500</v>
      </c>
      <c r="F560" s="515"/>
    </row>
    <row r="561" spans="1:6">
      <c r="A561" s="577" t="s">
        <v>2196</v>
      </c>
      <c r="B561" s="554"/>
      <c r="C561" s="555">
        <v>5000</v>
      </c>
      <c r="D561" s="555">
        <v>5000</v>
      </c>
      <c r="E561" s="554"/>
    </row>
    <row r="562" spans="1:6">
      <c r="A562" s="13" t="s">
        <v>870</v>
      </c>
      <c r="B562" s="267">
        <v>2171.5</v>
      </c>
      <c r="C562" s="112">
        <v>253944</v>
      </c>
      <c r="D562" s="112">
        <v>242172</v>
      </c>
      <c r="E562" s="267">
        <v>13943.5</v>
      </c>
      <c r="F562" s="515"/>
    </row>
    <row r="563" spans="1:6">
      <c r="A563" s="577" t="s">
        <v>2197</v>
      </c>
      <c r="B563" s="554"/>
      <c r="C563" s="555">
        <v>5000</v>
      </c>
      <c r="D563" s="555">
        <v>5000</v>
      </c>
      <c r="E563" s="554"/>
    </row>
    <row r="564" spans="1:6">
      <c r="A564" s="13" t="s">
        <v>871</v>
      </c>
      <c r="B564" s="267">
        <v>1922.5</v>
      </c>
      <c r="C564" s="112">
        <v>50280</v>
      </c>
      <c r="D564" s="112">
        <v>52295</v>
      </c>
      <c r="E564" s="263">
        <v>92.5</v>
      </c>
      <c r="F564" s="515"/>
    </row>
    <row r="565" spans="1:6">
      <c r="A565" s="13" t="s">
        <v>872</v>
      </c>
      <c r="B565" s="96"/>
      <c r="C565" s="112">
        <v>43686</v>
      </c>
      <c r="D565" s="112">
        <v>38686</v>
      </c>
      <c r="E565" s="267">
        <v>5000</v>
      </c>
      <c r="F565" s="515"/>
    </row>
    <row r="566" spans="1:6">
      <c r="A566" s="13" t="s">
        <v>873</v>
      </c>
      <c r="B566" s="267">
        <v>2037</v>
      </c>
      <c r="C566" s="112">
        <v>296800</v>
      </c>
      <c r="D566" s="112">
        <v>282753</v>
      </c>
      <c r="E566" s="267">
        <v>16084</v>
      </c>
      <c r="F566" s="515"/>
    </row>
    <row r="567" spans="1:6">
      <c r="A567" s="13" t="s">
        <v>2198</v>
      </c>
      <c r="B567" s="96"/>
      <c r="C567" s="112">
        <v>3000</v>
      </c>
      <c r="D567" s="95"/>
      <c r="E567" s="267">
        <v>3000</v>
      </c>
      <c r="F567" s="515"/>
    </row>
    <row r="568" spans="1:6">
      <c r="A568" s="13" t="s">
        <v>874</v>
      </c>
      <c r="B568" s="267">
        <v>23534.2</v>
      </c>
      <c r="C568" s="112">
        <v>126000</v>
      </c>
      <c r="D568" s="112">
        <v>122398</v>
      </c>
      <c r="E568" s="267">
        <v>27136.2</v>
      </c>
      <c r="F568" s="515"/>
    </row>
    <row r="569" spans="1:6">
      <c r="A569" s="13" t="s">
        <v>875</v>
      </c>
      <c r="B569" s="267">
        <v>908</v>
      </c>
      <c r="C569" s="95"/>
      <c r="D569" s="95"/>
      <c r="E569" s="267">
        <v>908</v>
      </c>
      <c r="F569" s="515"/>
    </row>
    <row r="570" spans="1:6">
      <c r="A570" s="577" t="s">
        <v>2055</v>
      </c>
      <c r="B570" s="554"/>
      <c r="C570" s="555">
        <v>10000</v>
      </c>
      <c r="D570" s="555">
        <v>10000</v>
      </c>
      <c r="E570" s="554"/>
    </row>
    <row r="571" spans="1:6">
      <c r="A571" s="13" t="s">
        <v>1747</v>
      </c>
      <c r="B571" s="267">
        <v>29105</v>
      </c>
      <c r="C571" s="112">
        <v>2227</v>
      </c>
      <c r="D571" s="95"/>
      <c r="E571" s="267">
        <v>31332</v>
      </c>
      <c r="F571" s="515"/>
    </row>
    <row r="572" spans="1:6">
      <c r="A572" s="13" t="s">
        <v>876</v>
      </c>
      <c r="B572" s="267">
        <v>5128</v>
      </c>
      <c r="C572" s="112">
        <v>2500</v>
      </c>
      <c r="D572" s="95"/>
      <c r="E572" s="267">
        <v>7628</v>
      </c>
      <c r="F572" s="515"/>
    </row>
    <row r="573" spans="1:6">
      <c r="A573" s="577" t="s">
        <v>2057</v>
      </c>
      <c r="B573" s="578">
        <v>15000</v>
      </c>
      <c r="C573" s="576"/>
      <c r="D573" s="555">
        <v>15000</v>
      </c>
      <c r="E573" s="554"/>
    </row>
    <row r="574" spans="1:6">
      <c r="A574" s="577" t="s">
        <v>2199</v>
      </c>
      <c r="B574" s="554"/>
      <c r="C574" s="555">
        <v>11431</v>
      </c>
      <c r="D574" s="555">
        <v>11431</v>
      </c>
      <c r="E574" s="554"/>
    </row>
    <row r="575" spans="1:6">
      <c r="A575" s="13" t="s">
        <v>877</v>
      </c>
      <c r="B575" s="267">
        <v>169004</v>
      </c>
      <c r="C575" s="112">
        <v>6989</v>
      </c>
      <c r="D575" s="112">
        <v>4000</v>
      </c>
      <c r="E575" s="267">
        <v>171993</v>
      </c>
      <c r="F575" s="515"/>
    </row>
    <row r="576" spans="1:6">
      <c r="A576" s="13" t="s">
        <v>2062</v>
      </c>
      <c r="B576" s="263">
        <v>3000</v>
      </c>
      <c r="C576" s="95"/>
      <c r="D576" s="95"/>
      <c r="E576" s="263">
        <v>3000</v>
      </c>
      <c r="F576" s="515"/>
    </row>
    <row r="577" spans="1:6">
      <c r="A577" s="13" t="s">
        <v>879</v>
      </c>
      <c r="B577" s="263">
        <v>24410</v>
      </c>
      <c r="C577" s="112">
        <v>55000</v>
      </c>
      <c r="D577" s="112">
        <v>25987</v>
      </c>
      <c r="E577" s="267">
        <v>4603</v>
      </c>
      <c r="F577" s="515"/>
    </row>
    <row r="578" spans="1:6">
      <c r="A578" s="13" t="s">
        <v>2063</v>
      </c>
      <c r="B578" s="263">
        <v>6000</v>
      </c>
      <c r="C578" s="112">
        <v>129000</v>
      </c>
      <c r="D578" s="112">
        <v>129764</v>
      </c>
      <c r="E578" s="263">
        <v>6764</v>
      </c>
      <c r="F578" s="515"/>
    </row>
    <row r="579" spans="1:6">
      <c r="A579" s="13" t="s">
        <v>1532</v>
      </c>
      <c r="B579" s="263">
        <v>1</v>
      </c>
      <c r="C579" s="95"/>
      <c r="D579" s="95"/>
      <c r="E579" s="263">
        <v>1</v>
      </c>
      <c r="F579" s="515"/>
    </row>
    <row r="580" spans="1:6">
      <c r="A580" s="13" t="s">
        <v>880</v>
      </c>
      <c r="B580" s="267">
        <v>4362.5</v>
      </c>
      <c r="C580" s="112">
        <v>62867</v>
      </c>
      <c r="D580" s="112">
        <v>65312</v>
      </c>
      <c r="E580" s="267">
        <v>1917.5</v>
      </c>
      <c r="F580" s="515"/>
    </row>
    <row r="581" spans="1:6">
      <c r="A581" s="13" t="s">
        <v>881</v>
      </c>
      <c r="B581" s="96"/>
      <c r="C581" s="112">
        <v>8000</v>
      </c>
      <c r="D581" s="95"/>
      <c r="E581" s="267">
        <v>8000</v>
      </c>
      <c r="F581" s="515"/>
    </row>
    <row r="582" spans="1:6">
      <c r="A582" s="13" t="s">
        <v>1533</v>
      </c>
      <c r="B582" s="267">
        <v>11866</v>
      </c>
      <c r="C582" s="112">
        <v>135500</v>
      </c>
      <c r="D582" s="112">
        <v>92229</v>
      </c>
      <c r="E582" s="267">
        <v>55137</v>
      </c>
      <c r="F582" s="515"/>
    </row>
    <row r="583" spans="1:6">
      <c r="A583" s="13" t="s">
        <v>1534</v>
      </c>
      <c r="B583" s="267">
        <v>4415</v>
      </c>
      <c r="C583" s="95"/>
      <c r="D583" s="95"/>
      <c r="E583" s="267">
        <v>4415</v>
      </c>
      <c r="F583" s="515"/>
    </row>
    <row r="584" spans="1:6">
      <c r="A584" s="13" t="s">
        <v>883</v>
      </c>
      <c r="B584" s="267">
        <v>6125</v>
      </c>
      <c r="C584" s="112">
        <v>90759</v>
      </c>
      <c r="D584" s="112">
        <v>90208</v>
      </c>
      <c r="E584" s="267">
        <v>6676</v>
      </c>
      <c r="F584" s="515"/>
    </row>
    <row r="585" spans="1:6">
      <c r="A585" s="13" t="s">
        <v>884</v>
      </c>
      <c r="B585" s="263">
        <v>3988.7</v>
      </c>
      <c r="C585" s="112">
        <v>526770</v>
      </c>
      <c r="D585" s="112">
        <v>480293</v>
      </c>
      <c r="E585" s="267">
        <v>42488.3</v>
      </c>
      <c r="F585" s="515"/>
    </row>
    <row r="586" spans="1:6">
      <c r="A586" s="13" t="s">
        <v>885</v>
      </c>
      <c r="B586" s="267">
        <v>5134</v>
      </c>
      <c r="C586" s="112">
        <v>79900</v>
      </c>
      <c r="D586" s="112">
        <v>84434</v>
      </c>
      <c r="E586" s="267">
        <v>600</v>
      </c>
      <c r="F586" s="515"/>
    </row>
    <row r="587" spans="1:6">
      <c r="A587" s="13" t="s">
        <v>2064</v>
      </c>
      <c r="B587" s="96"/>
      <c r="C587" s="112">
        <v>34611039</v>
      </c>
      <c r="D587" s="112">
        <v>33485550</v>
      </c>
      <c r="E587" s="635">
        <v>1125489</v>
      </c>
      <c r="F587" s="515"/>
    </row>
    <row r="588" spans="1:6">
      <c r="A588" s="13" t="s">
        <v>1748</v>
      </c>
      <c r="B588" s="267">
        <v>18383</v>
      </c>
      <c r="C588" s="95"/>
      <c r="D588" s="95"/>
      <c r="E588" s="267">
        <v>18383</v>
      </c>
      <c r="F588" s="515"/>
    </row>
    <row r="589" spans="1:6">
      <c r="A589" s="577" t="s">
        <v>2065</v>
      </c>
      <c r="B589" s="578">
        <v>886</v>
      </c>
      <c r="C589" s="576"/>
      <c r="D589" s="555">
        <v>886</v>
      </c>
      <c r="E589" s="554"/>
    </row>
    <row r="590" spans="1:6">
      <c r="A590" s="13" t="s">
        <v>2066</v>
      </c>
      <c r="B590" s="267">
        <v>1495</v>
      </c>
      <c r="C590" s="112">
        <v>4000</v>
      </c>
      <c r="D590" s="95"/>
      <c r="E590" s="267">
        <v>5495</v>
      </c>
      <c r="F590" s="515"/>
    </row>
    <row r="591" spans="1:6">
      <c r="A591" s="13" t="s">
        <v>1233</v>
      </c>
      <c r="B591" s="96"/>
      <c r="C591" s="112">
        <v>3000</v>
      </c>
      <c r="D591" s="95"/>
      <c r="E591" s="267">
        <v>3000</v>
      </c>
      <c r="F591" s="515"/>
    </row>
    <row r="592" spans="1:6">
      <c r="A592" s="577" t="s">
        <v>2200</v>
      </c>
      <c r="B592" s="554"/>
      <c r="C592" s="555">
        <v>5299</v>
      </c>
      <c r="D592" s="555">
        <v>5299</v>
      </c>
      <c r="E592" s="554"/>
    </row>
    <row r="593" spans="1:7">
      <c r="A593" s="13" t="s">
        <v>1749</v>
      </c>
      <c r="B593" s="267">
        <v>3000</v>
      </c>
      <c r="C593" s="95"/>
      <c r="D593" s="95"/>
      <c r="E593" s="267">
        <v>3000</v>
      </c>
      <c r="F593" s="515"/>
    </row>
    <row r="594" spans="1:7">
      <c r="A594" s="13" t="s">
        <v>1093</v>
      </c>
      <c r="B594" s="96"/>
      <c r="C594" s="112">
        <v>64000</v>
      </c>
      <c r="D594" s="112">
        <v>63000</v>
      </c>
      <c r="E594" s="267">
        <v>1000</v>
      </c>
      <c r="F594" s="515"/>
    </row>
    <row r="595" spans="1:7">
      <c r="A595" s="13" t="s">
        <v>887</v>
      </c>
      <c r="B595" s="267">
        <v>500</v>
      </c>
      <c r="C595" s="95"/>
      <c r="D595" s="95"/>
      <c r="E595" s="267">
        <v>500</v>
      </c>
      <c r="F595" s="515"/>
    </row>
    <row r="596" spans="1:7">
      <c r="A596" s="13" t="s">
        <v>888</v>
      </c>
      <c r="B596" s="267">
        <v>750</v>
      </c>
      <c r="C596" s="95"/>
      <c r="D596" s="95"/>
      <c r="E596" s="267">
        <v>750</v>
      </c>
      <c r="F596" s="515"/>
    </row>
    <row r="597" spans="1:7">
      <c r="A597" s="577" t="s">
        <v>889</v>
      </c>
      <c r="B597" s="578">
        <v>1500</v>
      </c>
      <c r="C597" s="576"/>
      <c r="D597" s="555">
        <v>1500</v>
      </c>
      <c r="E597" s="554"/>
    </row>
    <row r="598" spans="1:7">
      <c r="A598" s="13" t="s">
        <v>1750</v>
      </c>
      <c r="B598" s="267">
        <v>3405</v>
      </c>
      <c r="C598" s="112">
        <v>2000</v>
      </c>
      <c r="D598" s="112">
        <v>1000</v>
      </c>
      <c r="E598" s="267">
        <v>4405</v>
      </c>
      <c r="F598" s="515"/>
    </row>
    <row r="599" spans="1:7">
      <c r="A599" s="13" t="s">
        <v>2067</v>
      </c>
      <c r="B599" s="96"/>
      <c r="C599" s="112">
        <v>17500</v>
      </c>
      <c r="D599" s="112">
        <v>16960</v>
      </c>
      <c r="E599" s="267">
        <v>540</v>
      </c>
      <c r="F599" s="515"/>
    </row>
    <row r="600" spans="1:7">
      <c r="A600" s="1" t="s">
        <v>102</v>
      </c>
      <c r="B600" s="109"/>
      <c r="C600" s="93">
        <v>3790</v>
      </c>
      <c r="D600" s="93">
        <v>328961538.06</v>
      </c>
      <c r="E600" s="264">
        <v>328957748.06</v>
      </c>
    </row>
    <row r="601" spans="1:7">
      <c r="A601" s="13" t="s">
        <v>103</v>
      </c>
      <c r="B601" s="96"/>
      <c r="C601" s="112">
        <v>3790</v>
      </c>
      <c r="D601" s="112">
        <v>328210468.06</v>
      </c>
      <c r="E601" s="263">
        <v>328206678.06</v>
      </c>
      <c r="F601" s="581"/>
      <c r="G601" s="581"/>
    </row>
    <row r="602" spans="1:7">
      <c r="A602" s="13" t="s">
        <v>2201</v>
      </c>
      <c r="B602" s="96"/>
      <c r="C602" s="95"/>
      <c r="D602" s="112">
        <v>751070</v>
      </c>
      <c r="E602" s="263">
        <v>751070</v>
      </c>
      <c r="F602" s="581"/>
      <c r="G602" s="581"/>
    </row>
    <row r="603" spans="1:7">
      <c r="A603" s="1" t="s">
        <v>104</v>
      </c>
      <c r="B603" s="109"/>
      <c r="C603" s="93">
        <v>81440680.049999997</v>
      </c>
      <c r="D603" s="93">
        <v>11509716</v>
      </c>
      <c r="E603" s="525">
        <v>69930964.049999997</v>
      </c>
    </row>
    <row r="604" spans="1:7">
      <c r="A604" s="13" t="s">
        <v>105</v>
      </c>
      <c r="B604" s="96"/>
      <c r="C604" s="112">
        <v>764695</v>
      </c>
      <c r="D604" s="112">
        <v>1332</v>
      </c>
      <c r="E604" s="267">
        <v>763363</v>
      </c>
      <c r="F604" s="581"/>
      <c r="G604" s="581"/>
    </row>
    <row r="605" spans="1:7">
      <c r="A605" s="13" t="s">
        <v>106</v>
      </c>
      <c r="B605" s="96"/>
      <c r="C605" s="112">
        <v>789848</v>
      </c>
      <c r="D605" s="95"/>
      <c r="E605" s="267">
        <v>789848</v>
      </c>
      <c r="F605" s="581"/>
      <c r="G605" s="581"/>
    </row>
    <row r="606" spans="1:7">
      <c r="A606" s="13" t="s">
        <v>107</v>
      </c>
      <c r="B606" s="96"/>
      <c r="C606" s="112">
        <v>978022</v>
      </c>
      <c r="D606" s="95"/>
      <c r="E606" s="267">
        <v>978022</v>
      </c>
      <c r="F606" s="581"/>
      <c r="G606" s="581"/>
    </row>
    <row r="607" spans="1:7">
      <c r="A607" s="13" t="s">
        <v>108</v>
      </c>
      <c r="B607" s="96"/>
      <c r="C607" s="112">
        <v>439837</v>
      </c>
      <c r="D607" s="95"/>
      <c r="E607" s="267">
        <v>439837</v>
      </c>
      <c r="F607" s="581"/>
      <c r="G607" s="581"/>
    </row>
    <row r="608" spans="1:7">
      <c r="A608" s="13" t="s">
        <v>109</v>
      </c>
      <c r="B608" s="96"/>
      <c r="C608" s="112">
        <v>386686</v>
      </c>
      <c r="D608" s="95"/>
      <c r="E608" s="267">
        <v>386686</v>
      </c>
      <c r="F608" s="581"/>
      <c r="G608" s="581"/>
    </row>
    <row r="609" spans="1:7">
      <c r="A609" s="13" t="s">
        <v>110</v>
      </c>
      <c r="B609" s="96"/>
      <c r="C609" s="112">
        <v>3806352</v>
      </c>
      <c r="D609" s="95"/>
      <c r="E609" s="267">
        <v>3806352</v>
      </c>
      <c r="F609" s="581"/>
      <c r="G609" s="581"/>
    </row>
    <row r="610" spans="1:7">
      <c r="A610" s="13" t="s">
        <v>111</v>
      </c>
      <c r="B610" s="96"/>
      <c r="C610" s="112">
        <v>179763</v>
      </c>
      <c r="D610" s="95"/>
      <c r="E610" s="267">
        <v>179763</v>
      </c>
      <c r="F610" s="581"/>
      <c r="G610" s="581"/>
    </row>
    <row r="611" spans="1:7">
      <c r="A611" s="13" t="s">
        <v>1875</v>
      </c>
      <c r="B611" s="96"/>
      <c r="C611" s="95"/>
      <c r="D611" s="112">
        <v>11500000</v>
      </c>
      <c r="E611" s="263">
        <v>11500000</v>
      </c>
      <c r="F611" s="581"/>
      <c r="G611" s="581"/>
    </row>
    <row r="612" spans="1:7">
      <c r="A612" s="13" t="s">
        <v>113</v>
      </c>
      <c r="B612" s="96"/>
      <c r="C612" s="112">
        <v>2614243.75</v>
      </c>
      <c r="D612" s="95"/>
      <c r="E612" s="267">
        <v>2614243.75</v>
      </c>
      <c r="F612" s="581"/>
      <c r="G612" s="581"/>
    </row>
    <row r="613" spans="1:7">
      <c r="A613" s="13" t="s">
        <v>2068</v>
      </c>
      <c r="B613" s="96"/>
      <c r="C613" s="112">
        <v>5040</v>
      </c>
      <c r="D613" s="95"/>
      <c r="E613" s="267">
        <v>5040</v>
      </c>
      <c r="F613" s="581"/>
      <c r="G613" s="581"/>
    </row>
    <row r="614" spans="1:7">
      <c r="A614" s="13" t="s">
        <v>114</v>
      </c>
      <c r="B614" s="96"/>
      <c r="C614" s="112">
        <v>80073</v>
      </c>
      <c r="D614" s="95"/>
      <c r="E614" s="267">
        <v>80073</v>
      </c>
      <c r="F614" s="581"/>
      <c r="G614" s="581"/>
    </row>
    <row r="615" spans="1:7">
      <c r="A615" s="13" t="s">
        <v>1535</v>
      </c>
      <c r="B615" s="96"/>
      <c r="C615" s="112">
        <v>36694</v>
      </c>
      <c r="D615" s="95"/>
      <c r="E615" s="267">
        <v>36694</v>
      </c>
      <c r="F615" s="581"/>
      <c r="G615" s="581"/>
    </row>
    <row r="616" spans="1:7">
      <c r="A616" s="13" t="s">
        <v>115</v>
      </c>
      <c r="B616" s="96"/>
      <c r="C616" s="112">
        <v>959407</v>
      </c>
      <c r="D616" s="95"/>
      <c r="E616" s="267">
        <v>959407</v>
      </c>
      <c r="F616" s="581"/>
      <c r="G616" s="581"/>
    </row>
    <row r="617" spans="1:7">
      <c r="A617" s="13" t="s">
        <v>116</v>
      </c>
      <c r="B617" s="96"/>
      <c r="C617" s="112">
        <v>3647359</v>
      </c>
      <c r="D617" s="95"/>
      <c r="E617" s="267">
        <v>3647359</v>
      </c>
      <c r="F617" s="581"/>
      <c r="G617" s="581"/>
    </row>
    <row r="618" spans="1:7">
      <c r="A618" s="13" t="s">
        <v>117</v>
      </c>
      <c r="B618" s="96"/>
      <c r="C618" s="112">
        <v>45850</v>
      </c>
      <c r="D618" s="95"/>
      <c r="E618" s="267">
        <v>45850</v>
      </c>
      <c r="F618" s="581"/>
      <c r="G618" s="581"/>
    </row>
    <row r="619" spans="1:7">
      <c r="A619" s="13" t="s">
        <v>940</v>
      </c>
      <c r="B619" s="96"/>
      <c r="C619" s="112">
        <v>716535</v>
      </c>
      <c r="D619" s="95"/>
      <c r="E619" s="267">
        <v>716535</v>
      </c>
      <c r="F619" s="581"/>
      <c r="G619" s="581"/>
    </row>
    <row r="620" spans="1:7">
      <c r="A620" s="13" t="s">
        <v>119</v>
      </c>
      <c r="B620" s="96"/>
      <c r="C620" s="112">
        <v>1026220</v>
      </c>
      <c r="D620" s="95"/>
      <c r="E620" s="267">
        <v>1026220</v>
      </c>
      <c r="F620" s="581"/>
      <c r="G620" s="581"/>
    </row>
    <row r="621" spans="1:7">
      <c r="A621" s="13" t="s">
        <v>120</v>
      </c>
      <c r="B621" s="96"/>
      <c r="C621" s="112">
        <v>2842640</v>
      </c>
      <c r="D621" s="95"/>
      <c r="E621" s="267">
        <v>2842640</v>
      </c>
      <c r="F621" s="581"/>
      <c r="G621" s="581"/>
    </row>
    <row r="622" spans="1:7">
      <c r="A622" s="13" t="s">
        <v>939</v>
      </c>
      <c r="B622" s="96"/>
      <c r="C622" s="112">
        <v>5788413.5499999998</v>
      </c>
      <c r="D622" s="95"/>
      <c r="E622" s="267">
        <v>5788413.5499999998</v>
      </c>
      <c r="F622" s="581"/>
      <c r="G622" s="581"/>
    </row>
    <row r="623" spans="1:7">
      <c r="A623" s="13" t="s">
        <v>938</v>
      </c>
      <c r="B623" s="96"/>
      <c r="C623" s="112">
        <v>3367998.3</v>
      </c>
      <c r="D623" s="95"/>
      <c r="E623" s="267">
        <v>3367998.3</v>
      </c>
      <c r="F623" s="581"/>
      <c r="G623" s="581"/>
    </row>
    <row r="624" spans="1:7">
      <c r="A624" s="13" t="s">
        <v>937</v>
      </c>
      <c r="B624" s="96"/>
      <c r="C624" s="112">
        <v>396514</v>
      </c>
      <c r="D624" s="95"/>
      <c r="E624" s="267">
        <v>396514</v>
      </c>
      <c r="F624" s="581"/>
      <c r="G624" s="581"/>
    </row>
    <row r="625" spans="1:7">
      <c r="A625" s="13" t="s">
        <v>936</v>
      </c>
      <c r="B625" s="96"/>
      <c r="C625" s="112">
        <v>2844164</v>
      </c>
      <c r="D625" s="95"/>
      <c r="E625" s="267">
        <v>2844164</v>
      </c>
      <c r="F625" s="581"/>
      <c r="G625" s="581"/>
    </row>
    <row r="626" spans="1:7">
      <c r="A626" s="13" t="s">
        <v>935</v>
      </c>
      <c r="B626" s="96"/>
      <c r="C626" s="112">
        <v>332893.05</v>
      </c>
      <c r="D626" s="95"/>
      <c r="E626" s="267">
        <v>332893.05</v>
      </c>
      <c r="F626" s="581"/>
      <c r="G626" s="581"/>
    </row>
    <row r="627" spans="1:7">
      <c r="A627" s="13" t="s">
        <v>121</v>
      </c>
      <c r="B627" s="96"/>
      <c r="C627" s="112">
        <v>5610841</v>
      </c>
      <c r="D627" s="95"/>
      <c r="E627" s="267">
        <v>5610841</v>
      </c>
      <c r="F627" s="581"/>
      <c r="G627" s="581"/>
    </row>
    <row r="628" spans="1:7">
      <c r="A628" s="13" t="s">
        <v>934</v>
      </c>
      <c r="B628" s="96"/>
      <c r="C628" s="112">
        <v>333598</v>
      </c>
      <c r="D628" s="95"/>
      <c r="E628" s="267">
        <v>333598</v>
      </c>
      <c r="F628" s="581"/>
      <c r="G628" s="581"/>
    </row>
    <row r="629" spans="1:7">
      <c r="A629" s="16" t="s">
        <v>112</v>
      </c>
      <c r="B629" s="96"/>
      <c r="C629" s="112">
        <v>17716457</v>
      </c>
      <c r="D629" s="95"/>
      <c r="E629" s="267">
        <v>17716457</v>
      </c>
      <c r="F629" s="581"/>
      <c r="G629" s="581"/>
    </row>
    <row r="630" spans="1:7">
      <c r="A630" s="16" t="s">
        <v>122</v>
      </c>
      <c r="B630" s="96"/>
      <c r="C630" s="112">
        <v>5508674</v>
      </c>
      <c r="D630" s="95"/>
      <c r="E630" s="267">
        <v>5508674</v>
      </c>
      <c r="F630" s="581"/>
      <c r="G630" s="581"/>
    </row>
    <row r="631" spans="1:7">
      <c r="A631" s="13" t="s">
        <v>933</v>
      </c>
      <c r="B631" s="96"/>
      <c r="C631" s="112">
        <v>185969</v>
      </c>
      <c r="D631" s="95"/>
      <c r="E631" s="267">
        <v>185969</v>
      </c>
      <c r="F631" s="581"/>
      <c r="G631" s="581"/>
    </row>
    <row r="632" spans="1:7">
      <c r="A632" s="13" t="s">
        <v>123</v>
      </c>
      <c r="B632" s="96"/>
      <c r="C632" s="112">
        <v>13509650.6</v>
      </c>
      <c r="D632" s="112">
        <v>8384</v>
      </c>
      <c r="E632" s="267">
        <v>13501266.6</v>
      </c>
      <c r="F632" s="581"/>
      <c r="G632" s="581"/>
    </row>
    <row r="633" spans="1:7">
      <c r="A633" s="16" t="s">
        <v>932</v>
      </c>
      <c r="B633" s="96"/>
      <c r="C633" s="112">
        <v>639762</v>
      </c>
      <c r="D633" s="95"/>
      <c r="E633" s="267">
        <v>639762</v>
      </c>
      <c r="F633" s="581"/>
      <c r="G633" s="581"/>
    </row>
    <row r="634" spans="1:7">
      <c r="A634" s="13" t="s">
        <v>124</v>
      </c>
      <c r="B634" s="96"/>
      <c r="C634" s="112">
        <v>5236897.8</v>
      </c>
      <c r="D634" s="95"/>
      <c r="E634" s="267">
        <v>5236897.8</v>
      </c>
      <c r="F634" s="581"/>
      <c r="G634" s="581"/>
    </row>
    <row r="635" spans="1:7">
      <c r="A635" s="13" t="s">
        <v>931</v>
      </c>
      <c r="B635" s="96"/>
      <c r="C635" s="112">
        <v>649583</v>
      </c>
      <c r="D635" s="95"/>
      <c r="E635" s="267">
        <v>649583</v>
      </c>
      <c r="F635" s="581"/>
      <c r="G635" s="581"/>
    </row>
    <row r="636" spans="1:7">
      <c r="A636" s="13"/>
      <c r="B636" s="96"/>
      <c r="C636" s="112"/>
      <c r="D636" s="95"/>
      <c r="E636" s="267"/>
      <c r="F636" s="581"/>
      <c r="G636" s="581"/>
    </row>
    <row r="637" spans="1:7">
      <c r="A637" s="1" t="s">
        <v>125</v>
      </c>
      <c r="B637" s="264">
        <v>12452141</v>
      </c>
      <c r="C637" s="93">
        <v>11083695.380000001</v>
      </c>
      <c r="D637" s="93">
        <v>8108911</v>
      </c>
      <c r="E637" s="264">
        <v>9477356.6199999992</v>
      </c>
      <c r="F637" s="515" t="s">
        <v>125</v>
      </c>
      <c r="G637" s="515"/>
    </row>
    <row r="638" spans="1:7">
      <c r="A638" s="13" t="s">
        <v>126</v>
      </c>
      <c r="B638" s="263">
        <v>30000</v>
      </c>
      <c r="C638" s="95"/>
      <c r="D638" s="95"/>
      <c r="E638" s="642">
        <v>30000</v>
      </c>
      <c r="F638" s="581"/>
      <c r="G638" s="581"/>
    </row>
    <row r="639" spans="1:7">
      <c r="A639" s="13" t="s">
        <v>127</v>
      </c>
      <c r="B639" s="263">
        <v>230500</v>
      </c>
      <c r="C639" s="95"/>
      <c r="D639" s="95"/>
      <c r="E639" s="642">
        <v>230500</v>
      </c>
      <c r="F639" s="581"/>
      <c r="G639" s="581"/>
    </row>
    <row r="640" spans="1:7">
      <c r="A640" s="13" t="s">
        <v>128</v>
      </c>
      <c r="B640" s="263">
        <v>12071641</v>
      </c>
      <c r="C640" s="112">
        <v>11083695.380000001</v>
      </c>
      <c r="D640" s="112">
        <v>8108911</v>
      </c>
      <c r="E640" s="642">
        <v>9096856.6199999992</v>
      </c>
      <c r="F640" s="581"/>
      <c r="G640" s="581"/>
    </row>
    <row r="641" spans="1:7">
      <c r="A641" s="13" t="s">
        <v>129</v>
      </c>
      <c r="B641" s="263">
        <v>120000</v>
      </c>
      <c r="C641" s="95"/>
      <c r="D641" s="95"/>
      <c r="E641" s="642">
        <v>120000</v>
      </c>
      <c r="F641" s="581"/>
      <c r="G641" s="581"/>
    </row>
    <row r="642" spans="1:7">
      <c r="A642" s="1" t="s">
        <v>130</v>
      </c>
      <c r="B642" s="264">
        <v>273457.21999999997</v>
      </c>
      <c r="C642" s="108"/>
      <c r="D642" s="108"/>
      <c r="E642" s="264">
        <v>273457.21999999997</v>
      </c>
    </row>
    <row r="643" spans="1:7">
      <c r="A643" s="13" t="s">
        <v>130</v>
      </c>
      <c r="B643" s="263">
        <v>273457.21999999997</v>
      </c>
      <c r="C643" s="95"/>
      <c r="D643" s="95"/>
      <c r="E643" s="263">
        <v>273457.21999999997</v>
      </c>
    </row>
    <row r="644" spans="1:7">
      <c r="A644" s="13"/>
      <c r="B644" s="263"/>
      <c r="C644" s="95"/>
      <c r="D644" s="95"/>
      <c r="E644" s="263"/>
      <c r="F644" s="131" t="s">
        <v>551</v>
      </c>
    </row>
    <row r="645" spans="1:7">
      <c r="A645" s="1" t="s">
        <v>131</v>
      </c>
      <c r="B645" s="264">
        <v>41435</v>
      </c>
      <c r="C645" s="93">
        <v>6999940</v>
      </c>
      <c r="D645" s="93">
        <v>7444441</v>
      </c>
      <c r="E645" s="264">
        <v>485936</v>
      </c>
    </row>
    <row r="646" spans="1:7">
      <c r="A646" s="13" t="s">
        <v>1225</v>
      </c>
      <c r="B646" s="263">
        <v>86254</v>
      </c>
      <c r="C646" s="112">
        <v>6499940</v>
      </c>
      <c r="D646" s="112">
        <v>6500441</v>
      </c>
      <c r="E646" s="507">
        <v>86755</v>
      </c>
      <c r="F646" s="581"/>
      <c r="G646" s="581"/>
    </row>
    <row r="647" spans="1:7">
      <c r="A647" s="13" t="s">
        <v>1536</v>
      </c>
      <c r="B647" s="267">
        <v>4127</v>
      </c>
      <c r="C647" s="112">
        <v>500000</v>
      </c>
      <c r="D647" s="112">
        <v>592500</v>
      </c>
      <c r="E647" s="507">
        <v>88373</v>
      </c>
      <c r="F647" s="581"/>
      <c r="G647" s="581"/>
    </row>
    <row r="648" spans="1:7">
      <c r="A648" s="13" t="s">
        <v>1224</v>
      </c>
      <c r="B648" s="267">
        <v>40692</v>
      </c>
      <c r="C648" s="95"/>
      <c r="D648" s="112">
        <v>351500</v>
      </c>
      <c r="E648" s="507">
        <v>310808</v>
      </c>
      <c r="F648" s="581"/>
      <c r="G648" s="581"/>
    </row>
    <row r="649" spans="1:7">
      <c r="A649" s="1" t="s">
        <v>132</v>
      </c>
      <c r="B649" s="270">
        <v>58913773</v>
      </c>
      <c r="C649" s="93">
        <v>126429800</v>
      </c>
      <c r="D649" s="93">
        <v>107489387</v>
      </c>
      <c r="E649" s="270">
        <f>B649+C649-D649</f>
        <v>77854186</v>
      </c>
    </row>
    <row r="650" spans="1:7">
      <c r="A650" s="13" t="s">
        <v>133</v>
      </c>
      <c r="B650" s="267">
        <v>58913773</v>
      </c>
      <c r="C650" s="112">
        <v>126429800</v>
      </c>
      <c r="D650" s="112">
        <v>107489387</v>
      </c>
      <c r="E650" s="267">
        <v>77854186</v>
      </c>
      <c r="F650" s="581"/>
      <c r="G650" s="581"/>
    </row>
    <row r="651" spans="1:7">
      <c r="A651" s="1" t="s">
        <v>1754</v>
      </c>
      <c r="B651" s="264">
        <v>8414902.8399999999</v>
      </c>
      <c r="C651" s="93">
        <v>58060859</v>
      </c>
      <c r="D651" s="93">
        <v>54931159.039999999</v>
      </c>
      <c r="E651" s="264">
        <v>5285202.88</v>
      </c>
    </row>
    <row r="652" spans="1:7">
      <c r="A652" s="1"/>
      <c r="B652" s="526"/>
      <c r="C652" s="104"/>
      <c r="D652" s="104"/>
      <c r="E652" s="631">
        <f>SUM(E653+E654+E655+E656+E658+E659+E660+E661+E662+E663+E664+E665+E666+E667+E668+E669+E670+E671+E672+E673+E674+E675)-E657</f>
        <v>5285202.8800000027</v>
      </c>
    </row>
    <row r="653" spans="1:7">
      <c r="A653" s="13" t="s">
        <v>1755</v>
      </c>
      <c r="B653" s="263">
        <v>3836155.75</v>
      </c>
      <c r="C653" s="112">
        <v>5437126</v>
      </c>
      <c r="D653" s="112">
        <v>5183817.3099999996</v>
      </c>
      <c r="E653" s="263">
        <v>3582847.06</v>
      </c>
      <c r="F653" s="581"/>
      <c r="G653" s="581"/>
    </row>
    <row r="654" spans="1:7">
      <c r="A654" s="13" t="s">
        <v>1756</v>
      </c>
      <c r="B654" s="263">
        <v>2465832.75</v>
      </c>
      <c r="C654" s="112">
        <v>6102785</v>
      </c>
      <c r="D654" s="112">
        <v>5183817.3099999996</v>
      </c>
      <c r="E654" s="263">
        <v>1546865.06</v>
      </c>
      <c r="F654" s="581"/>
      <c r="G654" s="581"/>
    </row>
    <row r="655" spans="1:7">
      <c r="A655" s="13" t="s">
        <v>1757</v>
      </c>
      <c r="B655" s="267">
        <v>0.36</v>
      </c>
      <c r="C655" s="112">
        <v>818879</v>
      </c>
      <c r="D655" s="112">
        <v>1212561.18</v>
      </c>
      <c r="E655" s="263">
        <v>393681.82</v>
      </c>
      <c r="F655" s="581"/>
      <c r="G655" s="581"/>
    </row>
    <row r="656" spans="1:7">
      <c r="A656" s="13" t="s">
        <v>1758</v>
      </c>
      <c r="B656" s="267">
        <v>0.36</v>
      </c>
      <c r="C656" s="112">
        <v>857348</v>
      </c>
      <c r="D656" s="112">
        <v>1212561.18</v>
      </c>
      <c r="E656" s="263">
        <v>355212.82</v>
      </c>
      <c r="F656" s="581"/>
      <c r="G656" s="581"/>
    </row>
    <row r="657" spans="1:7">
      <c r="A657" s="16" t="s">
        <v>1754</v>
      </c>
      <c r="B657" s="267">
        <v>13131236</v>
      </c>
      <c r="C657" s="112">
        <v>11500000</v>
      </c>
      <c r="D657" s="95"/>
      <c r="E657" s="267">
        <v>24631236</v>
      </c>
      <c r="F657" s="581"/>
      <c r="G657" s="581"/>
    </row>
    <row r="658" spans="1:7">
      <c r="A658" s="13" t="s">
        <v>1759</v>
      </c>
      <c r="B658" s="263">
        <v>2009910.64</v>
      </c>
      <c r="C658" s="112">
        <v>8528189</v>
      </c>
      <c r="D658" s="112">
        <v>9756829.6899999995</v>
      </c>
      <c r="E658" s="263">
        <v>3238551.33</v>
      </c>
      <c r="F658" s="581"/>
      <c r="G658" s="581"/>
    </row>
    <row r="659" spans="1:7">
      <c r="A659" s="13" t="s">
        <v>1760</v>
      </c>
      <c r="B659" s="263">
        <v>2794896.64</v>
      </c>
      <c r="C659" s="112">
        <v>9007266</v>
      </c>
      <c r="D659" s="112">
        <v>9397281.0099999998</v>
      </c>
      <c r="E659" s="263">
        <v>3184911.65</v>
      </c>
      <c r="F659" s="581"/>
      <c r="G659" s="581"/>
    </row>
    <row r="660" spans="1:7">
      <c r="A660" s="13" t="s">
        <v>1761</v>
      </c>
      <c r="B660" s="263">
        <v>105892.77</v>
      </c>
      <c r="C660" s="112">
        <v>11726</v>
      </c>
      <c r="D660" s="95"/>
      <c r="E660" s="263">
        <v>94166.77</v>
      </c>
      <c r="F660" s="581"/>
      <c r="G660" s="581"/>
    </row>
    <row r="661" spans="1:7">
      <c r="A661" s="13" t="s">
        <v>1762</v>
      </c>
      <c r="B661" s="263">
        <v>82604.77</v>
      </c>
      <c r="C661" s="112">
        <v>11726</v>
      </c>
      <c r="D661" s="95"/>
      <c r="E661" s="263">
        <v>70878.77</v>
      </c>
      <c r="F661" s="581"/>
      <c r="G661" s="581"/>
    </row>
    <row r="662" spans="1:7">
      <c r="A662" s="13" t="s">
        <v>1763</v>
      </c>
      <c r="B662" s="263">
        <v>108043.25</v>
      </c>
      <c r="C662" s="112">
        <v>88210</v>
      </c>
      <c r="D662" s="112">
        <v>88200</v>
      </c>
      <c r="E662" s="263">
        <v>108033.25</v>
      </c>
      <c r="F662" s="581"/>
      <c r="G662" s="581"/>
    </row>
    <row r="663" spans="1:7">
      <c r="A663" s="13" t="s">
        <v>1764</v>
      </c>
      <c r="B663" s="263">
        <v>3626.25</v>
      </c>
      <c r="C663" s="112">
        <v>88210</v>
      </c>
      <c r="D663" s="112">
        <v>88200</v>
      </c>
      <c r="E663" s="263">
        <v>3616.25</v>
      </c>
      <c r="F663" s="581"/>
      <c r="G663" s="581"/>
    </row>
    <row r="664" spans="1:7">
      <c r="A664" s="13" t="s">
        <v>1765</v>
      </c>
      <c r="B664" s="263">
        <v>108479.47</v>
      </c>
      <c r="C664" s="112">
        <v>128910</v>
      </c>
      <c r="D664" s="112">
        <v>299700</v>
      </c>
      <c r="E664" s="263">
        <v>279269.46999999997</v>
      </c>
      <c r="F664" s="581"/>
      <c r="G664" s="581"/>
    </row>
    <row r="665" spans="1:7">
      <c r="A665" s="13" t="s">
        <v>1766</v>
      </c>
      <c r="B665" s="263">
        <v>92002.47</v>
      </c>
      <c r="C665" s="112">
        <v>226236</v>
      </c>
      <c r="D665" s="112">
        <v>299700</v>
      </c>
      <c r="E665" s="263">
        <v>165466.47</v>
      </c>
      <c r="F665" s="581"/>
      <c r="G665" s="581"/>
    </row>
    <row r="666" spans="1:7">
      <c r="A666" s="13" t="s">
        <v>1767</v>
      </c>
      <c r="B666" s="96"/>
      <c r="C666" s="112">
        <v>258205</v>
      </c>
      <c r="D666" s="112">
        <v>529988.76</v>
      </c>
      <c r="E666" s="263">
        <v>271783.76</v>
      </c>
      <c r="F666" s="581"/>
      <c r="G666" s="581"/>
    </row>
    <row r="667" spans="1:7">
      <c r="A667" s="13" t="s">
        <v>1768</v>
      </c>
      <c r="B667" s="96"/>
      <c r="C667" s="112">
        <v>317491</v>
      </c>
      <c r="D667" s="112">
        <v>529988.76</v>
      </c>
      <c r="E667" s="263">
        <v>212497.76</v>
      </c>
      <c r="F667" s="581"/>
      <c r="G667" s="581"/>
    </row>
    <row r="668" spans="1:7">
      <c r="A668" s="13" t="s">
        <v>1769</v>
      </c>
      <c r="B668" s="263">
        <v>115509.31</v>
      </c>
      <c r="C668" s="112">
        <v>663089</v>
      </c>
      <c r="D668" s="112">
        <v>898181.71</v>
      </c>
      <c r="E668" s="263">
        <v>350602.02</v>
      </c>
      <c r="F668" s="581"/>
      <c r="G668" s="581"/>
    </row>
    <row r="669" spans="1:7">
      <c r="A669" s="13" t="s">
        <v>1770</v>
      </c>
      <c r="B669" s="263">
        <v>100272.31</v>
      </c>
      <c r="C669" s="112">
        <v>692634</v>
      </c>
      <c r="D669" s="112">
        <v>898181.71</v>
      </c>
      <c r="E669" s="263">
        <v>305820.02</v>
      </c>
      <c r="F669" s="581"/>
      <c r="G669" s="581"/>
    </row>
    <row r="670" spans="1:7">
      <c r="A670" s="13" t="s">
        <v>1771</v>
      </c>
      <c r="B670" s="263">
        <v>1121839.8500000001</v>
      </c>
      <c r="C670" s="112">
        <v>180858</v>
      </c>
      <c r="D670" s="112">
        <v>766399.01</v>
      </c>
      <c r="E670" s="263">
        <v>1707380.86</v>
      </c>
      <c r="F670" s="581"/>
      <c r="G670" s="581"/>
    </row>
    <row r="671" spans="1:7">
      <c r="A671" s="13" t="s">
        <v>1772</v>
      </c>
      <c r="B671" s="263">
        <v>799478.85</v>
      </c>
      <c r="C671" s="112">
        <v>180858</v>
      </c>
      <c r="D671" s="112">
        <v>766399.01</v>
      </c>
      <c r="E671" s="263">
        <v>1385019.86</v>
      </c>
      <c r="F671" s="581"/>
      <c r="G671" s="581"/>
    </row>
    <row r="672" spans="1:7">
      <c r="A672" s="13" t="s">
        <v>1773</v>
      </c>
      <c r="B672" s="263">
        <v>3969679.46</v>
      </c>
      <c r="C672" s="112">
        <v>5420417</v>
      </c>
      <c r="D672" s="112">
        <v>6608809.46</v>
      </c>
      <c r="E672" s="263">
        <v>5158071.92</v>
      </c>
      <c r="F672" s="581"/>
      <c r="G672" s="581"/>
    </row>
    <row r="673" spans="1:7">
      <c r="A673" s="13" t="s">
        <v>1774</v>
      </c>
      <c r="B673" s="263">
        <v>4085044.46</v>
      </c>
      <c r="C673" s="112">
        <v>5643681</v>
      </c>
      <c r="D673" s="112">
        <v>7584514.2199999997</v>
      </c>
      <c r="E673" s="263">
        <v>6025877.6799999997</v>
      </c>
      <c r="F673" s="581"/>
      <c r="G673" s="581"/>
    </row>
    <row r="674" spans="1:7">
      <c r="A674" s="13" t="s">
        <v>1775</v>
      </c>
      <c r="B674" s="267">
        <v>90668.72</v>
      </c>
      <c r="C674" s="112">
        <v>947959</v>
      </c>
      <c r="D674" s="112">
        <v>1813014.36</v>
      </c>
      <c r="E674" s="263">
        <v>774386.64</v>
      </c>
      <c r="F674" s="581"/>
      <c r="G674" s="581"/>
    </row>
    <row r="675" spans="1:7">
      <c r="A675" s="13" t="s">
        <v>1776</v>
      </c>
      <c r="B675" s="267">
        <v>162460.72</v>
      </c>
      <c r="C675" s="112">
        <v>949056</v>
      </c>
      <c r="D675" s="112">
        <v>1813014.36</v>
      </c>
      <c r="E675" s="263">
        <v>701497.64</v>
      </c>
      <c r="F675" s="581"/>
      <c r="G675" s="581"/>
    </row>
    <row r="676" spans="1:7">
      <c r="A676" s="1" t="s">
        <v>134</v>
      </c>
      <c r="B676" s="270">
        <v>117150</v>
      </c>
      <c r="C676" s="108"/>
      <c r="D676" s="108"/>
      <c r="E676" s="270">
        <v>117150</v>
      </c>
    </row>
    <row r="677" spans="1:7">
      <c r="A677" s="13" t="s">
        <v>135</v>
      </c>
      <c r="B677" s="267">
        <v>116150</v>
      </c>
      <c r="C677" s="95"/>
      <c r="D677" s="95"/>
      <c r="E677" s="267">
        <v>116150</v>
      </c>
    </row>
    <row r="678" spans="1:7">
      <c r="A678" s="13" t="s">
        <v>136</v>
      </c>
      <c r="B678" s="267">
        <v>1000</v>
      </c>
      <c r="C678" s="95"/>
      <c r="D678" s="95"/>
      <c r="E678" s="267">
        <v>1000</v>
      </c>
    </row>
    <row r="679" spans="1:7">
      <c r="A679" s="1" t="s">
        <v>137</v>
      </c>
      <c r="B679" s="270">
        <v>61390310.049999997</v>
      </c>
      <c r="C679" s="93">
        <v>35167928.789999999</v>
      </c>
      <c r="D679" s="93">
        <v>27479910.239999998</v>
      </c>
      <c r="E679" s="270">
        <v>69078328.599999994</v>
      </c>
      <c r="F679" s="223"/>
    </row>
    <row r="680" spans="1:7">
      <c r="A680" s="14" t="s">
        <v>29</v>
      </c>
      <c r="B680" s="198">
        <v>44177292.170000002</v>
      </c>
      <c r="C680" s="112">
        <v>18722605.789999999</v>
      </c>
      <c r="D680" s="112">
        <v>12107461.24</v>
      </c>
      <c r="E680" s="202">
        <v>50792436.719999999</v>
      </c>
      <c r="F680" s="581" t="s">
        <v>2434</v>
      </c>
    </row>
    <row r="681" spans="1:7">
      <c r="A681" s="14" t="s">
        <v>138</v>
      </c>
      <c r="B681" s="198">
        <v>8347405.5300000003</v>
      </c>
      <c r="C681" s="112">
        <v>7005436</v>
      </c>
      <c r="D681" s="112">
        <v>6409412</v>
      </c>
      <c r="E681" s="198">
        <v>8943429.5299999993</v>
      </c>
      <c r="F681" s="581" t="s">
        <v>2439</v>
      </c>
      <c r="G681" s="581" t="s">
        <v>1158</v>
      </c>
    </row>
    <row r="682" spans="1:7">
      <c r="A682" s="13" t="s">
        <v>139</v>
      </c>
      <c r="B682" s="267">
        <v>5816000</v>
      </c>
      <c r="C682" s="112">
        <v>6136000</v>
      </c>
      <c r="D682" s="112">
        <v>5816000</v>
      </c>
      <c r="E682" s="267">
        <v>6136000</v>
      </c>
      <c r="F682" s="581" t="s">
        <v>2438</v>
      </c>
      <c r="G682" s="581"/>
    </row>
    <row r="683" spans="1:7">
      <c r="A683" s="13" t="s">
        <v>140</v>
      </c>
      <c r="B683" s="267">
        <v>40000</v>
      </c>
      <c r="C683" s="95"/>
      <c r="D683" s="95"/>
      <c r="E683" s="267">
        <v>40000</v>
      </c>
      <c r="F683" s="581" t="s">
        <v>2434</v>
      </c>
      <c r="G683" s="515"/>
    </row>
    <row r="684" spans="1:7">
      <c r="A684" s="13" t="s">
        <v>923</v>
      </c>
      <c r="B684" s="267">
        <v>48000</v>
      </c>
      <c r="C684" s="95"/>
      <c r="D684" s="95"/>
      <c r="E684" s="267">
        <v>48000</v>
      </c>
      <c r="F684" s="581" t="s">
        <v>2434</v>
      </c>
      <c r="G684" s="515"/>
    </row>
    <row r="685" spans="1:7">
      <c r="A685" s="13" t="s">
        <v>142</v>
      </c>
      <c r="B685" s="267">
        <v>9530</v>
      </c>
      <c r="C685" s="95"/>
      <c r="D685" s="95"/>
      <c r="E685" s="267">
        <v>9530</v>
      </c>
      <c r="F685" s="581" t="s">
        <v>2434</v>
      </c>
      <c r="G685" s="515"/>
    </row>
    <row r="686" spans="1:7">
      <c r="A686" s="13" t="s">
        <v>143</v>
      </c>
      <c r="B686" s="267">
        <v>586400</v>
      </c>
      <c r="C686" s="112">
        <v>322326</v>
      </c>
      <c r="D686" s="112">
        <v>164800</v>
      </c>
      <c r="E686" s="267">
        <v>743926</v>
      </c>
      <c r="F686" s="581" t="s">
        <v>2434</v>
      </c>
      <c r="G686" s="515"/>
    </row>
    <row r="687" spans="1:7">
      <c r="A687" s="13" t="s">
        <v>144</v>
      </c>
      <c r="B687" s="267">
        <v>5500</v>
      </c>
      <c r="C687" s="95"/>
      <c r="D687" s="95"/>
      <c r="E687" s="267">
        <v>5500</v>
      </c>
      <c r="F687" s="581" t="s">
        <v>2434</v>
      </c>
      <c r="G687" s="515"/>
    </row>
    <row r="688" spans="1:7">
      <c r="A688" s="13" t="s">
        <v>145</v>
      </c>
      <c r="B688" s="267">
        <v>286113</v>
      </c>
      <c r="C688" s="95"/>
      <c r="D688" s="95"/>
      <c r="E688" s="267">
        <v>286113</v>
      </c>
      <c r="F688" s="581" t="s">
        <v>2434</v>
      </c>
      <c r="G688" s="515"/>
    </row>
    <row r="689" spans="1:7">
      <c r="A689" s="13" t="s">
        <v>146</v>
      </c>
      <c r="B689" s="267">
        <v>13150</v>
      </c>
      <c r="C689" s="95"/>
      <c r="D689" s="95"/>
      <c r="E689" s="267">
        <v>13150</v>
      </c>
      <c r="F689" s="581" t="s">
        <v>2434</v>
      </c>
      <c r="G689" s="515"/>
    </row>
    <row r="690" spans="1:7">
      <c r="A690" s="13" t="s">
        <v>147</v>
      </c>
      <c r="B690" s="267">
        <v>441587</v>
      </c>
      <c r="C690" s="112">
        <v>370500</v>
      </c>
      <c r="D690" s="112">
        <v>201500</v>
      </c>
      <c r="E690" s="267">
        <v>610587</v>
      </c>
      <c r="F690" s="581" t="s">
        <v>2434</v>
      </c>
      <c r="G690" s="515"/>
    </row>
    <row r="691" spans="1:7">
      <c r="A691" s="13" t="s">
        <v>148</v>
      </c>
      <c r="B691" s="267">
        <v>328640.34999999998</v>
      </c>
      <c r="C691" s="95"/>
      <c r="D691" s="95"/>
      <c r="E691" s="267">
        <v>328640.34999999998</v>
      </c>
      <c r="F691" s="581" t="s">
        <v>2434</v>
      </c>
      <c r="G691" s="515"/>
    </row>
    <row r="692" spans="1:7">
      <c r="A692" s="13" t="s">
        <v>149</v>
      </c>
      <c r="B692" s="267">
        <v>251995</v>
      </c>
      <c r="C692" s="112">
        <v>1436061</v>
      </c>
      <c r="D692" s="112">
        <v>1511322</v>
      </c>
      <c r="E692" s="632">
        <v>176734</v>
      </c>
      <c r="F692" s="515" t="s">
        <v>2435</v>
      </c>
      <c r="G692" s="515"/>
    </row>
    <row r="693" spans="1:7">
      <c r="A693" s="13" t="s">
        <v>150</v>
      </c>
      <c r="B693" s="267">
        <v>28582</v>
      </c>
      <c r="C693" s="95"/>
      <c r="D693" s="95"/>
      <c r="E693" s="267">
        <v>28582</v>
      </c>
      <c r="F693" s="581" t="s">
        <v>2434</v>
      </c>
      <c r="G693" s="515"/>
    </row>
    <row r="694" spans="1:7">
      <c r="A694" s="13" t="s">
        <v>141</v>
      </c>
      <c r="B694" s="267">
        <v>1035115</v>
      </c>
      <c r="C694" s="112">
        <v>1175000</v>
      </c>
      <c r="D694" s="112">
        <v>1269415</v>
      </c>
      <c r="E694" s="267">
        <v>940700</v>
      </c>
      <c r="F694" s="581" t="s">
        <v>2434</v>
      </c>
      <c r="G694" s="515"/>
    </row>
    <row r="695" spans="1:7">
      <c r="A695" s="1" t="s">
        <v>151</v>
      </c>
      <c r="B695" s="264">
        <v>245092701.06</v>
      </c>
      <c r="C695" s="93">
        <v>20093283</v>
      </c>
      <c r="D695" s="108"/>
      <c r="E695" s="264">
        <v>224999418.06</v>
      </c>
    </row>
    <row r="696" spans="1:7">
      <c r="A696" s="13" t="s">
        <v>2212</v>
      </c>
      <c r="B696" s="263">
        <v>2860000</v>
      </c>
      <c r="C696" s="112">
        <v>2860000</v>
      </c>
      <c r="D696" s="95"/>
      <c r="E696" s="96"/>
    </row>
    <row r="697" spans="1:7">
      <c r="A697" s="13" t="s">
        <v>152</v>
      </c>
      <c r="B697" s="267">
        <v>87556385</v>
      </c>
      <c r="C697" s="112">
        <v>14294920</v>
      </c>
      <c r="D697" s="95"/>
      <c r="E697" s="267">
        <v>101851305</v>
      </c>
    </row>
    <row r="698" spans="1:7">
      <c r="A698" s="13" t="s">
        <v>153</v>
      </c>
      <c r="B698" s="267">
        <v>15444566</v>
      </c>
      <c r="C698" s="112">
        <v>2938363</v>
      </c>
      <c r="D698" s="95"/>
      <c r="E698" s="267">
        <v>18382929</v>
      </c>
    </row>
    <row r="699" spans="1:7">
      <c r="A699" s="13" t="s">
        <v>154</v>
      </c>
      <c r="B699" s="263">
        <v>44374031.420000002</v>
      </c>
      <c r="C699" s="95"/>
      <c r="D699" s="95"/>
      <c r="E699" s="263">
        <v>44374031.420000002</v>
      </c>
    </row>
    <row r="700" spans="1:7">
      <c r="A700" s="13" t="s">
        <v>155</v>
      </c>
      <c r="B700" s="263">
        <v>300859620.63999999</v>
      </c>
      <c r="C700" s="95"/>
      <c r="D700" s="95"/>
      <c r="E700" s="263">
        <v>300859620.63999999</v>
      </c>
    </row>
    <row r="701" spans="1:7">
      <c r="A701" s="1" t="s">
        <v>158</v>
      </c>
      <c r="B701" s="109"/>
      <c r="C701" s="93">
        <v>22225000</v>
      </c>
      <c r="D701" s="108"/>
      <c r="E701" s="270">
        <v>22225000</v>
      </c>
    </row>
    <row r="702" spans="1:7">
      <c r="A702" s="16" t="s">
        <v>158</v>
      </c>
      <c r="B702" s="96"/>
      <c r="C702" s="112">
        <v>22225000</v>
      </c>
      <c r="D702" s="95"/>
      <c r="E702" s="267">
        <v>22225000</v>
      </c>
    </row>
    <row r="703" spans="1:7">
      <c r="A703" s="1" t="s">
        <v>159</v>
      </c>
      <c r="B703" s="270">
        <v>22225000</v>
      </c>
      <c r="C703" s="108"/>
      <c r="D703" s="93">
        <v>22225000</v>
      </c>
      <c r="E703" s="109"/>
    </row>
    <row r="704" spans="1:7">
      <c r="A704" s="13" t="s">
        <v>1223</v>
      </c>
      <c r="B704" s="267">
        <v>22225000</v>
      </c>
      <c r="C704" s="95"/>
      <c r="D704" s="112">
        <v>22225000</v>
      </c>
      <c r="E704" s="96"/>
      <c r="F704" t="s">
        <v>2206</v>
      </c>
    </row>
    <row r="705" spans="1:7">
      <c r="A705" s="1" t="s">
        <v>160</v>
      </c>
      <c r="B705" s="109"/>
      <c r="C705" s="93">
        <v>144233572.00999999</v>
      </c>
      <c r="D705" s="93">
        <v>50408</v>
      </c>
      <c r="E705" s="270">
        <v>144183164.00999999</v>
      </c>
    </row>
    <row r="706" spans="1:7">
      <c r="A706" s="14" t="s">
        <v>161</v>
      </c>
      <c r="B706" s="95"/>
      <c r="C706" s="112">
        <v>102586357</v>
      </c>
      <c r="D706" s="112">
        <v>44618</v>
      </c>
      <c r="E706" s="202">
        <v>102541739</v>
      </c>
      <c r="F706" s="515"/>
      <c r="G706" s="515"/>
    </row>
    <row r="707" spans="1:7">
      <c r="A707" s="14" t="s">
        <v>178</v>
      </c>
      <c r="B707" s="95"/>
      <c r="C707" s="112">
        <v>41647215.009999998</v>
      </c>
      <c r="D707" s="112">
        <v>5790</v>
      </c>
      <c r="E707" s="202">
        <v>41641425.009999998</v>
      </c>
      <c r="F707" s="515"/>
      <c r="G707" s="515"/>
    </row>
    <row r="708" spans="1:7">
      <c r="A708" s="1" t="s">
        <v>189</v>
      </c>
      <c r="B708" s="109"/>
      <c r="C708" s="108"/>
      <c r="D708" s="93">
        <v>10727466</v>
      </c>
      <c r="E708" s="634">
        <v>10727466</v>
      </c>
    </row>
    <row r="709" spans="1:7">
      <c r="A709" s="13" t="s">
        <v>190</v>
      </c>
      <c r="B709" s="96"/>
      <c r="C709" s="95"/>
      <c r="D709" s="112">
        <v>10727466</v>
      </c>
      <c r="E709" s="263">
        <v>10727466</v>
      </c>
      <c r="F709" s="515"/>
      <c r="G709" s="515"/>
    </row>
    <row r="710" spans="1:7">
      <c r="A710" s="1" t="s">
        <v>192</v>
      </c>
      <c r="B710" s="109"/>
      <c r="C710" s="93">
        <v>56615715.649999999</v>
      </c>
      <c r="D710" s="93">
        <v>765592.85</v>
      </c>
      <c r="E710" s="270">
        <v>55850122.799999997</v>
      </c>
    </row>
    <row r="711" spans="1:7">
      <c r="A711" s="14" t="s">
        <v>193</v>
      </c>
      <c r="B711" s="95"/>
      <c r="C711" s="112">
        <v>154436</v>
      </c>
      <c r="D711" s="112">
        <v>176077.85</v>
      </c>
      <c r="E711" s="513">
        <v>21641.85</v>
      </c>
    </row>
    <row r="712" spans="1:7">
      <c r="A712" s="14" t="s">
        <v>194</v>
      </c>
      <c r="B712" s="95"/>
      <c r="C712" s="112">
        <v>22154</v>
      </c>
      <c r="D712" s="95"/>
      <c r="E712" s="202">
        <v>22154</v>
      </c>
      <c r="F712" s="515"/>
      <c r="G712" s="515"/>
    </row>
    <row r="713" spans="1:7">
      <c r="A713" s="13" t="s">
        <v>195</v>
      </c>
      <c r="B713" s="96"/>
      <c r="C713" s="112">
        <v>47753</v>
      </c>
      <c r="D713" s="95"/>
      <c r="E713" s="582">
        <v>47753</v>
      </c>
    </row>
    <row r="714" spans="1:7">
      <c r="A714" s="13" t="s">
        <v>1540</v>
      </c>
      <c r="B714" s="96"/>
      <c r="C714" s="112">
        <v>836275.24</v>
      </c>
      <c r="D714" s="95"/>
      <c r="E714" s="582">
        <v>836275.24</v>
      </c>
    </row>
    <row r="715" spans="1:7">
      <c r="A715" s="16" t="s">
        <v>1541</v>
      </c>
      <c r="B715" s="96"/>
      <c r="C715" s="112">
        <v>12800</v>
      </c>
      <c r="D715" s="112">
        <v>3650</v>
      </c>
      <c r="E715" s="582">
        <v>9150</v>
      </c>
      <c r="F715" s="515"/>
      <c r="G715" s="515"/>
    </row>
    <row r="716" spans="1:7">
      <c r="A716" s="13" t="s">
        <v>196</v>
      </c>
      <c r="B716" s="96"/>
      <c r="C716" s="112">
        <v>6925</v>
      </c>
      <c r="D716" s="95"/>
      <c r="E716" s="582">
        <v>6925</v>
      </c>
    </row>
    <row r="717" spans="1:7">
      <c r="A717" s="13" t="s">
        <v>1222</v>
      </c>
      <c r="B717" s="96"/>
      <c r="C717" s="112">
        <v>28302</v>
      </c>
      <c r="D717" s="95"/>
      <c r="E717" s="582">
        <v>28302</v>
      </c>
    </row>
    <row r="718" spans="1:7">
      <c r="A718" s="13" t="s">
        <v>1751</v>
      </c>
      <c r="B718" s="96"/>
      <c r="C718" s="112">
        <v>9243</v>
      </c>
      <c r="D718" s="95"/>
      <c r="E718" s="638">
        <v>9243</v>
      </c>
      <c r="F718" s="515"/>
      <c r="G718" s="515"/>
    </row>
    <row r="719" spans="1:7">
      <c r="A719" s="13" t="s">
        <v>893</v>
      </c>
      <c r="B719" s="96"/>
      <c r="C719" s="112">
        <v>57125</v>
      </c>
      <c r="D719" s="95"/>
      <c r="E719" s="582">
        <v>57125</v>
      </c>
    </row>
    <row r="720" spans="1:7">
      <c r="A720" s="13" t="s">
        <v>197</v>
      </c>
      <c r="B720" s="96"/>
      <c r="C720" s="112">
        <v>3780000</v>
      </c>
      <c r="D720" s="95"/>
      <c r="E720" s="582">
        <v>3780000</v>
      </c>
      <c r="F720" s="515"/>
      <c r="G720" s="515"/>
    </row>
    <row r="721" spans="1:7">
      <c r="A721" s="13" t="s">
        <v>198</v>
      </c>
      <c r="B721" s="96"/>
      <c r="C721" s="112">
        <v>6985</v>
      </c>
      <c r="D721" s="95"/>
      <c r="E721" s="636">
        <v>6985</v>
      </c>
      <c r="F721" s="515"/>
      <c r="G721" s="515"/>
    </row>
    <row r="722" spans="1:7">
      <c r="A722" s="13" t="s">
        <v>199</v>
      </c>
      <c r="B722" s="96"/>
      <c r="C722" s="112">
        <v>204000</v>
      </c>
      <c r="D722" s="95"/>
      <c r="E722" s="637">
        <v>204000</v>
      </c>
    </row>
    <row r="723" spans="1:7">
      <c r="A723" s="13" t="s">
        <v>200</v>
      </c>
      <c r="B723" s="96"/>
      <c r="C723" s="112">
        <v>130000</v>
      </c>
      <c r="D723" s="95"/>
      <c r="E723" s="582">
        <v>130000</v>
      </c>
    </row>
    <row r="724" spans="1:7">
      <c r="A724" s="13" t="s">
        <v>201</v>
      </c>
      <c r="B724" s="96"/>
      <c r="C724" s="112">
        <v>16234</v>
      </c>
      <c r="D724" s="95"/>
      <c r="E724" s="639">
        <v>16234</v>
      </c>
      <c r="F724" s="515"/>
      <c r="G724" s="515"/>
    </row>
    <row r="725" spans="1:7">
      <c r="A725" s="13" t="s">
        <v>202</v>
      </c>
      <c r="B725" s="96"/>
      <c r="C725" s="112">
        <v>206633</v>
      </c>
      <c r="D725" s="112">
        <v>10000</v>
      </c>
      <c r="E725" s="582">
        <v>196633</v>
      </c>
    </row>
    <row r="726" spans="1:7">
      <c r="A726" s="13" t="s">
        <v>203</v>
      </c>
      <c r="B726" s="96"/>
      <c r="C726" s="112">
        <v>83494</v>
      </c>
      <c r="D726" s="95"/>
      <c r="E726" s="582">
        <v>83494</v>
      </c>
      <c r="F726" s="1008">
        <f>E730+E724</f>
        <v>289262</v>
      </c>
      <c r="G726" s="515"/>
    </row>
    <row r="727" spans="1:7">
      <c r="A727" s="13" t="s">
        <v>1542</v>
      </c>
      <c r="B727" s="96"/>
      <c r="C727" s="112">
        <v>107300</v>
      </c>
      <c r="D727" s="95">
        <v>10000</v>
      </c>
      <c r="E727" s="582">
        <v>107300</v>
      </c>
    </row>
    <row r="728" spans="1:7">
      <c r="A728" s="13" t="s">
        <v>204</v>
      </c>
      <c r="B728" s="96"/>
      <c r="C728" s="112">
        <v>34679427</v>
      </c>
      <c r="D728" s="112">
        <v>541319</v>
      </c>
      <c r="E728" s="582">
        <v>34138108</v>
      </c>
      <c r="F728" s="515"/>
      <c r="G728" s="515"/>
    </row>
    <row r="729" spans="1:7" ht="16.2">
      <c r="A729" s="13" t="s">
        <v>1753</v>
      </c>
      <c r="B729" s="96"/>
      <c r="C729" s="112">
        <v>9243</v>
      </c>
      <c r="D729" s="95"/>
      <c r="E729" s="638">
        <v>9243</v>
      </c>
      <c r="F729" s="515"/>
      <c r="G729" s="733">
        <f>97300+76500</f>
        <v>173800</v>
      </c>
    </row>
    <row r="730" spans="1:7">
      <c r="A730" s="13" t="s">
        <v>206</v>
      </c>
      <c r="B730" s="96"/>
      <c r="C730" s="112">
        <v>273028</v>
      </c>
      <c r="D730" s="95"/>
      <c r="E730" s="639">
        <v>273028</v>
      </c>
      <c r="F730" s="515"/>
      <c r="G730" s="515"/>
    </row>
    <row r="731" spans="1:7">
      <c r="A731" s="13" t="s">
        <v>207</v>
      </c>
      <c r="B731" s="96"/>
      <c r="C731" s="112">
        <v>2383378</v>
      </c>
      <c r="D731" s="112">
        <v>14397</v>
      </c>
      <c r="E731" s="632">
        <v>2368981</v>
      </c>
      <c r="F731" s="515"/>
      <c r="G731" s="515"/>
    </row>
    <row r="732" spans="1:7">
      <c r="A732" s="13" t="s">
        <v>208</v>
      </c>
      <c r="B732" s="96"/>
      <c r="C732" s="112">
        <v>296064</v>
      </c>
      <c r="D732" s="95"/>
      <c r="E732" s="582">
        <v>296064</v>
      </c>
      <c r="F732" s="515"/>
      <c r="G732" s="515"/>
    </row>
    <row r="733" spans="1:7">
      <c r="A733" s="13" t="s">
        <v>210</v>
      </c>
      <c r="B733" s="96"/>
      <c r="C733" s="112">
        <v>133032.41</v>
      </c>
      <c r="D733" s="112">
        <v>20</v>
      </c>
      <c r="E733" s="582">
        <v>133012.41</v>
      </c>
      <c r="F733" s="515"/>
      <c r="G733" s="515"/>
    </row>
    <row r="734" spans="1:7">
      <c r="A734" s="13" t="s">
        <v>211</v>
      </c>
      <c r="B734" s="96"/>
      <c r="C734" s="112">
        <v>144500</v>
      </c>
      <c r="D734" s="95"/>
      <c r="E734" s="582">
        <v>144500</v>
      </c>
    </row>
    <row r="735" spans="1:7">
      <c r="A735" s="13" t="s">
        <v>212</v>
      </c>
      <c r="B735" s="96"/>
      <c r="C735" s="112">
        <v>185913</v>
      </c>
      <c r="D735" s="95"/>
      <c r="E735" s="636">
        <v>185913</v>
      </c>
      <c r="F735" s="515"/>
      <c r="G735" s="515"/>
    </row>
    <row r="736" spans="1:7">
      <c r="A736" s="13" t="s">
        <v>57</v>
      </c>
      <c r="B736" s="96"/>
      <c r="C736" s="112">
        <v>2441345</v>
      </c>
      <c r="D736" s="112"/>
      <c r="E736" s="582">
        <v>2434195</v>
      </c>
    </row>
    <row r="737" spans="1:7">
      <c r="A737" s="13" t="s">
        <v>930</v>
      </c>
      <c r="B737" s="96"/>
      <c r="C737" s="112">
        <v>1038118</v>
      </c>
      <c r="D737" s="95"/>
      <c r="E737" s="632">
        <v>1038118</v>
      </c>
      <c r="F737" s="1008">
        <f>E742+E727</f>
        <v>1218414</v>
      </c>
      <c r="G737" s="515"/>
    </row>
    <row r="738" spans="1:7">
      <c r="A738" s="13" t="s">
        <v>929</v>
      </c>
      <c r="B738" s="96"/>
      <c r="C738" s="112">
        <v>113174</v>
      </c>
      <c r="D738" s="95"/>
      <c r="E738" s="582">
        <v>113174</v>
      </c>
      <c r="F738" s="515"/>
      <c r="G738" s="515"/>
    </row>
    <row r="739" spans="1:7">
      <c r="A739" s="13" t="s">
        <v>213</v>
      </c>
      <c r="B739" s="96"/>
      <c r="C739" s="112">
        <v>421260</v>
      </c>
      <c r="D739" s="95"/>
      <c r="E739" s="582">
        <v>421260</v>
      </c>
      <c r="F739" s="515"/>
      <c r="G739" s="515"/>
    </row>
    <row r="740" spans="1:7">
      <c r="A740" s="13" t="s">
        <v>928</v>
      </c>
      <c r="B740" s="96"/>
      <c r="C740" s="112">
        <v>572303</v>
      </c>
      <c r="D740" s="95"/>
      <c r="E740" s="582">
        <v>572303</v>
      </c>
      <c r="F740" s="515"/>
      <c r="G740" s="515"/>
    </row>
    <row r="741" spans="1:7">
      <c r="A741" s="13" t="s">
        <v>77</v>
      </c>
      <c r="B741" s="96"/>
      <c r="C741" s="112">
        <v>489849</v>
      </c>
      <c r="D741" s="95"/>
      <c r="E741" s="582">
        <v>489849</v>
      </c>
    </row>
    <row r="742" spans="1:7">
      <c r="A742" s="13" t="s">
        <v>71</v>
      </c>
      <c r="B742" s="96"/>
      <c r="C742" s="112">
        <v>1112554</v>
      </c>
      <c r="D742" s="112">
        <v>1440</v>
      </c>
      <c r="E742" s="582">
        <v>1111114</v>
      </c>
    </row>
    <row r="743" spans="1:7">
      <c r="A743" s="16" t="s">
        <v>927</v>
      </c>
      <c r="B743" s="96"/>
      <c r="C743" s="112">
        <v>1073994</v>
      </c>
      <c r="D743" s="112">
        <v>6750</v>
      </c>
      <c r="E743" s="637">
        <v>1067244</v>
      </c>
    </row>
    <row r="744" spans="1:7">
      <c r="A744" s="13" t="s">
        <v>926</v>
      </c>
      <c r="B744" s="96"/>
      <c r="C744" s="112">
        <v>5538874</v>
      </c>
      <c r="D744" s="112">
        <v>4789</v>
      </c>
      <c r="E744" s="582">
        <v>5534085</v>
      </c>
      <c r="F744" s="515"/>
      <c r="G744" s="515"/>
    </row>
    <row r="745" spans="1:7">
      <c r="A745" s="2" t="s">
        <v>74</v>
      </c>
      <c r="B745" s="199">
        <v>5.71</v>
      </c>
      <c r="C745" s="96"/>
      <c r="D745" s="96"/>
      <c r="E745" s="199">
        <v>5.71</v>
      </c>
    </row>
    <row r="746" spans="1:7">
      <c r="A746" s="19" t="s">
        <v>75</v>
      </c>
      <c r="B746" s="102"/>
      <c r="C746" s="201">
        <v>2099383789.21</v>
      </c>
      <c r="D746" s="201">
        <v>2099383789.21</v>
      </c>
      <c r="E746" s="102"/>
    </row>
    <row r="751" spans="1:7">
      <c r="E751">
        <v>2075463</v>
      </c>
    </row>
    <row r="752" spans="1:7">
      <c r="E752">
        <v>7969523</v>
      </c>
    </row>
    <row r="753" spans="5:5">
      <c r="E753">
        <v>3123734</v>
      </c>
    </row>
    <row r="755" spans="5:5">
      <c r="E755">
        <f>SUBTOTAL(9,E751:E754)</f>
        <v>13168720</v>
      </c>
    </row>
  </sheetData>
  <mergeCells count="10">
    <mergeCell ref="A8:C8"/>
    <mergeCell ref="B9:E9"/>
    <mergeCell ref="B10:E10"/>
    <mergeCell ref="C11:D11"/>
    <mergeCell ref="A2:C2"/>
    <mergeCell ref="A3:C3"/>
    <mergeCell ref="A4:C4"/>
    <mergeCell ref="A5:E5"/>
    <mergeCell ref="A6:E6"/>
    <mergeCell ref="A7:D7"/>
  </mergeCells>
  <pageMargins left="0.7" right="0.7" top="0.75" bottom="0.75" header="0.3" footer="0.3"/>
  <pageSetup paperSize="9" orientation="portrait" verticalDpi="30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X101"/>
  <sheetViews>
    <sheetView workbookViewId="0">
      <selection activeCell="G3" sqref="G3"/>
    </sheetView>
  </sheetViews>
  <sheetFormatPr defaultRowHeight="14.4"/>
  <cols>
    <col min="1" max="1" width="30.44140625" bestFit="1" customWidth="1"/>
    <col min="2" max="2" width="27.5546875" bestFit="1" customWidth="1"/>
    <col min="3" max="3" width="22.44140625" bestFit="1" customWidth="1"/>
    <col min="4" max="4" width="12" bestFit="1" customWidth="1"/>
    <col min="5" max="5" width="8.5546875" bestFit="1" customWidth="1"/>
    <col min="6" max="6" width="11.44140625" bestFit="1" customWidth="1"/>
    <col min="7" max="7" width="17.5546875" bestFit="1" customWidth="1"/>
    <col min="8" max="8" width="15.5546875" bestFit="1" customWidth="1"/>
    <col min="9" max="9" width="18" bestFit="1" customWidth="1"/>
    <col min="10" max="10" width="27.44140625" bestFit="1" customWidth="1"/>
    <col min="11" max="11" width="26.5546875" bestFit="1" customWidth="1"/>
    <col min="12" max="12" width="19" bestFit="1" customWidth="1"/>
    <col min="13" max="13" width="26.44140625" bestFit="1" customWidth="1"/>
    <col min="14" max="14" width="36.5546875" bestFit="1" customWidth="1"/>
    <col min="15" max="15" width="27.44140625" bestFit="1" customWidth="1"/>
    <col min="16" max="16" width="36.5546875" bestFit="1" customWidth="1"/>
    <col min="17" max="17" width="26.5546875" bestFit="1" customWidth="1"/>
    <col min="18" max="18" width="7.5546875" bestFit="1" customWidth="1"/>
    <col min="19" max="19" width="1.5546875" bestFit="1" customWidth="1"/>
    <col min="20" max="20" width="7.5546875" bestFit="1" customWidth="1"/>
    <col min="21" max="21" width="10.5546875" bestFit="1" customWidth="1"/>
    <col min="22" max="22" width="11.44140625" bestFit="1" customWidth="1"/>
    <col min="23" max="23" width="11.5546875" bestFit="1" customWidth="1"/>
    <col min="24" max="24" width="10" bestFit="1" customWidth="1"/>
  </cols>
  <sheetData>
    <row r="1" spans="1:24">
      <c r="A1" t="s">
        <v>2453</v>
      </c>
    </row>
    <row r="2" spans="1:24">
      <c r="A2" t="s">
        <v>1136</v>
      </c>
      <c r="B2" t="s">
        <v>1</v>
      </c>
      <c r="C2" t="s">
        <v>2454</v>
      </c>
      <c r="D2" t="s">
        <v>1125</v>
      </c>
      <c r="E2" t="s">
        <v>2455</v>
      </c>
      <c r="F2" t="s">
        <v>2456</v>
      </c>
      <c r="G2" t="s">
        <v>2114</v>
      </c>
      <c r="H2" t="s">
        <v>2457</v>
      </c>
      <c r="I2" t="s">
        <v>2118</v>
      </c>
      <c r="J2" t="s">
        <v>2458</v>
      </c>
      <c r="K2" t="s">
        <v>2459</v>
      </c>
      <c r="L2" t="s">
        <v>2121</v>
      </c>
      <c r="M2" t="s">
        <v>2460</v>
      </c>
      <c r="N2" t="s">
        <v>2461</v>
      </c>
      <c r="O2" t="s">
        <v>2462</v>
      </c>
      <c r="P2" t="s">
        <v>2463</v>
      </c>
      <c r="Q2" t="s">
        <v>2464</v>
      </c>
      <c r="U2" t="s">
        <v>2465</v>
      </c>
      <c r="X2" t="s">
        <v>2466</v>
      </c>
    </row>
    <row r="3" spans="1:24">
      <c r="B3" t="s">
        <v>2467</v>
      </c>
      <c r="C3" s="219">
        <v>107530</v>
      </c>
      <c r="F3" s="219">
        <v>107530</v>
      </c>
      <c r="G3">
        <v>102153.5</v>
      </c>
      <c r="H3">
        <v>5475</v>
      </c>
      <c r="I3">
        <v>18.66</v>
      </c>
      <c r="J3" s="219">
        <v>12756.92</v>
      </c>
      <c r="K3">
        <v>5079</v>
      </c>
      <c r="L3">
        <v>395.56</v>
      </c>
      <c r="M3">
        <v>365</v>
      </c>
      <c r="N3" s="219">
        <v>94773.08</v>
      </c>
      <c r="O3" s="219">
        <v>6810.23</v>
      </c>
      <c r="P3">
        <v>101583.32</v>
      </c>
      <c r="Q3">
        <v>5946.68</v>
      </c>
      <c r="R3">
        <v>1</v>
      </c>
      <c r="S3">
        <v>1</v>
      </c>
      <c r="T3">
        <v>5376.5</v>
      </c>
      <c r="U3" s="219">
        <v>5376.5</v>
      </c>
      <c r="V3" s="219">
        <v>89396.58</v>
      </c>
      <c r="W3">
        <v>102153.5</v>
      </c>
      <c r="X3" s="219">
        <v>5376.5</v>
      </c>
    </row>
    <row r="4" spans="1:24">
      <c r="B4" t="s">
        <v>2468</v>
      </c>
      <c r="C4" s="219">
        <v>544529</v>
      </c>
      <c r="F4" s="219">
        <v>544529</v>
      </c>
      <c r="G4">
        <v>517302.55</v>
      </c>
      <c r="H4">
        <v>3650</v>
      </c>
      <c r="I4">
        <v>141.72999999999999</v>
      </c>
      <c r="J4" s="219">
        <v>52965.79</v>
      </c>
      <c r="K4">
        <v>3468</v>
      </c>
      <c r="L4">
        <v>181.61</v>
      </c>
      <c r="M4">
        <v>365</v>
      </c>
      <c r="N4" s="219">
        <v>491563.22</v>
      </c>
      <c r="O4">
        <v>0</v>
      </c>
      <c r="P4">
        <v>491563.22</v>
      </c>
      <c r="Q4">
        <v>52965.79</v>
      </c>
      <c r="R4">
        <v>0</v>
      </c>
      <c r="S4">
        <v>1</v>
      </c>
      <c r="U4" s="219">
        <v>27226.45</v>
      </c>
      <c r="V4" s="219">
        <v>464336.77</v>
      </c>
      <c r="W4">
        <v>517302.55</v>
      </c>
      <c r="X4" s="219">
        <v>27226.45</v>
      </c>
    </row>
    <row r="5" spans="1:24">
      <c r="B5" t="s">
        <v>2469</v>
      </c>
      <c r="C5" s="219">
        <v>131000</v>
      </c>
      <c r="F5" s="219">
        <v>131000</v>
      </c>
      <c r="G5">
        <v>124450</v>
      </c>
      <c r="H5">
        <v>5475</v>
      </c>
      <c r="I5">
        <v>22.73</v>
      </c>
      <c r="J5" s="219">
        <v>68378.55</v>
      </c>
      <c r="K5">
        <v>2755</v>
      </c>
      <c r="L5">
        <v>2720.06</v>
      </c>
      <c r="M5">
        <v>365</v>
      </c>
      <c r="N5" s="219">
        <v>62621.45</v>
      </c>
      <c r="O5" s="219">
        <v>8296.67</v>
      </c>
      <c r="P5">
        <v>70918.11</v>
      </c>
      <c r="Q5">
        <v>60081.89</v>
      </c>
      <c r="R5">
        <v>1</v>
      </c>
      <c r="S5">
        <v>1</v>
      </c>
      <c r="U5" s="219">
        <v>6550</v>
      </c>
      <c r="V5" s="219">
        <v>56071.45</v>
      </c>
      <c r="W5">
        <v>124450</v>
      </c>
      <c r="X5" s="219">
        <v>6550</v>
      </c>
    </row>
    <row r="6" spans="1:24">
      <c r="B6" t="s">
        <v>2470</v>
      </c>
      <c r="C6" s="219">
        <v>307809.55</v>
      </c>
      <c r="F6" s="219">
        <v>307809.55</v>
      </c>
      <c r="G6">
        <v>292419.07250000001</v>
      </c>
      <c r="H6">
        <v>3650</v>
      </c>
      <c r="I6">
        <v>80.11</v>
      </c>
      <c r="J6" s="219">
        <v>15390.48</v>
      </c>
      <c r="K6">
        <v>3650</v>
      </c>
      <c r="L6">
        <v>0</v>
      </c>
      <c r="M6">
        <v>365</v>
      </c>
      <c r="N6" s="219">
        <v>292419.07</v>
      </c>
      <c r="O6">
        <v>0</v>
      </c>
      <c r="P6">
        <v>292419.07</v>
      </c>
      <c r="Q6">
        <v>15390.48</v>
      </c>
      <c r="R6">
        <v>1</v>
      </c>
      <c r="S6">
        <v>1</v>
      </c>
      <c r="U6" s="219">
        <v>15390.48</v>
      </c>
      <c r="V6" s="219">
        <v>277028.59000000003</v>
      </c>
      <c r="W6">
        <v>292419.07250000001</v>
      </c>
      <c r="X6" s="219">
        <v>15390.48</v>
      </c>
    </row>
    <row r="7" spans="1:24">
      <c r="A7" s="218">
        <v>42689</v>
      </c>
      <c r="B7" t="s">
        <v>2470</v>
      </c>
      <c r="C7" s="219">
        <v>33000</v>
      </c>
      <c r="F7" s="219">
        <v>33000</v>
      </c>
      <c r="G7">
        <v>31350</v>
      </c>
      <c r="H7">
        <v>3650</v>
      </c>
      <c r="I7">
        <v>8.59</v>
      </c>
      <c r="J7" s="219">
        <v>22418.3</v>
      </c>
      <c r="K7">
        <v>1232</v>
      </c>
      <c r="L7">
        <v>2418</v>
      </c>
      <c r="M7">
        <v>365</v>
      </c>
      <c r="N7" s="219">
        <v>10581.7</v>
      </c>
      <c r="O7" s="219">
        <v>3135</v>
      </c>
      <c r="P7">
        <v>13716.7</v>
      </c>
      <c r="Q7">
        <v>19283.3</v>
      </c>
      <c r="R7">
        <v>1</v>
      </c>
      <c r="S7">
        <v>1</v>
      </c>
      <c r="U7" s="219">
        <v>1650</v>
      </c>
      <c r="V7" s="219">
        <v>8931.7000000000007</v>
      </c>
      <c r="W7">
        <v>31350</v>
      </c>
      <c r="X7" s="219">
        <v>1650</v>
      </c>
    </row>
    <row r="8" spans="1:24">
      <c r="A8" s="218">
        <v>42968</v>
      </c>
      <c r="B8" t="s">
        <v>2470</v>
      </c>
      <c r="C8" s="219">
        <v>26562.5</v>
      </c>
      <c r="F8" s="219">
        <v>26562.5</v>
      </c>
      <c r="G8">
        <v>25234.375</v>
      </c>
      <c r="H8">
        <v>3650</v>
      </c>
      <c r="I8">
        <v>6.91</v>
      </c>
      <c r="J8" s="219">
        <v>19973.91</v>
      </c>
      <c r="K8">
        <v>953</v>
      </c>
      <c r="L8">
        <v>2697</v>
      </c>
      <c r="M8">
        <v>365</v>
      </c>
      <c r="N8" s="219">
        <v>6588.59</v>
      </c>
      <c r="O8" s="219">
        <v>2523.44</v>
      </c>
      <c r="P8">
        <v>9112.0300000000007</v>
      </c>
      <c r="Q8">
        <v>17450.48</v>
      </c>
      <c r="R8">
        <v>1</v>
      </c>
      <c r="S8">
        <v>1</v>
      </c>
      <c r="U8" s="219">
        <v>1328.13</v>
      </c>
      <c r="V8" s="219">
        <v>5260.46</v>
      </c>
      <c r="W8">
        <v>25234.375</v>
      </c>
      <c r="X8" s="219">
        <v>1328.13</v>
      </c>
    </row>
    <row r="9" spans="1:24">
      <c r="B9" t="s">
        <v>2471</v>
      </c>
      <c r="C9" s="219">
        <v>38770</v>
      </c>
      <c r="F9" s="219">
        <v>38770</v>
      </c>
      <c r="G9">
        <v>36831.5</v>
      </c>
      <c r="H9">
        <v>1825</v>
      </c>
      <c r="I9">
        <v>20.18</v>
      </c>
      <c r="J9" s="219">
        <v>10294.799999999999</v>
      </c>
      <c r="K9">
        <v>1411</v>
      </c>
      <c r="L9">
        <v>414.05</v>
      </c>
      <c r="M9">
        <v>365</v>
      </c>
      <c r="N9" s="219">
        <v>28475.200000000001</v>
      </c>
      <c r="O9" s="219">
        <v>7366.3</v>
      </c>
      <c r="P9">
        <v>35841.5</v>
      </c>
      <c r="Q9">
        <v>2928.5</v>
      </c>
      <c r="R9">
        <v>1</v>
      </c>
      <c r="S9">
        <v>1</v>
      </c>
      <c r="U9" s="219">
        <v>1938.5</v>
      </c>
      <c r="V9" s="219">
        <v>26536.7</v>
      </c>
      <c r="W9">
        <v>36831.5</v>
      </c>
      <c r="X9" s="219">
        <v>1938.5</v>
      </c>
    </row>
    <row r="10" spans="1:24">
      <c r="B10" t="s">
        <v>2472</v>
      </c>
      <c r="C10" s="219">
        <v>50130</v>
      </c>
      <c r="F10" s="219">
        <v>50130</v>
      </c>
      <c r="G10">
        <v>47623.5</v>
      </c>
      <c r="H10">
        <v>1825</v>
      </c>
      <c r="I10">
        <v>26.1</v>
      </c>
      <c r="J10" s="219">
        <v>2506.5</v>
      </c>
      <c r="K10">
        <v>1825</v>
      </c>
      <c r="L10">
        <v>0</v>
      </c>
      <c r="M10">
        <v>365</v>
      </c>
      <c r="N10" s="219">
        <v>47623.5</v>
      </c>
      <c r="O10">
        <v>0</v>
      </c>
      <c r="P10">
        <v>47623.5</v>
      </c>
      <c r="Q10">
        <v>2506.5</v>
      </c>
      <c r="R10">
        <v>0</v>
      </c>
      <c r="S10">
        <v>0</v>
      </c>
      <c r="U10" s="219">
        <v>2506.5</v>
      </c>
      <c r="V10" s="219">
        <v>45117</v>
      </c>
      <c r="W10">
        <v>47623.5</v>
      </c>
      <c r="X10" s="219">
        <v>2506.5</v>
      </c>
    </row>
    <row r="11" spans="1:24">
      <c r="A11" s="218">
        <v>42490</v>
      </c>
      <c r="B11" t="s">
        <v>2473</v>
      </c>
      <c r="C11" s="219">
        <v>1384072</v>
      </c>
      <c r="F11" s="219">
        <v>1384072</v>
      </c>
      <c r="G11">
        <v>1314868.3999999999</v>
      </c>
      <c r="H11">
        <v>2920</v>
      </c>
      <c r="I11">
        <v>450.3</v>
      </c>
      <c r="J11" s="219">
        <v>802828.12</v>
      </c>
      <c r="K11">
        <v>1291</v>
      </c>
      <c r="L11">
        <v>1629.2</v>
      </c>
      <c r="M11">
        <v>365</v>
      </c>
      <c r="N11" s="219">
        <v>581243.88</v>
      </c>
      <c r="O11" s="219">
        <v>164358.54999999999</v>
      </c>
      <c r="P11">
        <v>745602.43</v>
      </c>
      <c r="Q11">
        <v>638469.56999999995</v>
      </c>
      <c r="R11">
        <v>1</v>
      </c>
      <c r="S11">
        <v>1</v>
      </c>
      <c r="U11" s="219">
        <v>69203.600000000006</v>
      </c>
      <c r="V11" s="219">
        <v>512040.28</v>
      </c>
      <c r="W11">
        <v>1314868.3999999999</v>
      </c>
      <c r="X11" s="219">
        <v>69203.600000000006</v>
      </c>
    </row>
    <row r="12" spans="1:24">
      <c r="B12" t="s">
        <v>2474</v>
      </c>
      <c r="C12" s="219">
        <v>26250</v>
      </c>
      <c r="F12" s="219">
        <v>26250</v>
      </c>
      <c r="G12">
        <v>24937.5</v>
      </c>
      <c r="H12">
        <v>5475</v>
      </c>
      <c r="I12">
        <v>4.55</v>
      </c>
      <c r="J12" s="219">
        <v>13678.4</v>
      </c>
      <c r="K12">
        <v>2760</v>
      </c>
      <c r="L12">
        <v>2714.92</v>
      </c>
      <c r="M12">
        <v>365</v>
      </c>
      <c r="N12" s="219">
        <v>12571.6</v>
      </c>
      <c r="O12" s="219">
        <v>1662.5</v>
      </c>
      <c r="P12">
        <v>14234.1</v>
      </c>
      <c r="Q12">
        <v>12015.9</v>
      </c>
      <c r="R12">
        <v>1</v>
      </c>
      <c r="S12">
        <v>1</v>
      </c>
      <c r="U12" s="219">
        <v>1312.5</v>
      </c>
      <c r="V12" s="219">
        <v>11259.1</v>
      </c>
      <c r="W12">
        <v>24937.5</v>
      </c>
      <c r="X12" s="219">
        <v>1312.5</v>
      </c>
    </row>
    <row r="13" spans="1:24">
      <c r="B13" t="s">
        <v>2475</v>
      </c>
      <c r="C13" s="219">
        <v>3751</v>
      </c>
      <c r="F13" s="219">
        <v>3751</v>
      </c>
      <c r="G13">
        <v>3563.45</v>
      </c>
      <c r="H13">
        <v>3650</v>
      </c>
      <c r="I13">
        <v>0.98</v>
      </c>
      <c r="J13" s="219">
        <v>1815.94</v>
      </c>
      <c r="K13">
        <v>1982</v>
      </c>
      <c r="L13">
        <v>1667.94</v>
      </c>
      <c r="M13">
        <v>365</v>
      </c>
      <c r="N13" s="219">
        <v>1935.07</v>
      </c>
      <c r="O13">
        <v>356.35</v>
      </c>
      <c r="P13">
        <v>2291.41</v>
      </c>
      <c r="Q13">
        <v>1459.59</v>
      </c>
      <c r="R13">
        <v>1</v>
      </c>
      <c r="S13">
        <v>1</v>
      </c>
      <c r="U13">
        <v>187.55</v>
      </c>
      <c r="V13" s="219">
        <v>1747.52</v>
      </c>
      <c r="W13">
        <v>3563.45</v>
      </c>
      <c r="X13">
        <v>187.55</v>
      </c>
    </row>
    <row r="14" spans="1:24">
      <c r="A14" s="218">
        <v>42900</v>
      </c>
      <c r="B14" t="s">
        <v>2476</v>
      </c>
      <c r="C14" s="219">
        <v>10000</v>
      </c>
      <c r="F14" s="219">
        <v>10000</v>
      </c>
      <c r="G14">
        <v>9500</v>
      </c>
      <c r="H14">
        <v>1825</v>
      </c>
      <c r="I14">
        <v>5.21</v>
      </c>
      <c r="J14" s="219">
        <v>4685.21</v>
      </c>
      <c r="K14">
        <v>1021</v>
      </c>
      <c r="L14">
        <v>804</v>
      </c>
      <c r="M14">
        <v>365</v>
      </c>
      <c r="N14" s="219">
        <v>5314.79</v>
      </c>
      <c r="O14" s="219">
        <v>1900</v>
      </c>
      <c r="P14">
        <v>7214.79</v>
      </c>
      <c r="Q14">
        <v>2785.21</v>
      </c>
      <c r="R14">
        <v>1</v>
      </c>
      <c r="S14">
        <v>1</v>
      </c>
      <c r="U14">
        <v>500</v>
      </c>
      <c r="V14" s="219">
        <v>4814.79</v>
      </c>
      <c r="W14">
        <v>9500</v>
      </c>
      <c r="X14">
        <v>500</v>
      </c>
    </row>
    <row r="15" spans="1:24">
      <c r="B15" t="s">
        <v>2477</v>
      </c>
      <c r="C15" s="219">
        <v>5440</v>
      </c>
      <c r="F15" s="219">
        <v>5440</v>
      </c>
      <c r="G15">
        <v>5168</v>
      </c>
      <c r="H15">
        <v>3650</v>
      </c>
      <c r="I15">
        <v>1.42</v>
      </c>
      <c r="J15" s="219">
        <v>2645.15</v>
      </c>
      <c r="K15">
        <v>1974</v>
      </c>
      <c r="L15">
        <v>1676.08</v>
      </c>
      <c r="M15">
        <v>365</v>
      </c>
      <c r="N15" s="219">
        <v>2794.85</v>
      </c>
      <c r="O15">
        <v>516.79999999999995</v>
      </c>
      <c r="P15">
        <v>3311.65</v>
      </c>
      <c r="Q15">
        <v>2128.35</v>
      </c>
      <c r="R15">
        <v>1</v>
      </c>
      <c r="S15">
        <v>1</v>
      </c>
      <c r="U15">
        <v>272</v>
      </c>
      <c r="V15" s="219">
        <v>2522.85</v>
      </c>
      <c r="W15">
        <v>5168</v>
      </c>
      <c r="X15">
        <v>272</v>
      </c>
    </row>
    <row r="16" spans="1:24">
      <c r="B16" t="s">
        <v>2478</v>
      </c>
      <c r="C16" s="219">
        <v>18900</v>
      </c>
      <c r="F16" s="219">
        <v>18900</v>
      </c>
      <c r="G16">
        <v>17955</v>
      </c>
      <c r="H16">
        <v>3650</v>
      </c>
      <c r="I16">
        <v>4.92</v>
      </c>
      <c r="J16" s="219">
        <v>7641.56</v>
      </c>
      <c r="K16">
        <v>2289</v>
      </c>
      <c r="L16">
        <v>1361.32</v>
      </c>
      <c r="M16">
        <v>365</v>
      </c>
      <c r="N16" s="219">
        <v>11258.44</v>
      </c>
      <c r="O16" s="219">
        <v>1795.5</v>
      </c>
      <c r="P16">
        <v>13053.94</v>
      </c>
      <c r="Q16">
        <v>5846.06</v>
      </c>
      <c r="R16">
        <v>1</v>
      </c>
      <c r="S16">
        <v>1</v>
      </c>
      <c r="U16">
        <v>945</v>
      </c>
      <c r="V16" s="219">
        <v>10313.44</v>
      </c>
      <c r="W16">
        <v>17955</v>
      </c>
      <c r="X16">
        <v>945</v>
      </c>
    </row>
    <row r="17" spans="1:24">
      <c r="B17" t="s">
        <v>2479</v>
      </c>
      <c r="C17" s="219">
        <v>34240</v>
      </c>
      <c r="F17" s="219">
        <v>34240</v>
      </c>
      <c r="G17">
        <v>32528</v>
      </c>
      <c r="H17">
        <v>1825</v>
      </c>
      <c r="I17">
        <v>17.82</v>
      </c>
      <c r="J17" s="219">
        <v>1712</v>
      </c>
      <c r="K17">
        <v>1825</v>
      </c>
      <c r="L17">
        <v>0</v>
      </c>
      <c r="M17">
        <v>365</v>
      </c>
      <c r="N17" s="219">
        <v>32528</v>
      </c>
      <c r="O17">
        <v>0</v>
      </c>
      <c r="P17">
        <v>32528</v>
      </c>
      <c r="Q17">
        <v>1712</v>
      </c>
      <c r="R17">
        <v>0</v>
      </c>
      <c r="S17">
        <v>0</v>
      </c>
      <c r="U17" s="219">
        <v>1712</v>
      </c>
      <c r="V17" s="219">
        <v>30816</v>
      </c>
      <c r="W17">
        <v>32528</v>
      </c>
      <c r="X17" s="219">
        <v>1712</v>
      </c>
    </row>
    <row r="18" spans="1:24">
      <c r="B18" t="s">
        <v>2480</v>
      </c>
      <c r="C18" s="219">
        <v>10400</v>
      </c>
      <c r="F18" s="219">
        <v>10400</v>
      </c>
      <c r="G18">
        <v>9880</v>
      </c>
      <c r="H18">
        <v>1825</v>
      </c>
      <c r="I18">
        <v>5.41</v>
      </c>
      <c r="J18">
        <v>520</v>
      </c>
      <c r="K18">
        <v>1825</v>
      </c>
      <c r="L18">
        <v>0</v>
      </c>
      <c r="M18">
        <v>365</v>
      </c>
      <c r="N18" s="219">
        <v>9880</v>
      </c>
      <c r="O18">
        <v>0</v>
      </c>
      <c r="P18">
        <v>9880</v>
      </c>
      <c r="Q18">
        <v>520</v>
      </c>
      <c r="R18">
        <v>0</v>
      </c>
      <c r="S18">
        <v>0</v>
      </c>
      <c r="U18">
        <v>520</v>
      </c>
      <c r="V18" s="219">
        <v>9360</v>
      </c>
      <c r="W18">
        <v>9880</v>
      </c>
      <c r="X18">
        <v>520</v>
      </c>
    </row>
    <row r="19" spans="1:24">
      <c r="B19" t="s">
        <v>2481</v>
      </c>
      <c r="C19" s="219">
        <v>1559832</v>
      </c>
      <c r="F19" s="219">
        <v>1559832</v>
      </c>
      <c r="G19">
        <v>1481840.4</v>
      </c>
      <c r="H19">
        <v>3650</v>
      </c>
      <c r="I19">
        <v>405.98</v>
      </c>
      <c r="J19" s="219">
        <v>155008.04999999999</v>
      </c>
      <c r="K19">
        <v>3460</v>
      </c>
      <c r="L19">
        <v>189.7</v>
      </c>
      <c r="M19">
        <v>365</v>
      </c>
      <c r="N19" s="219">
        <v>1404823.95</v>
      </c>
      <c r="O19">
        <v>0</v>
      </c>
      <c r="P19">
        <v>1404823.95</v>
      </c>
      <c r="Q19">
        <v>155008.04999999999</v>
      </c>
      <c r="R19">
        <v>0</v>
      </c>
      <c r="S19">
        <v>1</v>
      </c>
      <c r="U19" s="219">
        <v>77991.600000000006</v>
      </c>
      <c r="V19" s="219">
        <v>1326832.3500000001</v>
      </c>
      <c r="W19">
        <v>1481840.4</v>
      </c>
      <c r="X19" s="219">
        <v>77991.600000000006</v>
      </c>
    </row>
    <row r="20" spans="1:24">
      <c r="A20" s="218">
        <v>42262</v>
      </c>
      <c r="B20" t="s">
        <v>2481</v>
      </c>
      <c r="C20" s="219">
        <v>75000</v>
      </c>
      <c r="F20" s="219">
        <v>75000</v>
      </c>
      <c r="G20">
        <v>71250</v>
      </c>
      <c r="H20">
        <v>3650</v>
      </c>
      <c r="I20">
        <v>19.52</v>
      </c>
      <c r="J20" s="219">
        <v>42615.41</v>
      </c>
      <c r="K20">
        <v>1659</v>
      </c>
      <c r="L20">
        <v>1991</v>
      </c>
      <c r="M20">
        <v>365</v>
      </c>
      <c r="N20" s="219">
        <v>32384.59</v>
      </c>
      <c r="O20" s="219">
        <v>7125</v>
      </c>
      <c r="P20">
        <v>39509.589999999997</v>
      </c>
      <c r="Q20">
        <v>35490.410000000003</v>
      </c>
      <c r="R20">
        <v>1</v>
      </c>
      <c r="S20">
        <v>1</v>
      </c>
      <c r="U20" s="219">
        <v>3750</v>
      </c>
      <c r="V20" s="219">
        <v>28634.59</v>
      </c>
      <c r="W20">
        <v>71250</v>
      </c>
      <c r="X20" s="219">
        <v>3750</v>
      </c>
    </row>
    <row r="21" spans="1:24">
      <c r="A21" s="218">
        <v>42590</v>
      </c>
      <c r="B21" t="s">
        <v>2481</v>
      </c>
      <c r="C21" s="219">
        <v>2725</v>
      </c>
      <c r="F21" s="219">
        <v>2725</v>
      </c>
      <c r="G21">
        <v>2588.75</v>
      </c>
      <c r="H21">
        <v>3650</v>
      </c>
      <c r="I21">
        <v>0.71</v>
      </c>
      <c r="J21" s="219">
        <v>1781</v>
      </c>
      <c r="K21">
        <v>1331</v>
      </c>
      <c r="L21">
        <v>2319</v>
      </c>
      <c r="M21">
        <v>365</v>
      </c>
      <c r="N21">
        <v>944.01</v>
      </c>
      <c r="O21">
        <v>258.88</v>
      </c>
      <c r="P21">
        <v>1202.8800000000001</v>
      </c>
      <c r="Q21">
        <v>1522.12</v>
      </c>
      <c r="R21">
        <v>1</v>
      </c>
      <c r="S21">
        <v>1</v>
      </c>
      <c r="U21">
        <v>136.25</v>
      </c>
      <c r="V21">
        <v>807.76</v>
      </c>
      <c r="W21">
        <v>2588.75</v>
      </c>
      <c r="X21">
        <v>136.25</v>
      </c>
    </row>
    <row r="22" spans="1:24">
      <c r="B22" t="s">
        <v>2482</v>
      </c>
      <c r="C22" s="219">
        <v>308850</v>
      </c>
      <c r="F22" s="219">
        <v>308850</v>
      </c>
      <c r="G22">
        <v>293407.5</v>
      </c>
      <c r="H22">
        <v>1095</v>
      </c>
      <c r="I22">
        <v>267.95</v>
      </c>
      <c r="J22" s="219">
        <v>15442.5</v>
      </c>
      <c r="K22">
        <v>1095</v>
      </c>
      <c r="L22">
        <v>0</v>
      </c>
      <c r="M22">
        <v>365</v>
      </c>
      <c r="N22" s="219">
        <v>293407.5</v>
      </c>
      <c r="O22">
        <v>0</v>
      </c>
      <c r="P22">
        <v>293407.5</v>
      </c>
      <c r="Q22">
        <v>15442.5</v>
      </c>
      <c r="R22">
        <v>0</v>
      </c>
      <c r="S22">
        <v>0</v>
      </c>
      <c r="U22" s="219">
        <v>15442.5</v>
      </c>
      <c r="V22" s="219">
        <v>277965</v>
      </c>
      <c r="W22">
        <v>293407.5</v>
      </c>
      <c r="X22" s="219">
        <v>15442.5</v>
      </c>
    </row>
    <row r="23" spans="1:24">
      <c r="A23" s="218">
        <v>42968</v>
      </c>
      <c r="B23" t="s">
        <v>2482</v>
      </c>
      <c r="C23" s="219">
        <v>1271.19</v>
      </c>
      <c r="F23" s="219">
        <v>1271.19</v>
      </c>
      <c r="G23">
        <v>1207.6305</v>
      </c>
      <c r="H23">
        <v>1095</v>
      </c>
      <c r="I23">
        <v>1.1000000000000001</v>
      </c>
      <c r="J23">
        <v>318.54000000000002</v>
      </c>
      <c r="K23">
        <v>864</v>
      </c>
      <c r="L23">
        <v>231.2</v>
      </c>
      <c r="M23">
        <v>365</v>
      </c>
      <c r="N23">
        <v>952.65</v>
      </c>
      <c r="O23">
        <v>0</v>
      </c>
      <c r="P23">
        <v>952.65</v>
      </c>
      <c r="Q23">
        <v>318.54000000000002</v>
      </c>
      <c r="R23">
        <v>0</v>
      </c>
      <c r="S23">
        <v>1</v>
      </c>
      <c r="U23">
        <v>63.56</v>
      </c>
      <c r="V23">
        <v>889.09</v>
      </c>
      <c r="W23">
        <v>1207.6305</v>
      </c>
      <c r="X23">
        <v>63.56</v>
      </c>
    </row>
    <row r="24" spans="1:24">
      <c r="A24" s="218">
        <v>42992</v>
      </c>
      <c r="B24" t="s">
        <v>2482</v>
      </c>
      <c r="C24" s="219">
        <v>1355.93</v>
      </c>
      <c r="F24" s="219">
        <v>1355.93</v>
      </c>
      <c r="G24">
        <v>1288.1334999999999</v>
      </c>
      <c r="H24">
        <v>1095</v>
      </c>
      <c r="I24">
        <v>1.18</v>
      </c>
      <c r="J24">
        <v>356.71</v>
      </c>
      <c r="K24">
        <v>849</v>
      </c>
      <c r="L24">
        <v>245.6</v>
      </c>
      <c r="M24">
        <v>365</v>
      </c>
      <c r="N24">
        <v>999.22</v>
      </c>
      <c r="O24">
        <v>0</v>
      </c>
      <c r="P24">
        <v>999.22</v>
      </c>
      <c r="Q24">
        <v>356.71</v>
      </c>
      <c r="R24">
        <v>0</v>
      </c>
      <c r="S24">
        <v>1</v>
      </c>
      <c r="U24">
        <v>67.8</v>
      </c>
      <c r="V24">
        <v>931.42</v>
      </c>
      <c r="W24">
        <v>1288.1334999999999</v>
      </c>
      <c r="X24">
        <v>67.8</v>
      </c>
    </row>
    <row r="25" spans="1:24">
      <c r="B25" t="s">
        <v>2483</v>
      </c>
      <c r="C25" s="219">
        <v>17137</v>
      </c>
      <c r="F25" s="219">
        <v>17137</v>
      </c>
      <c r="G25">
        <v>16280.15</v>
      </c>
      <c r="H25">
        <v>1825</v>
      </c>
      <c r="I25">
        <v>8.92</v>
      </c>
      <c r="J25">
        <v>856.85</v>
      </c>
      <c r="K25">
        <v>1825</v>
      </c>
      <c r="L25">
        <v>0</v>
      </c>
      <c r="M25">
        <v>365</v>
      </c>
      <c r="N25" s="219">
        <v>16280.15</v>
      </c>
      <c r="O25">
        <v>0</v>
      </c>
      <c r="P25">
        <v>16280.15</v>
      </c>
      <c r="Q25">
        <v>856.85</v>
      </c>
      <c r="R25">
        <v>0</v>
      </c>
      <c r="S25">
        <v>0</v>
      </c>
      <c r="U25">
        <v>856.85</v>
      </c>
      <c r="V25" s="219">
        <v>15423.3</v>
      </c>
      <c r="W25">
        <v>16280.15</v>
      </c>
      <c r="X25">
        <v>856.85</v>
      </c>
    </row>
    <row r="26" spans="1:24">
      <c r="B26" t="s">
        <v>2484</v>
      </c>
      <c r="C26" s="219">
        <v>20400</v>
      </c>
      <c r="F26" s="219">
        <v>20400</v>
      </c>
      <c r="G26">
        <v>19380</v>
      </c>
      <c r="H26">
        <v>1825</v>
      </c>
      <c r="I26">
        <v>10.62</v>
      </c>
      <c r="J26" s="219">
        <v>1020</v>
      </c>
      <c r="K26">
        <v>1825</v>
      </c>
      <c r="L26">
        <v>0</v>
      </c>
      <c r="M26">
        <v>365</v>
      </c>
      <c r="N26" s="219">
        <v>19380</v>
      </c>
      <c r="O26">
        <v>0</v>
      </c>
      <c r="P26">
        <v>19380</v>
      </c>
      <c r="Q26">
        <v>1020</v>
      </c>
      <c r="R26">
        <v>0</v>
      </c>
      <c r="S26">
        <v>0</v>
      </c>
      <c r="U26" s="219">
        <v>1020</v>
      </c>
      <c r="V26" s="219">
        <v>18360</v>
      </c>
      <c r="W26">
        <v>19380</v>
      </c>
      <c r="X26" s="219">
        <v>1020</v>
      </c>
    </row>
    <row r="27" spans="1:24">
      <c r="B27" t="s">
        <v>2485</v>
      </c>
      <c r="C27" s="219">
        <v>117031</v>
      </c>
      <c r="F27" s="219">
        <v>117031</v>
      </c>
      <c r="G27">
        <v>111179.45</v>
      </c>
      <c r="H27">
        <v>3650</v>
      </c>
      <c r="I27">
        <v>30.46</v>
      </c>
      <c r="J27" s="219">
        <v>5851.55</v>
      </c>
      <c r="K27">
        <v>3650</v>
      </c>
      <c r="L27">
        <v>0</v>
      </c>
      <c r="M27">
        <v>365</v>
      </c>
      <c r="N27" s="219">
        <v>111179.45</v>
      </c>
      <c r="O27">
        <v>0</v>
      </c>
      <c r="P27">
        <v>111179.45</v>
      </c>
      <c r="Q27">
        <v>5851.55</v>
      </c>
      <c r="R27">
        <v>0</v>
      </c>
      <c r="S27">
        <v>0</v>
      </c>
      <c r="U27" s="219">
        <v>5851.55</v>
      </c>
      <c r="V27" s="219">
        <v>105327.9</v>
      </c>
      <c r="W27">
        <v>111179.45</v>
      </c>
      <c r="X27" s="219">
        <v>5851.55</v>
      </c>
    </row>
    <row r="28" spans="1:24">
      <c r="A28" s="218">
        <v>42202</v>
      </c>
      <c r="B28" t="s">
        <v>2485</v>
      </c>
      <c r="C28" s="219">
        <v>9738</v>
      </c>
      <c r="F28" s="219">
        <v>9738</v>
      </c>
      <c r="G28">
        <v>9251.1</v>
      </c>
      <c r="H28">
        <v>3650</v>
      </c>
      <c r="I28">
        <v>2.5299999999999998</v>
      </c>
      <c r="J28" s="219">
        <v>5381.11</v>
      </c>
      <c r="K28">
        <v>1719</v>
      </c>
      <c r="L28">
        <v>1931</v>
      </c>
      <c r="M28">
        <v>365</v>
      </c>
      <c r="N28" s="219">
        <v>4356.8900000000003</v>
      </c>
      <c r="O28">
        <v>925.11</v>
      </c>
      <c r="P28">
        <v>5282</v>
      </c>
      <c r="Q28">
        <v>4456</v>
      </c>
      <c r="R28">
        <v>1</v>
      </c>
      <c r="S28">
        <v>1</v>
      </c>
      <c r="U28">
        <v>486.9</v>
      </c>
      <c r="V28" s="219">
        <v>3869.99</v>
      </c>
      <c r="W28">
        <v>9251.1</v>
      </c>
      <c r="X28">
        <v>486.9</v>
      </c>
    </row>
    <row r="29" spans="1:24">
      <c r="A29" s="218">
        <v>42219</v>
      </c>
      <c r="B29" t="s">
        <v>2485</v>
      </c>
      <c r="C29" s="219">
        <v>17312</v>
      </c>
      <c r="F29" s="219">
        <v>17312</v>
      </c>
      <c r="G29">
        <v>16446.400000000001</v>
      </c>
      <c r="H29">
        <v>3650</v>
      </c>
      <c r="I29">
        <v>4.51</v>
      </c>
      <c r="J29" s="219">
        <v>9643.02</v>
      </c>
      <c r="K29">
        <v>1702</v>
      </c>
      <c r="L29">
        <v>1948</v>
      </c>
      <c r="M29">
        <v>365</v>
      </c>
      <c r="N29" s="219">
        <v>7668.98</v>
      </c>
      <c r="O29" s="219">
        <v>1644.64</v>
      </c>
      <c r="P29">
        <v>9313.6200000000008</v>
      </c>
      <c r="Q29">
        <v>7998.38</v>
      </c>
      <c r="R29">
        <v>1</v>
      </c>
      <c r="S29">
        <v>1</v>
      </c>
      <c r="U29">
        <v>865.6</v>
      </c>
      <c r="V29" s="219">
        <v>6803.38</v>
      </c>
      <c r="W29">
        <v>16446.400000000001</v>
      </c>
      <c r="X29">
        <v>865.6</v>
      </c>
    </row>
    <row r="30" spans="1:24">
      <c r="A30" s="218">
        <v>42814</v>
      </c>
      <c r="B30" t="s">
        <v>2486</v>
      </c>
      <c r="C30" s="219">
        <v>64721</v>
      </c>
      <c r="F30" s="219">
        <v>64721</v>
      </c>
      <c r="G30">
        <v>61484.95</v>
      </c>
      <c r="H30">
        <v>1095</v>
      </c>
      <c r="I30">
        <v>56.15</v>
      </c>
      <c r="J30" s="219">
        <v>5287.67</v>
      </c>
      <c r="K30">
        <v>1058</v>
      </c>
      <c r="L30">
        <v>36.54</v>
      </c>
      <c r="M30">
        <v>365</v>
      </c>
      <c r="N30" s="219">
        <v>59433.33</v>
      </c>
      <c r="O30">
        <v>0</v>
      </c>
      <c r="P30">
        <v>59433.33</v>
      </c>
      <c r="Q30">
        <v>5287.67</v>
      </c>
      <c r="R30">
        <v>0</v>
      </c>
      <c r="S30">
        <v>1</v>
      </c>
      <c r="U30" s="219">
        <v>3236.05</v>
      </c>
      <c r="V30" s="219">
        <v>56197.279999999999</v>
      </c>
      <c r="W30">
        <v>61484.95</v>
      </c>
      <c r="X30" s="219">
        <v>3236.05</v>
      </c>
    </row>
    <row r="31" spans="1:24">
      <c r="B31" t="s">
        <v>2487</v>
      </c>
      <c r="C31" s="219">
        <v>8500</v>
      </c>
      <c r="F31" s="219">
        <v>8500</v>
      </c>
      <c r="G31">
        <v>8075</v>
      </c>
      <c r="H31">
        <v>1095</v>
      </c>
      <c r="I31">
        <v>7.37</v>
      </c>
      <c r="J31">
        <v>425</v>
      </c>
      <c r="K31">
        <v>1095</v>
      </c>
      <c r="L31">
        <v>0</v>
      </c>
      <c r="M31">
        <v>365</v>
      </c>
      <c r="N31" s="219">
        <v>8075</v>
      </c>
      <c r="O31">
        <v>0</v>
      </c>
      <c r="P31">
        <v>8075</v>
      </c>
      <c r="Q31">
        <v>425</v>
      </c>
      <c r="R31">
        <v>0</v>
      </c>
      <c r="S31">
        <v>0</v>
      </c>
      <c r="U31">
        <v>425</v>
      </c>
      <c r="V31" s="219">
        <v>7650</v>
      </c>
      <c r="W31">
        <v>8075</v>
      </c>
      <c r="X31">
        <v>425</v>
      </c>
    </row>
    <row r="32" spans="1:24">
      <c r="A32" s="218">
        <v>42103</v>
      </c>
      <c r="B32" t="s">
        <v>2487</v>
      </c>
      <c r="C32" s="219">
        <v>6000</v>
      </c>
      <c r="F32" s="219">
        <v>6000</v>
      </c>
      <c r="G32">
        <v>5700</v>
      </c>
      <c r="H32">
        <v>1095</v>
      </c>
      <c r="I32">
        <v>5.21</v>
      </c>
      <c r="J32">
        <v>300</v>
      </c>
      <c r="K32">
        <v>1095</v>
      </c>
      <c r="L32">
        <v>0</v>
      </c>
      <c r="M32">
        <v>365</v>
      </c>
      <c r="N32" s="219">
        <v>5700</v>
      </c>
      <c r="O32">
        <v>0</v>
      </c>
      <c r="P32">
        <v>5700</v>
      </c>
      <c r="Q32">
        <v>300</v>
      </c>
      <c r="R32">
        <v>0</v>
      </c>
      <c r="S32">
        <v>0</v>
      </c>
      <c r="U32">
        <v>300</v>
      </c>
      <c r="V32" s="219">
        <v>5400</v>
      </c>
      <c r="W32">
        <v>5700</v>
      </c>
      <c r="X32">
        <v>300</v>
      </c>
    </row>
    <row r="33" spans="1:24">
      <c r="B33" t="s">
        <v>2488</v>
      </c>
      <c r="C33" s="219">
        <v>40800</v>
      </c>
      <c r="F33" s="219">
        <v>40800</v>
      </c>
      <c r="G33">
        <v>38760</v>
      </c>
      <c r="H33">
        <v>1825</v>
      </c>
      <c r="I33">
        <v>21.24</v>
      </c>
      <c r="J33" s="219">
        <v>12798.87</v>
      </c>
      <c r="K33">
        <v>1318</v>
      </c>
      <c r="L33">
        <v>506.58</v>
      </c>
      <c r="M33">
        <v>365</v>
      </c>
      <c r="N33" s="219">
        <v>28001.13</v>
      </c>
      <c r="O33" s="219">
        <v>7752</v>
      </c>
      <c r="P33">
        <v>35753.129999999997</v>
      </c>
      <c r="Q33">
        <v>5046.87</v>
      </c>
      <c r="R33">
        <v>1</v>
      </c>
      <c r="S33">
        <v>1</v>
      </c>
      <c r="U33" s="219">
        <v>2040</v>
      </c>
      <c r="V33" s="219">
        <v>25961.13</v>
      </c>
      <c r="W33">
        <v>38760</v>
      </c>
      <c r="X33" s="219">
        <v>2040</v>
      </c>
    </row>
    <row r="34" spans="1:24">
      <c r="B34" t="s">
        <v>2489</v>
      </c>
      <c r="C34" s="219">
        <v>111240</v>
      </c>
      <c r="F34" s="219">
        <v>111240</v>
      </c>
      <c r="G34">
        <v>105678</v>
      </c>
      <c r="H34">
        <v>3650</v>
      </c>
      <c r="I34">
        <v>28.95</v>
      </c>
      <c r="J34" s="219">
        <v>5562</v>
      </c>
      <c r="K34">
        <v>3650</v>
      </c>
      <c r="L34">
        <v>0</v>
      </c>
      <c r="M34">
        <v>365</v>
      </c>
      <c r="N34" s="219">
        <v>105678</v>
      </c>
      <c r="O34">
        <v>0</v>
      </c>
      <c r="P34">
        <v>105678</v>
      </c>
      <c r="Q34">
        <v>5562</v>
      </c>
      <c r="R34">
        <v>0</v>
      </c>
      <c r="S34">
        <v>0</v>
      </c>
      <c r="U34" s="219">
        <v>5562</v>
      </c>
      <c r="V34" s="219">
        <v>100116</v>
      </c>
      <c r="W34">
        <v>105678</v>
      </c>
      <c r="X34" s="219">
        <v>5562</v>
      </c>
    </row>
    <row r="35" spans="1:24">
      <c r="B35" t="s">
        <v>2490</v>
      </c>
      <c r="C35" s="219">
        <v>173250</v>
      </c>
      <c r="F35" s="219">
        <v>173250</v>
      </c>
      <c r="G35">
        <v>164587.5</v>
      </c>
      <c r="H35">
        <v>3650</v>
      </c>
      <c r="I35">
        <v>45.09</v>
      </c>
      <c r="J35" s="219">
        <v>82836.570000000007</v>
      </c>
      <c r="K35">
        <v>2005</v>
      </c>
      <c r="L35">
        <v>1644.93</v>
      </c>
      <c r="M35">
        <v>365</v>
      </c>
      <c r="N35" s="219">
        <v>90413.43</v>
      </c>
      <c r="O35" s="219">
        <v>16458.75</v>
      </c>
      <c r="P35">
        <v>106872.18</v>
      </c>
      <c r="Q35">
        <v>66377.820000000007</v>
      </c>
      <c r="R35">
        <v>1</v>
      </c>
      <c r="S35">
        <v>1</v>
      </c>
      <c r="U35" s="219">
        <v>8662.5</v>
      </c>
      <c r="V35" s="219">
        <v>81750.929999999993</v>
      </c>
      <c r="W35">
        <v>164587.5</v>
      </c>
      <c r="X35" s="219">
        <v>8662.5</v>
      </c>
    </row>
    <row r="36" spans="1:24">
      <c r="B36" t="s">
        <v>2491</v>
      </c>
      <c r="C36" s="219">
        <v>47463</v>
      </c>
      <c r="F36" s="219">
        <v>47463</v>
      </c>
      <c r="G36">
        <v>45089.85</v>
      </c>
      <c r="H36">
        <v>3650</v>
      </c>
      <c r="I36">
        <v>12.35</v>
      </c>
      <c r="J36" s="219">
        <v>4363.09</v>
      </c>
      <c r="K36">
        <v>3489</v>
      </c>
      <c r="L36">
        <v>161.08000000000001</v>
      </c>
      <c r="M36">
        <v>365</v>
      </c>
      <c r="N36" s="219">
        <v>43099.92</v>
      </c>
      <c r="O36">
        <v>0</v>
      </c>
      <c r="P36">
        <v>43099.92</v>
      </c>
      <c r="Q36">
        <v>4363.09</v>
      </c>
      <c r="R36">
        <v>0</v>
      </c>
      <c r="S36">
        <v>1</v>
      </c>
      <c r="U36" s="219">
        <v>2373.15</v>
      </c>
      <c r="V36" s="219">
        <v>40726.769999999997</v>
      </c>
      <c r="W36">
        <v>45089.85</v>
      </c>
      <c r="X36" s="219">
        <v>2373.15</v>
      </c>
    </row>
    <row r="37" spans="1:24">
      <c r="B37" t="s">
        <v>2492</v>
      </c>
      <c r="C37" s="219">
        <v>30320</v>
      </c>
      <c r="F37" s="219">
        <v>30320</v>
      </c>
      <c r="G37">
        <v>28804</v>
      </c>
      <c r="H37">
        <v>3650</v>
      </c>
      <c r="I37">
        <v>7.89</v>
      </c>
      <c r="J37" s="219">
        <v>1516</v>
      </c>
      <c r="K37">
        <v>3650</v>
      </c>
      <c r="L37">
        <v>0</v>
      </c>
      <c r="M37">
        <v>365</v>
      </c>
      <c r="N37" s="219">
        <v>28804</v>
      </c>
      <c r="O37">
        <v>0</v>
      </c>
      <c r="P37">
        <v>28804</v>
      </c>
      <c r="Q37">
        <v>1516</v>
      </c>
      <c r="R37">
        <v>0</v>
      </c>
      <c r="S37">
        <v>0</v>
      </c>
      <c r="U37" s="219">
        <v>1516</v>
      </c>
      <c r="V37" s="219">
        <v>27288</v>
      </c>
      <c r="W37">
        <v>28804</v>
      </c>
      <c r="X37" s="219">
        <v>1516</v>
      </c>
    </row>
    <row r="38" spans="1:24">
      <c r="A38" s="218">
        <v>43133</v>
      </c>
      <c r="B38" t="s">
        <v>2493</v>
      </c>
      <c r="C38" s="219">
        <v>32948.589999999997</v>
      </c>
      <c r="F38" s="219">
        <v>32948.589999999997</v>
      </c>
      <c r="G38">
        <v>31301.160500000002</v>
      </c>
      <c r="H38">
        <v>1825</v>
      </c>
      <c r="I38">
        <v>17.149999999999999</v>
      </c>
      <c r="J38" s="219">
        <v>19433.349999999999</v>
      </c>
      <c r="K38">
        <v>788</v>
      </c>
      <c r="L38">
        <v>1037</v>
      </c>
      <c r="M38">
        <v>365</v>
      </c>
      <c r="N38" s="219">
        <v>13515.24</v>
      </c>
      <c r="O38" s="219">
        <v>6260.23</v>
      </c>
      <c r="P38">
        <v>19775.47</v>
      </c>
      <c r="Q38">
        <v>13173.12</v>
      </c>
      <c r="R38">
        <v>1</v>
      </c>
      <c r="S38">
        <v>1</v>
      </c>
      <c r="U38" s="219">
        <v>1647.43</v>
      </c>
      <c r="V38" s="219">
        <v>11867.81</v>
      </c>
      <c r="W38">
        <v>31301.160500000002</v>
      </c>
      <c r="X38" s="219">
        <v>1647.43</v>
      </c>
    </row>
    <row r="39" spans="1:24">
      <c r="B39" t="s">
        <v>2494</v>
      </c>
      <c r="C39" s="219">
        <v>12450</v>
      </c>
      <c r="F39" s="219">
        <v>12450</v>
      </c>
      <c r="G39">
        <v>11827.5</v>
      </c>
      <c r="H39">
        <v>5475</v>
      </c>
      <c r="I39">
        <v>2.16</v>
      </c>
      <c r="J39">
        <v>597.77</v>
      </c>
      <c r="K39">
        <v>5486</v>
      </c>
      <c r="L39">
        <v>0</v>
      </c>
      <c r="M39">
        <v>365</v>
      </c>
      <c r="N39" s="219">
        <v>11852.23</v>
      </c>
      <c r="O39">
        <v>0</v>
      </c>
      <c r="P39">
        <v>11852.23</v>
      </c>
      <c r="Q39">
        <v>597.77</v>
      </c>
      <c r="R39">
        <v>0</v>
      </c>
      <c r="S39">
        <v>0</v>
      </c>
      <c r="U39">
        <v>622.5</v>
      </c>
      <c r="V39" s="219">
        <v>11229.73</v>
      </c>
      <c r="W39">
        <v>11827.5</v>
      </c>
      <c r="X39">
        <v>622.5</v>
      </c>
    </row>
    <row r="40" spans="1:24">
      <c r="A40" s="218">
        <v>42185</v>
      </c>
      <c r="B40" t="s">
        <v>2494</v>
      </c>
      <c r="C40" s="219">
        <v>6797</v>
      </c>
      <c r="F40" s="219">
        <v>6797</v>
      </c>
      <c r="G40">
        <v>6457.15</v>
      </c>
      <c r="H40">
        <v>5475</v>
      </c>
      <c r="I40">
        <v>1.18</v>
      </c>
      <c r="J40" s="219">
        <v>4156.3500000000004</v>
      </c>
      <c r="K40">
        <v>2239</v>
      </c>
      <c r="L40">
        <v>3236</v>
      </c>
      <c r="M40">
        <v>365</v>
      </c>
      <c r="N40" s="219">
        <v>2640.65</v>
      </c>
      <c r="O40">
        <v>430.48</v>
      </c>
      <c r="P40">
        <v>3071.12</v>
      </c>
      <c r="Q40">
        <v>3725.88</v>
      </c>
      <c r="R40">
        <v>1</v>
      </c>
      <c r="S40">
        <v>1</v>
      </c>
      <c r="U40">
        <v>339.85</v>
      </c>
      <c r="V40" s="219">
        <v>2300.8000000000002</v>
      </c>
      <c r="W40">
        <v>6457.15</v>
      </c>
      <c r="X40">
        <v>339.85</v>
      </c>
    </row>
    <row r="41" spans="1:24">
      <c r="A41" s="218">
        <v>43166</v>
      </c>
      <c r="B41" t="s">
        <v>2494</v>
      </c>
      <c r="C41" s="219">
        <v>3300</v>
      </c>
      <c r="F41" s="219">
        <v>3300</v>
      </c>
      <c r="G41">
        <v>3135</v>
      </c>
      <c r="H41">
        <v>5475</v>
      </c>
      <c r="I41">
        <v>0.56999999999999995</v>
      </c>
      <c r="J41" s="219">
        <v>2860.53</v>
      </c>
      <c r="K41">
        <v>767</v>
      </c>
      <c r="L41">
        <v>4707.5</v>
      </c>
      <c r="M41">
        <v>365</v>
      </c>
      <c r="N41">
        <v>439.47</v>
      </c>
      <c r="O41">
        <v>209</v>
      </c>
      <c r="P41">
        <v>648.47</v>
      </c>
      <c r="Q41">
        <v>2651.53</v>
      </c>
      <c r="R41">
        <v>1</v>
      </c>
      <c r="S41">
        <v>1</v>
      </c>
      <c r="U41">
        <v>165</v>
      </c>
      <c r="V41">
        <v>274.47000000000003</v>
      </c>
      <c r="W41">
        <v>3135</v>
      </c>
      <c r="X41">
        <v>165</v>
      </c>
    </row>
    <row r="42" spans="1:24">
      <c r="B42" t="s">
        <v>2495</v>
      </c>
      <c r="C42" s="219">
        <v>369096</v>
      </c>
      <c r="F42" s="219">
        <v>369096</v>
      </c>
      <c r="G42">
        <v>350641.2</v>
      </c>
      <c r="H42">
        <v>1825</v>
      </c>
      <c r="I42">
        <v>192.13</v>
      </c>
      <c r="J42" s="219">
        <v>17576</v>
      </c>
      <c r="K42">
        <v>1830</v>
      </c>
      <c r="L42">
        <v>0</v>
      </c>
      <c r="M42">
        <v>365</v>
      </c>
      <c r="N42" s="219">
        <v>351520</v>
      </c>
      <c r="O42">
        <v>0</v>
      </c>
      <c r="P42">
        <v>351520</v>
      </c>
      <c r="Q42">
        <v>17576</v>
      </c>
      <c r="R42">
        <v>0</v>
      </c>
      <c r="S42">
        <v>0</v>
      </c>
      <c r="U42" s="219">
        <v>18454.8</v>
      </c>
      <c r="V42" s="219">
        <v>333065.2</v>
      </c>
      <c r="W42">
        <v>350641.2</v>
      </c>
      <c r="X42" s="219">
        <v>18454.8</v>
      </c>
    </row>
    <row r="43" spans="1:24">
      <c r="B43" t="s">
        <v>2496</v>
      </c>
      <c r="C43" s="219">
        <v>15233.4</v>
      </c>
      <c r="F43" s="219">
        <v>15233.4</v>
      </c>
      <c r="G43">
        <v>14471.73</v>
      </c>
      <c r="H43">
        <v>1095</v>
      </c>
      <c r="I43">
        <v>13.22</v>
      </c>
      <c r="J43">
        <v>725.4</v>
      </c>
      <c r="K43">
        <v>1098</v>
      </c>
      <c r="L43">
        <v>0</v>
      </c>
      <c r="M43">
        <v>365</v>
      </c>
      <c r="N43" s="219">
        <v>14508</v>
      </c>
      <c r="O43">
        <v>0</v>
      </c>
      <c r="P43">
        <v>14508</v>
      </c>
      <c r="Q43">
        <v>725.4</v>
      </c>
      <c r="R43">
        <v>0</v>
      </c>
      <c r="S43">
        <v>0</v>
      </c>
      <c r="U43">
        <v>761.67</v>
      </c>
      <c r="V43" s="219">
        <v>13746.33</v>
      </c>
      <c r="W43">
        <v>14471.73</v>
      </c>
      <c r="X43">
        <v>761.67</v>
      </c>
    </row>
    <row r="44" spans="1:24">
      <c r="B44" t="s">
        <v>2497</v>
      </c>
      <c r="C44" s="219">
        <v>49791</v>
      </c>
      <c r="F44" s="219">
        <v>49791</v>
      </c>
      <c r="G44">
        <v>47301.45</v>
      </c>
      <c r="H44">
        <v>1095</v>
      </c>
      <c r="I44">
        <v>43.2</v>
      </c>
      <c r="J44" s="219">
        <v>2371</v>
      </c>
      <c r="K44">
        <v>1098</v>
      </c>
      <c r="L44">
        <v>0</v>
      </c>
      <c r="M44">
        <v>365</v>
      </c>
      <c r="N44" s="219">
        <v>47420</v>
      </c>
      <c r="O44">
        <v>0</v>
      </c>
      <c r="P44">
        <v>47420</v>
      </c>
      <c r="Q44">
        <v>2371</v>
      </c>
      <c r="R44">
        <v>0</v>
      </c>
      <c r="S44">
        <v>0</v>
      </c>
      <c r="U44" s="219">
        <v>2489.5500000000002</v>
      </c>
      <c r="V44" s="219">
        <v>44930.45</v>
      </c>
      <c r="W44">
        <v>47301.45</v>
      </c>
      <c r="X44" s="219">
        <v>2489.5500000000002</v>
      </c>
    </row>
    <row r="45" spans="1:24">
      <c r="B45" t="s">
        <v>2498</v>
      </c>
      <c r="C45" s="219">
        <v>18113</v>
      </c>
      <c r="F45" s="219">
        <v>18113</v>
      </c>
      <c r="G45">
        <v>17207.349999999999</v>
      </c>
      <c r="H45">
        <v>3650</v>
      </c>
      <c r="I45">
        <v>4.71</v>
      </c>
      <c r="J45" s="219">
        <v>12024.26</v>
      </c>
      <c r="K45">
        <v>1292</v>
      </c>
      <c r="L45">
        <v>2358.46</v>
      </c>
      <c r="M45">
        <v>365</v>
      </c>
      <c r="N45" s="219">
        <v>6088.75</v>
      </c>
      <c r="O45" s="219">
        <v>1720.74</v>
      </c>
      <c r="P45">
        <v>7809.48</v>
      </c>
      <c r="Q45">
        <v>10303.52</v>
      </c>
      <c r="R45">
        <v>1</v>
      </c>
      <c r="S45">
        <v>1</v>
      </c>
      <c r="U45">
        <v>905.65</v>
      </c>
      <c r="V45" s="219">
        <v>5183.1000000000004</v>
      </c>
      <c r="W45">
        <v>17207.349999999999</v>
      </c>
      <c r="X45">
        <v>905.65</v>
      </c>
    </row>
    <row r="46" spans="1:24">
      <c r="A46" s="218">
        <v>42643</v>
      </c>
      <c r="B46" t="s">
        <v>2498</v>
      </c>
      <c r="C46" s="219">
        <v>18002</v>
      </c>
      <c r="F46" s="219">
        <v>18002</v>
      </c>
      <c r="G46">
        <v>17101.900000000001</v>
      </c>
      <c r="H46">
        <v>3650</v>
      </c>
      <c r="I46">
        <v>4.6900000000000004</v>
      </c>
      <c r="J46" s="219">
        <v>12013.99</v>
      </c>
      <c r="K46">
        <v>1278</v>
      </c>
      <c r="L46">
        <v>2372</v>
      </c>
      <c r="M46">
        <v>365</v>
      </c>
      <c r="N46" s="219">
        <v>5988.01</v>
      </c>
      <c r="O46" s="219">
        <v>1710.19</v>
      </c>
      <c r="P46">
        <v>7698.2</v>
      </c>
      <c r="Q46">
        <v>10303.799999999999</v>
      </c>
      <c r="R46">
        <v>1</v>
      </c>
      <c r="S46">
        <v>1</v>
      </c>
      <c r="U46">
        <v>900.1</v>
      </c>
      <c r="V46" s="219">
        <v>5087.91</v>
      </c>
      <c r="W46">
        <v>17101.900000000001</v>
      </c>
      <c r="X46">
        <v>900.1</v>
      </c>
    </row>
    <row r="47" spans="1:24">
      <c r="B47" t="s">
        <v>2499</v>
      </c>
      <c r="C47" s="219">
        <v>17400</v>
      </c>
      <c r="F47" s="219">
        <v>17400</v>
      </c>
      <c r="G47">
        <v>16530</v>
      </c>
      <c r="H47">
        <v>5475</v>
      </c>
      <c r="I47">
        <v>3.02</v>
      </c>
      <c r="J47" s="219">
        <v>12652.92</v>
      </c>
      <c r="K47">
        <v>1572</v>
      </c>
      <c r="L47">
        <v>3902.69</v>
      </c>
      <c r="M47">
        <v>365</v>
      </c>
      <c r="N47" s="219">
        <v>4747.08</v>
      </c>
      <c r="O47" s="219">
        <v>1102</v>
      </c>
      <c r="P47">
        <v>5849.08</v>
      </c>
      <c r="Q47">
        <v>11550.92</v>
      </c>
      <c r="R47">
        <v>1</v>
      </c>
      <c r="S47">
        <v>1</v>
      </c>
      <c r="U47">
        <v>870</v>
      </c>
      <c r="V47" s="219">
        <v>3877.08</v>
      </c>
      <c r="W47">
        <v>16530</v>
      </c>
      <c r="X47">
        <v>870</v>
      </c>
    </row>
    <row r="48" spans="1:24">
      <c r="B48" t="s">
        <v>2500</v>
      </c>
      <c r="C48" s="219">
        <v>99687</v>
      </c>
      <c r="F48" s="219">
        <v>99687</v>
      </c>
      <c r="G48">
        <v>94702.65</v>
      </c>
      <c r="H48">
        <v>5475</v>
      </c>
      <c r="I48">
        <v>17.3</v>
      </c>
      <c r="J48" s="219">
        <v>34835.31</v>
      </c>
      <c r="K48">
        <v>3749</v>
      </c>
      <c r="L48">
        <v>1725.76</v>
      </c>
      <c r="M48">
        <v>365</v>
      </c>
      <c r="N48" s="219">
        <v>64851.69</v>
      </c>
      <c r="O48" s="219">
        <v>6313.51</v>
      </c>
      <c r="P48">
        <v>71165.2</v>
      </c>
      <c r="Q48">
        <v>28521.8</v>
      </c>
      <c r="R48">
        <v>1</v>
      </c>
      <c r="S48">
        <v>1</v>
      </c>
      <c r="U48" s="219">
        <v>4984.3500000000004</v>
      </c>
      <c r="V48" s="219">
        <v>59867.34</v>
      </c>
      <c r="W48">
        <v>94702.65</v>
      </c>
      <c r="X48" s="219">
        <v>4984.3500000000004</v>
      </c>
    </row>
    <row r="49" spans="1:24">
      <c r="B49" t="s">
        <v>1131</v>
      </c>
      <c r="C49" s="219">
        <v>472653.32</v>
      </c>
      <c r="F49" s="219">
        <v>472653.32</v>
      </c>
      <c r="G49">
        <v>449020.65399999998</v>
      </c>
      <c r="H49">
        <v>1095</v>
      </c>
      <c r="I49">
        <v>410.06</v>
      </c>
      <c r="J49" s="219">
        <v>15912.59</v>
      </c>
      <c r="K49">
        <v>1114</v>
      </c>
      <c r="L49">
        <v>-18.829999999999998</v>
      </c>
      <c r="M49">
        <v>365</v>
      </c>
      <c r="N49" s="219">
        <v>456740.73</v>
      </c>
      <c r="O49">
        <v>0</v>
      </c>
      <c r="P49">
        <v>456740.73</v>
      </c>
      <c r="Q49">
        <v>15912.59</v>
      </c>
      <c r="R49">
        <v>0</v>
      </c>
      <c r="S49">
        <v>0</v>
      </c>
      <c r="U49" s="219">
        <v>23632.67</v>
      </c>
      <c r="V49" s="219">
        <v>433108.06</v>
      </c>
      <c r="W49">
        <v>449020.65399999998</v>
      </c>
      <c r="X49" s="219">
        <v>23632.67</v>
      </c>
    </row>
    <row r="50" spans="1:24">
      <c r="A50" s="218">
        <v>42992</v>
      </c>
      <c r="B50" t="s">
        <v>1131</v>
      </c>
      <c r="C50" s="219">
        <v>23503.9</v>
      </c>
      <c r="F50" s="219">
        <v>23503.9</v>
      </c>
      <c r="G50">
        <v>22328.705000000002</v>
      </c>
      <c r="H50">
        <v>1095</v>
      </c>
      <c r="I50">
        <v>20.39</v>
      </c>
      <c r="J50" s="219">
        <v>4560.1899999999996</v>
      </c>
      <c r="K50">
        <v>929</v>
      </c>
      <c r="L50">
        <v>166</v>
      </c>
      <c r="M50">
        <v>365</v>
      </c>
      <c r="N50" s="219">
        <v>18943.71</v>
      </c>
      <c r="O50">
        <v>0</v>
      </c>
      <c r="P50">
        <v>18943.71</v>
      </c>
      <c r="Q50">
        <v>4560.1899999999996</v>
      </c>
      <c r="R50">
        <v>0</v>
      </c>
      <c r="S50">
        <v>1</v>
      </c>
      <c r="U50" s="219">
        <v>1175.2</v>
      </c>
      <c r="V50" s="219">
        <v>17768.52</v>
      </c>
      <c r="W50">
        <v>22328.705000000002</v>
      </c>
      <c r="X50" s="219">
        <v>1175.2</v>
      </c>
    </row>
    <row r="51" spans="1:24">
      <c r="A51" s="218">
        <v>43546</v>
      </c>
      <c r="B51" t="s">
        <v>2467</v>
      </c>
      <c r="C51" s="219">
        <v>28000</v>
      </c>
      <c r="F51" s="219">
        <v>28000</v>
      </c>
      <c r="G51">
        <v>26600</v>
      </c>
      <c r="H51">
        <v>5475</v>
      </c>
      <c r="I51">
        <v>4.8600000000000003</v>
      </c>
      <c r="J51">
        <v>26178.086670000001</v>
      </c>
      <c r="K51">
        <v>375</v>
      </c>
      <c r="L51">
        <v>5100</v>
      </c>
      <c r="M51">
        <v>365</v>
      </c>
      <c r="N51" s="219">
        <v>1821.91</v>
      </c>
      <c r="O51" s="219">
        <v>1773.33</v>
      </c>
      <c r="P51">
        <v>3595.25</v>
      </c>
      <c r="Q51">
        <v>24404.75</v>
      </c>
      <c r="R51">
        <v>1</v>
      </c>
      <c r="S51">
        <v>1</v>
      </c>
      <c r="U51" s="219">
        <v>1400</v>
      </c>
      <c r="V51">
        <v>421.91</v>
      </c>
      <c r="W51">
        <v>26600</v>
      </c>
      <c r="X51" s="219">
        <v>1400</v>
      </c>
    </row>
    <row r="52" spans="1:24">
      <c r="A52" s="218">
        <v>43370</v>
      </c>
      <c r="B52" t="s">
        <v>2470</v>
      </c>
      <c r="C52" s="219">
        <v>36328</v>
      </c>
      <c r="F52" s="219">
        <v>36328</v>
      </c>
      <c r="G52">
        <v>34511.599999999999</v>
      </c>
      <c r="H52">
        <v>3650</v>
      </c>
      <c r="I52">
        <v>9.4600000000000009</v>
      </c>
      <c r="J52">
        <v>31118.17</v>
      </c>
      <c r="K52">
        <v>551</v>
      </c>
      <c r="L52">
        <v>3099</v>
      </c>
      <c r="M52">
        <v>365</v>
      </c>
      <c r="N52" s="219">
        <v>5209.83</v>
      </c>
      <c r="O52" s="219">
        <v>3451.16</v>
      </c>
      <c r="P52">
        <v>8660.99</v>
      </c>
      <c r="Q52">
        <v>27667.01</v>
      </c>
      <c r="R52">
        <v>1</v>
      </c>
      <c r="S52">
        <v>1</v>
      </c>
      <c r="U52" s="219">
        <v>1816.4</v>
      </c>
      <c r="V52" s="219">
        <v>3393.43</v>
      </c>
      <c r="W52">
        <v>34511.599999999999</v>
      </c>
      <c r="X52" s="219">
        <v>1816.4</v>
      </c>
    </row>
    <row r="53" spans="1:24">
      <c r="A53" s="218">
        <v>43340</v>
      </c>
      <c r="B53" t="s">
        <v>1131</v>
      </c>
      <c r="C53" s="219">
        <v>19915.25</v>
      </c>
      <c r="F53" s="219">
        <v>19915.25</v>
      </c>
      <c r="G53">
        <v>18919.487499999999</v>
      </c>
      <c r="H53">
        <v>1095</v>
      </c>
      <c r="I53">
        <v>17.28</v>
      </c>
      <c r="J53">
        <v>9876.6941669999997</v>
      </c>
      <c r="K53">
        <v>581</v>
      </c>
      <c r="L53">
        <v>514</v>
      </c>
      <c r="M53">
        <v>365</v>
      </c>
      <c r="N53" s="219">
        <v>10038.56</v>
      </c>
      <c r="O53" s="219">
        <v>6306.5</v>
      </c>
      <c r="P53">
        <v>16345.05</v>
      </c>
      <c r="Q53">
        <v>3570.2</v>
      </c>
      <c r="R53">
        <v>1</v>
      </c>
      <c r="S53">
        <v>1</v>
      </c>
      <c r="U53">
        <v>995.76</v>
      </c>
      <c r="V53" s="219">
        <v>9042.7900000000009</v>
      </c>
      <c r="W53">
        <v>18919.487499999999</v>
      </c>
      <c r="X53">
        <v>995.76</v>
      </c>
    </row>
    <row r="54" spans="1:24">
      <c r="A54" s="218">
        <v>43329</v>
      </c>
      <c r="B54" t="s">
        <v>2501</v>
      </c>
      <c r="C54" s="219">
        <v>1372187.5</v>
      </c>
      <c r="F54" s="219">
        <v>1372187.5</v>
      </c>
      <c r="G54">
        <v>1303578.125</v>
      </c>
      <c r="H54">
        <v>2920</v>
      </c>
      <c r="I54">
        <v>446.43</v>
      </c>
      <c r="J54">
        <v>1107900.4240000001</v>
      </c>
      <c r="K54">
        <v>592</v>
      </c>
      <c r="L54">
        <v>2328</v>
      </c>
      <c r="M54">
        <v>365</v>
      </c>
      <c r="N54" s="219">
        <v>264287.08</v>
      </c>
      <c r="O54" s="219">
        <v>162947.26999999999</v>
      </c>
      <c r="P54">
        <v>427234.34</v>
      </c>
      <c r="Q54">
        <v>944953.16</v>
      </c>
      <c r="R54">
        <v>1</v>
      </c>
      <c r="S54">
        <v>1</v>
      </c>
      <c r="U54" s="219">
        <v>68609.38</v>
      </c>
      <c r="V54" s="219">
        <v>195677.7</v>
      </c>
      <c r="W54">
        <v>1303578.125</v>
      </c>
      <c r="X54" s="219">
        <v>68609.38</v>
      </c>
    </row>
    <row r="55" spans="1:24">
      <c r="A55" s="218">
        <v>43340</v>
      </c>
      <c r="B55" t="s">
        <v>2502</v>
      </c>
      <c r="C55" s="219">
        <v>10402.540000000001</v>
      </c>
      <c r="F55" s="219">
        <v>10402.540000000001</v>
      </c>
      <c r="G55">
        <v>9882.4130000000005</v>
      </c>
      <c r="H55">
        <v>1095</v>
      </c>
      <c r="I55">
        <v>9.0299999999999994</v>
      </c>
      <c r="J55">
        <v>5158.9923330000001</v>
      </c>
      <c r="K55">
        <v>581</v>
      </c>
      <c r="L55">
        <v>514</v>
      </c>
      <c r="M55">
        <v>365</v>
      </c>
      <c r="N55" s="219">
        <v>5243.55</v>
      </c>
      <c r="O55" s="219">
        <v>3294.14</v>
      </c>
      <c r="P55">
        <v>8537.69</v>
      </c>
      <c r="Q55">
        <v>1864.85</v>
      </c>
      <c r="R55">
        <v>1</v>
      </c>
      <c r="S55">
        <v>1</v>
      </c>
      <c r="U55">
        <v>520.13</v>
      </c>
      <c r="V55" s="219">
        <v>4723.42</v>
      </c>
      <c r="W55">
        <v>9882.4130000000005</v>
      </c>
      <c r="X55">
        <v>520.13</v>
      </c>
    </row>
    <row r="56" spans="1:24">
      <c r="A56" s="218">
        <v>43372</v>
      </c>
      <c r="B56" t="s">
        <v>2499</v>
      </c>
      <c r="C56" s="219">
        <v>11250</v>
      </c>
      <c r="F56" s="219">
        <v>11250</v>
      </c>
      <c r="G56">
        <v>10687.5</v>
      </c>
      <c r="H56">
        <v>5475</v>
      </c>
      <c r="I56">
        <v>1.95</v>
      </c>
      <c r="J56">
        <v>10178.32</v>
      </c>
      <c r="K56">
        <v>549</v>
      </c>
      <c r="L56">
        <v>4926</v>
      </c>
      <c r="M56">
        <v>365</v>
      </c>
      <c r="N56" s="219">
        <v>1071.68</v>
      </c>
      <c r="O56">
        <v>712.5</v>
      </c>
      <c r="P56">
        <v>1784.18</v>
      </c>
      <c r="Q56">
        <v>9465.82</v>
      </c>
      <c r="R56">
        <v>1</v>
      </c>
      <c r="S56">
        <v>1</v>
      </c>
      <c r="U56">
        <v>562.5</v>
      </c>
      <c r="V56">
        <v>509.18</v>
      </c>
      <c r="W56">
        <v>10687.5</v>
      </c>
      <c r="X56">
        <v>562.5</v>
      </c>
    </row>
    <row r="57" spans="1:24">
      <c r="A57" s="218">
        <v>43372</v>
      </c>
      <c r="B57" t="s">
        <v>2486</v>
      </c>
      <c r="C57" s="219">
        <v>14746</v>
      </c>
      <c r="F57" s="219">
        <v>14746</v>
      </c>
      <c r="G57">
        <v>14008.7</v>
      </c>
      <c r="H57">
        <v>1825</v>
      </c>
      <c r="I57">
        <v>7.68</v>
      </c>
      <c r="J57">
        <v>10531.88</v>
      </c>
      <c r="K57">
        <v>549</v>
      </c>
      <c r="L57">
        <v>1276</v>
      </c>
      <c r="M57">
        <v>365</v>
      </c>
      <c r="N57" s="219">
        <v>4214.12</v>
      </c>
      <c r="O57" s="219">
        <v>2801.74</v>
      </c>
      <c r="P57">
        <v>7015.86</v>
      </c>
      <c r="Q57">
        <v>7730.14</v>
      </c>
      <c r="R57">
        <v>1</v>
      </c>
      <c r="S57">
        <v>1</v>
      </c>
      <c r="U57">
        <v>737.3</v>
      </c>
      <c r="V57" s="219">
        <v>3476.82</v>
      </c>
      <c r="W57">
        <v>14008.7</v>
      </c>
      <c r="X57">
        <v>737.3</v>
      </c>
    </row>
    <row r="58" spans="1:24">
      <c r="A58" s="218">
        <v>43700</v>
      </c>
      <c r="B58" t="s">
        <v>1131</v>
      </c>
      <c r="C58">
        <v>10466.1</v>
      </c>
      <c r="F58" s="219">
        <v>10466.1</v>
      </c>
      <c r="G58">
        <v>9942.7950000000001</v>
      </c>
      <c r="H58">
        <v>1095</v>
      </c>
      <c r="I58">
        <v>9.08</v>
      </c>
      <c r="J58">
        <v>8450.3004660000006</v>
      </c>
      <c r="K58">
        <v>222</v>
      </c>
      <c r="L58">
        <v>873</v>
      </c>
      <c r="M58">
        <v>365</v>
      </c>
      <c r="N58" s="219">
        <v>2015.8</v>
      </c>
      <c r="O58" s="219">
        <v>3314.27</v>
      </c>
      <c r="P58">
        <v>5330.06</v>
      </c>
      <c r="Q58">
        <v>5136.04</v>
      </c>
      <c r="R58">
        <v>1</v>
      </c>
      <c r="S58">
        <v>1</v>
      </c>
      <c r="U58">
        <v>523.30999999999995</v>
      </c>
      <c r="V58" s="219">
        <v>1492.49</v>
      </c>
      <c r="W58">
        <v>9942.7950000000001</v>
      </c>
      <c r="X58">
        <v>523.30999999999995</v>
      </c>
    </row>
    <row r="59" spans="1:24">
      <c r="A59" s="218">
        <v>43626</v>
      </c>
      <c r="B59" t="s">
        <v>2468</v>
      </c>
      <c r="C59">
        <v>44000</v>
      </c>
      <c r="F59" s="219">
        <v>44000</v>
      </c>
      <c r="G59">
        <v>41800</v>
      </c>
      <c r="H59">
        <v>3650</v>
      </c>
      <c r="I59">
        <v>11.45</v>
      </c>
      <c r="J59">
        <v>40610.19</v>
      </c>
      <c r="K59">
        <v>296</v>
      </c>
      <c r="L59">
        <v>3354</v>
      </c>
      <c r="M59">
        <v>365</v>
      </c>
      <c r="N59" s="219">
        <v>3389.81</v>
      </c>
      <c r="O59" s="219">
        <v>4180</v>
      </c>
      <c r="P59">
        <v>7569.81</v>
      </c>
      <c r="Q59">
        <v>36430.19</v>
      </c>
      <c r="R59">
        <v>1</v>
      </c>
      <c r="S59">
        <v>1</v>
      </c>
      <c r="U59" s="219">
        <v>2200</v>
      </c>
      <c r="V59" s="219">
        <v>1189.81</v>
      </c>
      <c r="W59">
        <v>41800</v>
      </c>
      <c r="X59" s="219">
        <v>2200</v>
      </c>
    </row>
    <row r="60" spans="1:24">
      <c r="A60" s="218">
        <v>43906</v>
      </c>
      <c r="B60" t="s">
        <v>2494</v>
      </c>
      <c r="C60">
        <v>11600</v>
      </c>
      <c r="F60" s="219">
        <v>11600</v>
      </c>
      <c r="G60">
        <v>11020</v>
      </c>
      <c r="H60">
        <v>5475</v>
      </c>
      <c r="I60">
        <v>2.0099999999999998</v>
      </c>
      <c r="J60">
        <v>11567.79543</v>
      </c>
      <c r="K60">
        <v>16</v>
      </c>
      <c r="L60">
        <v>5459</v>
      </c>
      <c r="M60">
        <v>365</v>
      </c>
      <c r="N60">
        <v>32.200000000000003</v>
      </c>
      <c r="O60">
        <v>734.67</v>
      </c>
      <c r="P60">
        <v>766.87</v>
      </c>
      <c r="Q60">
        <v>10833.13</v>
      </c>
      <c r="R60">
        <v>1</v>
      </c>
      <c r="S60">
        <v>1</v>
      </c>
      <c r="U60">
        <v>580</v>
      </c>
      <c r="V60">
        <v>-547.79999999999995</v>
      </c>
      <c r="W60">
        <v>11020</v>
      </c>
      <c r="X60">
        <v>580</v>
      </c>
    </row>
    <row r="61" spans="1:24">
      <c r="A61" s="218">
        <v>43855</v>
      </c>
      <c r="B61" t="s">
        <v>2470</v>
      </c>
      <c r="C61">
        <v>24218.75</v>
      </c>
      <c r="F61" s="219">
        <v>24218.75</v>
      </c>
      <c r="G61">
        <v>23007.8125</v>
      </c>
      <c r="H61">
        <v>3650</v>
      </c>
      <c r="I61">
        <v>6.3</v>
      </c>
      <c r="J61">
        <v>23796.414809999998</v>
      </c>
      <c r="K61">
        <v>67</v>
      </c>
      <c r="L61">
        <v>3583</v>
      </c>
      <c r="M61">
        <v>365</v>
      </c>
      <c r="N61">
        <v>422.34</v>
      </c>
      <c r="O61" s="219">
        <v>2300.7800000000002</v>
      </c>
      <c r="P61">
        <v>2723.12</v>
      </c>
      <c r="Q61">
        <v>21495.63</v>
      </c>
      <c r="R61">
        <v>1</v>
      </c>
      <c r="S61">
        <v>1</v>
      </c>
      <c r="U61" s="219">
        <v>1210.94</v>
      </c>
      <c r="V61">
        <v>-788.6</v>
      </c>
      <c r="W61">
        <v>23007.8125</v>
      </c>
      <c r="X61" s="219">
        <v>1210.94</v>
      </c>
    </row>
    <row r="62" spans="1:24">
      <c r="A62" s="218">
        <v>43780</v>
      </c>
      <c r="B62" t="s">
        <v>2472</v>
      </c>
      <c r="C62">
        <v>157751</v>
      </c>
      <c r="F62" s="219">
        <v>157751</v>
      </c>
      <c r="G62">
        <v>149863.45000000001</v>
      </c>
      <c r="H62">
        <v>1825</v>
      </c>
      <c r="I62">
        <v>82.12</v>
      </c>
      <c r="J62">
        <v>146090.39180000001</v>
      </c>
      <c r="K62">
        <v>142</v>
      </c>
      <c r="L62">
        <v>1683</v>
      </c>
      <c r="M62">
        <v>365</v>
      </c>
      <c r="N62" s="219">
        <v>11660.61</v>
      </c>
      <c r="O62" s="219">
        <v>29972.69</v>
      </c>
      <c r="P62">
        <v>41633.300000000003</v>
      </c>
      <c r="Q62">
        <v>116117.7</v>
      </c>
      <c r="R62">
        <v>1</v>
      </c>
      <c r="S62">
        <v>1</v>
      </c>
      <c r="U62" s="219">
        <v>7887.55</v>
      </c>
      <c r="V62" s="219">
        <v>3773.06</v>
      </c>
      <c r="W62">
        <v>149863.45000000001</v>
      </c>
      <c r="X62" s="219">
        <v>7887.55</v>
      </c>
    </row>
    <row r="63" spans="1:24">
      <c r="A63" s="218">
        <v>43763</v>
      </c>
      <c r="B63" t="s">
        <v>2503</v>
      </c>
      <c r="C63">
        <v>74152.570000000007</v>
      </c>
      <c r="F63" s="219">
        <v>74152.570000000007</v>
      </c>
      <c r="G63">
        <v>70444.941500000001</v>
      </c>
      <c r="H63">
        <v>1825</v>
      </c>
      <c r="I63">
        <v>38.6</v>
      </c>
      <c r="J63">
        <v>67436.175579999996</v>
      </c>
      <c r="K63">
        <v>174</v>
      </c>
      <c r="L63">
        <v>1651</v>
      </c>
      <c r="M63">
        <v>365</v>
      </c>
      <c r="N63" s="219">
        <v>6716.39</v>
      </c>
      <c r="O63" s="219">
        <v>14088.99</v>
      </c>
      <c r="P63">
        <v>20805.38</v>
      </c>
      <c r="Q63">
        <v>53347.19</v>
      </c>
      <c r="R63">
        <v>1</v>
      </c>
      <c r="S63">
        <v>1</v>
      </c>
      <c r="U63" s="219">
        <v>3707.63</v>
      </c>
      <c r="V63" s="219">
        <v>3008.77</v>
      </c>
      <c r="W63">
        <v>70444.941500000001</v>
      </c>
      <c r="X63" s="219">
        <v>3707.63</v>
      </c>
    </row>
    <row r="64" spans="1:24">
      <c r="A64" s="218">
        <v>43777</v>
      </c>
      <c r="B64" t="s">
        <v>2503</v>
      </c>
      <c r="C64">
        <v>444915</v>
      </c>
      <c r="F64" s="219">
        <v>444915</v>
      </c>
      <c r="G64">
        <v>422669.25</v>
      </c>
      <c r="H64">
        <v>1825</v>
      </c>
      <c r="I64">
        <v>231.6</v>
      </c>
      <c r="J64">
        <v>411333.05959999998</v>
      </c>
      <c r="K64">
        <v>145</v>
      </c>
      <c r="L64">
        <v>1680</v>
      </c>
      <c r="M64">
        <v>365</v>
      </c>
      <c r="N64" s="219">
        <v>33581.94</v>
      </c>
      <c r="O64" s="219">
        <v>84533.85</v>
      </c>
      <c r="P64">
        <v>118115.79</v>
      </c>
      <c r="Q64">
        <v>326799.21000000002</v>
      </c>
      <c r="R64">
        <v>1</v>
      </c>
      <c r="S64">
        <v>1</v>
      </c>
      <c r="U64" s="219">
        <v>22245.75</v>
      </c>
      <c r="V64" s="219">
        <v>11336.19</v>
      </c>
      <c r="W64">
        <v>422669.25</v>
      </c>
      <c r="X64" s="219">
        <v>22245.75</v>
      </c>
    </row>
    <row r="65" spans="1:24">
      <c r="A65" s="218">
        <v>43823</v>
      </c>
      <c r="B65" t="s">
        <v>2503</v>
      </c>
      <c r="C65">
        <v>148305.15</v>
      </c>
      <c r="F65" s="219">
        <v>148305.15</v>
      </c>
      <c r="G65">
        <v>140889.89249999999</v>
      </c>
      <c r="H65">
        <v>1825</v>
      </c>
      <c r="I65">
        <v>77.2</v>
      </c>
      <c r="J65">
        <v>140662.35579999999</v>
      </c>
      <c r="K65">
        <v>99</v>
      </c>
      <c r="L65">
        <v>1726</v>
      </c>
      <c r="M65">
        <v>365</v>
      </c>
      <c r="N65" s="219">
        <v>7642.79</v>
      </c>
      <c r="O65" s="219">
        <v>28177.98</v>
      </c>
      <c r="P65">
        <v>35820.769999999997</v>
      </c>
      <c r="Q65">
        <v>112484.38</v>
      </c>
      <c r="R65">
        <v>1</v>
      </c>
      <c r="S65">
        <v>1</v>
      </c>
      <c r="U65" s="219">
        <v>7415.26</v>
      </c>
      <c r="V65">
        <v>227.54</v>
      </c>
      <c r="W65">
        <v>140889.89249999999</v>
      </c>
      <c r="X65" s="219">
        <v>7415.26</v>
      </c>
    </row>
    <row r="66" spans="1:24">
      <c r="A66" s="218">
        <v>43921</v>
      </c>
      <c r="B66" t="s">
        <v>2503</v>
      </c>
      <c r="C66">
        <v>74152.58</v>
      </c>
      <c r="F66" s="219">
        <v>74152.58</v>
      </c>
      <c r="G66">
        <v>70444.951000000001</v>
      </c>
      <c r="H66">
        <v>1825</v>
      </c>
      <c r="I66">
        <v>38.6</v>
      </c>
      <c r="J66">
        <v>74113.980030000006</v>
      </c>
      <c r="K66">
        <v>1</v>
      </c>
      <c r="L66">
        <v>1824</v>
      </c>
      <c r="M66">
        <v>365</v>
      </c>
      <c r="N66">
        <v>38.6</v>
      </c>
      <c r="O66" s="219">
        <v>14088.99</v>
      </c>
      <c r="P66">
        <v>14127.59</v>
      </c>
      <c r="Q66">
        <v>60024.99</v>
      </c>
      <c r="R66">
        <v>1</v>
      </c>
      <c r="S66">
        <v>1</v>
      </c>
      <c r="U66" s="219">
        <v>3707.63</v>
      </c>
      <c r="V66" s="219">
        <v>-3669.03</v>
      </c>
      <c r="W66">
        <v>70444.951000000001</v>
      </c>
      <c r="X66" s="219">
        <v>3707.63</v>
      </c>
    </row>
    <row r="67" spans="1:24">
      <c r="A67" s="218">
        <v>43653</v>
      </c>
      <c r="B67" t="s">
        <v>2504</v>
      </c>
      <c r="C67">
        <v>11173.74</v>
      </c>
      <c r="F67" s="219">
        <v>11173.74</v>
      </c>
      <c r="G67">
        <v>10615.053</v>
      </c>
      <c r="H67">
        <v>3650</v>
      </c>
      <c r="I67">
        <v>2.91</v>
      </c>
      <c r="J67">
        <v>10391.425139999999</v>
      </c>
      <c r="K67">
        <v>269</v>
      </c>
      <c r="L67">
        <v>3381</v>
      </c>
      <c r="M67">
        <v>365</v>
      </c>
      <c r="N67">
        <v>782.31</v>
      </c>
      <c r="O67" s="219">
        <v>1061.51</v>
      </c>
      <c r="P67">
        <v>1843.82</v>
      </c>
      <c r="Q67">
        <v>9329.92</v>
      </c>
      <c r="R67">
        <v>1</v>
      </c>
      <c r="S67">
        <v>1</v>
      </c>
      <c r="U67">
        <v>558.69000000000005</v>
      </c>
      <c r="V67">
        <v>223.63</v>
      </c>
      <c r="W67">
        <v>10615.053</v>
      </c>
      <c r="X67">
        <v>558.69000000000005</v>
      </c>
    </row>
    <row r="68" spans="1:24">
      <c r="A68" s="218">
        <v>43705</v>
      </c>
      <c r="B68" t="s">
        <v>2504</v>
      </c>
      <c r="C68">
        <v>1372.04</v>
      </c>
      <c r="F68" s="219">
        <v>1372.04</v>
      </c>
      <c r="G68">
        <v>1303.4380000000001</v>
      </c>
      <c r="H68">
        <v>3650</v>
      </c>
      <c r="I68">
        <v>0.36</v>
      </c>
      <c r="J68">
        <v>1294.5479330000001</v>
      </c>
      <c r="K68">
        <v>217</v>
      </c>
      <c r="L68">
        <v>3433</v>
      </c>
      <c r="M68">
        <v>365</v>
      </c>
      <c r="N68">
        <v>77.489999999999995</v>
      </c>
      <c r="O68">
        <v>130.34</v>
      </c>
      <c r="P68">
        <v>207.84</v>
      </c>
      <c r="Q68">
        <v>1164.2</v>
      </c>
      <c r="R68">
        <v>1</v>
      </c>
      <c r="S68">
        <v>1</v>
      </c>
      <c r="U68">
        <v>68.599999999999994</v>
      </c>
      <c r="V68">
        <v>8.89</v>
      </c>
      <c r="W68">
        <v>1303.4380000000001</v>
      </c>
      <c r="X68">
        <v>68.599999999999994</v>
      </c>
    </row>
    <row r="69" spans="1:24">
      <c r="A69" s="218">
        <v>43741</v>
      </c>
      <c r="B69" t="s">
        <v>2504</v>
      </c>
      <c r="C69">
        <v>14177.96</v>
      </c>
      <c r="F69" s="219">
        <v>14177.96</v>
      </c>
      <c r="G69">
        <v>13469.062</v>
      </c>
      <c r="H69">
        <v>3650</v>
      </c>
      <c r="I69">
        <v>3.69</v>
      </c>
      <c r="J69">
        <v>13510.04213</v>
      </c>
      <c r="K69">
        <v>181</v>
      </c>
      <c r="L69">
        <v>3469</v>
      </c>
      <c r="M69">
        <v>365</v>
      </c>
      <c r="N69">
        <v>667.92</v>
      </c>
      <c r="O69" s="219">
        <v>1346.91</v>
      </c>
      <c r="P69">
        <v>2014.82</v>
      </c>
      <c r="Q69">
        <v>12163.14</v>
      </c>
      <c r="R69">
        <v>1</v>
      </c>
      <c r="S69">
        <v>1</v>
      </c>
      <c r="U69">
        <v>708.9</v>
      </c>
      <c r="V69">
        <v>-40.98</v>
      </c>
      <c r="W69">
        <v>13469.062</v>
      </c>
      <c r="X69">
        <v>708.9</v>
      </c>
    </row>
    <row r="70" spans="1:24">
      <c r="A70" s="218">
        <v>43778</v>
      </c>
      <c r="B70" t="s">
        <v>2504</v>
      </c>
      <c r="C70">
        <v>1361.86</v>
      </c>
      <c r="F70" s="219">
        <v>1361.86</v>
      </c>
      <c r="G70">
        <v>1293.7670000000001</v>
      </c>
      <c r="H70">
        <v>3650</v>
      </c>
      <c r="I70">
        <v>0.35</v>
      </c>
      <c r="J70">
        <v>1310.818233</v>
      </c>
      <c r="K70">
        <v>144</v>
      </c>
      <c r="L70">
        <v>3506</v>
      </c>
      <c r="M70">
        <v>365</v>
      </c>
      <c r="N70">
        <v>51.04</v>
      </c>
      <c r="O70">
        <v>129.38</v>
      </c>
      <c r="P70">
        <v>180.42</v>
      </c>
      <c r="Q70">
        <v>1181.44</v>
      </c>
      <c r="R70">
        <v>1</v>
      </c>
      <c r="S70">
        <v>1</v>
      </c>
      <c r="U70">
        <v>68.09</v>
      </c>
      <c r="V70">
        <v>-17.05</v>
      </c>
      <c r="W70">
        <v>1293.7670000000001</v>
      </c>
      <c r="X70">
        <v>68.09</v>
      </c>
    </row>
    <row r="71" spans="1:24">
      <c r="A71" s="218">
        <v>43649</v>
      </c>
      <c r="B71" t="s">
        <v>2505</v>
      </c>
      <c r="C71">
        <v>290670</v>
      </c>
      <c r="F71" s="219">
        <v>290670</v>
      </c>
      <c r="G71">
        <v>276136.5</v>
      </c>
      <c r="H71">
        <v>1095</v>
      </c>
      <c r="I71">
        <v>252.18</v>
      </c>
      <c r="J71">
        <v>221825.00959999999</v>
      </c>
      <c r="K71">
        <v>273</v>
      </c>
      <c r="L71">
        <v>822</v>
      </c>
      <c r="M71">
        <v>365</v>
      </c>
      <c r="N71" s="219">
        <v>68844.990000000005</v>
      </c>
      <c r="O71" s="219">
        <v>92045.5</v>
      </c>
      <c r="P71">
        <v>160890.49</v>
      </c>
      <c r="Q71">
        <v>129779.51</v>
      </c>
      <c r="R71">
        <v>1</v>
      </c>
      <c r="S71">
        <v>1</v>
      </c>
      <c r="U71" s="219">
        <v>14533.5</v>
      </c>
      <c r="V71" s="219">
        <v>54311.49</v>
      </c>
      <c r="W71">
        <v>276136.5</v>
      </c>
      <c r="X71" s="219">
        <v>14533.5</v>
      </c>
    </row>
    <row r="72" spans="1:24">
      <c r="A72" s="218">
        <v>43700</v>
      </c>
      <c r="B72" t="s">
        <v>2505</v>
      </c>
      <c r="C72">
        <v>5170</v>
      </c>
      <c r="F72" s="219">
        <v>5170</v>
      </c>
      <c r="G72">
        <v>4911.5</v>
      </c>
      <c r="H72">
        <v>1095</v>
      </c>
      <c r="I72">
        <v>4.49</v>
      </c>
      <c r="J72">
        <v>4174.2438359999996</v>
      </c>
      <c r="K72">
        <v>222</v>
      </c>
      <c r="L72">
        <v>873</v>
      </c>
      <c r="M72">
        <v>365</v>
      </c>
      <c r="N72">
        <v>995.76</v>
      </c>
      <c r="O72" s="219">
        <v>1637.17</v>
      </c>
      <c r="P72">
        <v>2632.92</v>
      </c>
      <c r="Q72">
        <v>2537.08</v>
      </c>
      <c r="R72">
        <v>1</v>
      </c>
      <c r="S72">
        <v>1</v>
      </c>
      <c r="U72">
        <v>258.5</v>
      </c>
      <c r="V72">
        <v>737.26</v>
      </c>
      <c r="W72">
        <v>4911.5</v>
      </c>
      <c r="X72">
        <v>258.5</v>
      </c>
    </row>
    <row r="73" spans="1:24">
      <c r="A73" s="218">
        <v>43855</v>
      </c>
      <c r="B73" t="s">
        <v>2505</v>
      </c>
      <c r="C73">
        <v>847.46</v>
      </c>
      <c r="F73">
        <v>847.46</v>
      </c>
      <c r="G73">
        <v>805.08699999999999</v>
      </c>
      <c r="H73">
        <v>1095</v>
      </c>
      <c r="I73">
        <v>0.74</v>
      </c>
      <c r="J73">
        <v>798.19896889999995</v>
      </c>
      <c r="K73">
        <v>67</v>
      </c>
      <c r="L73">
        <v>1028</v>
      </c>
      <c r="M73">
        <v>365</v>
      </c>
      <c r="N73">
        <v>49.26</v>
      </c>
      <c r="O73">
        <v>268.36</v>
      </c>
      <c r="P73">
        <v>317.62</v>
      </c>
      <c r="Q73">
        <v>529.84</v>
      </c>
      <c r="R73">
        <v>1</v>
      </c>
      <c r="S73">
        <v>1</v>
      </c>
      <c r="U73">
        <v>42.37</v>
      </c>
      <c r="V73">
        <v>6.89</v>
      </c>
      <c r="W73">
        <v>805.08699999999999</v>
      </c>
      <c r="X73">
        <v>42.37</v>
      </c>
    </row>
    <row r="74" spans="1:24">
      <c r="A74" s="218">
        <v>43700</v>
      </c>
      <c r="B74" t="s">
        <v>2506</v>
      </c>
      <c r="C74">
        <v>8196</v>
      </c>
      <c r="F74" s="219">
        <v>8196</v>
      </c>
      <c r="G74">
        <v>7786.2</v>
      </c>
      <c r="H74">
        <v>1095</v>
      </c>
      <c r="I74">
        <v>7.11</v>
      </c>
      <c r="J74">
        <v>6617.4279450000004</v>
      </c>
      <c r="K74">
        <v>222</v>
      </c>
      <c r="L74">
        <v>873</v>
      </c>
      <c r="M74">
        <v>365</v>
      </c>
      <c r="N74" s="219">
        <v>1578.57</v>
      </c>
      <c r="O74" s="219">
        <v>2595.4</v>
      </c>
      <c r="P74">
        <v>4173.97</v>
      </c>
      <c r="Q74">
        <v>4022.03</v>
      </c>
      <c r="R74">
        <v>1</v>
      </c>
      <c r="S74">
        <v>1</v>
      </c>
      <c r="U74">
        <v>409.8</v>
      </c>
      <c r="V74" s="219">
        <v>1168.77</v>
      </c>
      <c r="W74">
        <v>7786.2</v>
      </c>
      <c r="X74">
        <v>409.8</v>
      </c>
    </row>
    <row r="75" spans="1:24">
      <c r="A75" s="218">
        <v>43640</v>
      </c>
      <c r="B75" t="s">
        <v>2507</v>
      </c>
      <c r="C75">
        <v>182000</v>
      </c>
      <c r="F75" s="219">
        <v>182000</v>
      </c>
      <c r="G75">
        <v>172900</v>
      </c>
      <c r="H75">
        <v>3650</v>
      </c>
      <c r="I75">
        <v>47.37</v>
      </c>
      <c r="J75">
        <v>168641.6986</v>
      </c>
      <c r="K75">
        <v>282</v>
      </c>
      <c r="L75">
        <v>3368</v>
      </c>
      <c r="M75">
        <v>365</v>
      </c>
      <c r="N75" s="219">
        <v>13358.3</v>
      </c>
      <c r="O75" s="219">
        <v>17290</v>
      </c>
      <c r="P75">
        <v>30648.3</v>
      </c>
      <c r="Q75">
        <v>151351.70000000001</v>
      </c>
      <c r="R75">
        <v>1</v>
      </c>
      <c r="S75">
        <v>1</v>
      </c>
      <c r="U75" s="219">
        <v>9100</v>
      </c>
      <c r="V75" s="219">
        <v>4258.3</v>
      </c>
      <c r="W75">
        <v>172900</v>
      </c>
      <c r="X75" s="219">
        <v>9100</v>
      </c>
    </row>
    <row r="76" spans="1:24">
      <c r="A76" s="218">
        <v>43651</v>
      </c>
      <c r="B76" t="s">
        <v>2507</v>
      </c>
      <c r="C76">
        <v>48562.5</v>
      </c>
      <c r="F76" s="219">
        <v>48562.5</v>
      </c>
      <c r="G76">
        <v>46134.375</v>
      </c>
      <c r="H76">
        <v>3650</v>
      </c>
      <c r="I76">
        <v>12.64</v>
      </c>
      <c r="J76">
        <v>45162.459759999998</v>
      </c>
      <c r="K76">
        <v>269</v>
      </c>
      <c r="L76">
        <v>3381</v>
      </c>
      <c r="M76">
        <v>365</v>
      </c>
      <c r="N76" s="219">
        <v>3400.04</v>
      </c>
      <c r="O76" s="219">
        <v>4613.4399999999996</v>
      </c>
      <c r="P76">
        <v>8013.48</v>
      </c>
      <c r="Q76">
        <v>40549.019999999997</v>
      </c>
      <c r="R76">
        <v>1</v>
      </c>
      <c r="S76">
        <v>1</v>
      </c>
      <c r="U76" s="219">
        <v>2428.13</v>
      </c>
      <c r="V76">
        <v>971.92</v>
      </c>
      <c r="W76">
        <v>46134.375</v>
      </c>
      <c r="X76" s="219">
        <v>2428.13</v>
      </c>
    </row>
    <row r="77" spans="1:24">
      <c r="A77" s="218">
        <v>43771</v>
      </c>
      <c r="B77" t="s">
        <v>2493</v>
      </c>
      <c r="C77">
        <v>30443.8</v>
      </c>
      <c r="F77" s="219">
        <v>30443.8</v>
      </c>
      <c r="G77">
        <v>28921.61</v>
      </c>
      <c r="H77">
        <v>1825</v>
      </c>
      <c r="I77">
        <v>15.85</v>
      </c>
      <c r="J77">
        <v>28050.833910000001</v>
      </c>
      <c r="K77">
        <v>151</v>
      </c>
      <c r="L77">
        <v>1674</v>
      </c>
      <c r="M77">
        <v>365</v>
      </c>
      <c r="N77" s="219">
        <v>2392.9699999999998</v>
      </c>
      <c r="O77" s="219">
        <v>5784.32</v>
      </c>
      <c r="P77">
        <v>8177.29</v>
      </c>
      <c r="Q77">
        <v>22266.51</v>
      </c>
      <c r="R77">
        <v>1</v>
      </c>
      <c r="S77">
        <v>1</v>
      </c>
      <c r="U77" s="219">
        <v>1522.19</v>
      </c>
      <c r="V77">
        <v>870.78</v>
      </c>
      <c r="W77">
        <v>28921.61</v>
      </c>
      <c r="X77" s="219">
        <v>1522.19</v>
      </c>
    </row>
    <row r="78" spans="1:24">
      <c r="A78" s="218">
        <v>44217</v>
      </c>
      <c r="B78" t="s">
        <v>2508</v>
      </c>
      <c r="D78">
        <v>7500</v>
      </c>
      <c r="F78" s="219">
        <v>7500</v>
      </c>
      <c r="G78">
        <v>7125</v>
      </c>
      <c r="H78">
        <v>5475</v>
      </c>
      <c r="I78">
        <v>1.3</v>
      </c>
      <c r="K78">
        <v>70</v>
      </c>
      <c r="L78">
        <v>5405</v>
      </c>
      <c r="M78">
        <v>70</v>
      </c>
      <c r="N78" t="s">
        <v>2509</v>
      </c>
      <c r="O78">
        <v>91.1</v>
      </c>
      <c r="P78">
        <v>91.1</v>
      </c>
      <c r="Q78">
        <v>7408.9</v>
      </c>
      <c r="W78">
        <v>7125</v>
      </c>
    </row>
    <row r="79" spans="1:24">
      <c r="A79" s="218">
        <v>43992</v>
      </c>
      <c r="B79" t="s">
        <v>2470</v>
      </c>
      <c r="D79">
        <v>89921.88</v>
      </c>
      <c r="F79" s="219">
        <v>89921.88</v>
      </c>
      <c r="G79">
        <v>85425.785999999993</v>
      </c>
      <c r="H79">
        <v>3650</v>
      </c>
      <c r="I79">
        <v>23.4</v>
      </c>
      <c r="K79">
        <v>295</v>
      </c>
      <c r="L79">
        <v>3355</v>
      </c>
      <c r="M79">
        <v>295</v>
      </c>
      <c r="N79" t="s">
        <v>2509</v>
      </c>
      <c r="O79" s="219">
        <v>6904.28</v>
      </c>
      <c r="P79">
        <v>6904.28</v>
      </c>
      <c r="Q79">
        <v>83017.600000000006</v>
      </c>
    </row>
    <row r="80" spans="1:24">
      <c r="A80" s="218">
        <v>43997</v>
      </c>
      <c r="B80" t="s">
        <v>2510</v>
      </c>
      <c r="D80">
        <v>36605.5</v>
      </c>
      <c r="F80" s="219">
        <v>36605.5</v>
      </c>
      <c r="G80">
        <v>34775.224999999999</v>
      </c>
      <c r="H80">
        <v>3650</v>
      </c>
      <c r="I80">
        <v>9.5299999999999994</v>
      </c>
      <c r="K80">
        <v>290</v>
      </c>
      <c r="L80">
        <v>3360</v>
      </c>
      <c r="M80">
        <v>290</v>
      </c>
      <c r="N80" t="s">
        <v>2509</v>
      </c>
      <c r="O80" s="219">
        <v>2762.96</v>
      </c>
      <c r="P80">
        <v>2762.96</v>
      </c>
      <c r="Q80">
        <v>33842.54</v>
      </c>
    </row>
    <row r="81" spans="1:21">
      <c r="A81" s="218">
        <v>43995</v>
      </c>
      <c r="B81" t="s">
        <v>2472</v>
      </c>
      <c r="D81">
        <v>7250</v>
      </c>
      <c r="F81" s="219">
        <v>7250</v>
      </c>
      <c r="G81">
        <v>6887.5</v>
      </c>
      <c r="H81">
        <v>1825</v>
      </c>
      <c r="I81">
        <v>3.77</v>
      </c>
      <c r="K81">
        <v>292</v>
      </c>
      <c r="L81">
        <v>1533</v>
      </c>
      <c r="M81">
        <v>292</v>
      </c>
      <c r="N81" t="s">
        <v>2509</v>
      </c>
      <c r="O81" s="219">
        <v>1102</v>
      </c>
      <c r="P81">
        <v>1102</v>
      </c>
      <c r="Q81">
        <v>6148</v>
      </c>
    </row>
    <row r="82" spans="1:21">
      <c r="A82" s="218">
        <v>44044</v>
      </c>
      <c r="B82" t="s">
        <v>2511</v>
      </c>
      <c r="D82">
        <v>19068</v>
      </c>
      <c r="F82" s="219">
        <v>19068</v>
      </c>
      <c r="G82">
        <v>18114.599999999999</v>
      </c>
      <c r="H82">
        <v>3650</v>
      </c>
      <c r="I82">
        <v>4.96</v>
      </c>
      <c r="K82">
        <v>243</v>
      </c>
      <c r="L82">
        <v>3407</v>
      </c>
      <c r="M82">
        <v>243</v>
      </c>
      <c r="N82" t="s">
        <v>2509</v>
      </c>
      <c r="O82" s="219">
        <v>1205.99</v>
      </c>
      <c r="P82">
        <v>1205.99</v>
      </c>
      <c r="Q82">
        <v>17862.009999999998</v>
      </c>
    </row>
    <row r="83" spans="1:21">
      <c r="A83" s="218">
        <v>44239</v>
      </c>
      <c r="B83" t="s">
        <v>2511</v>
      </c>
      <c r="D83">
        <v>11500</v>
      </c>
      <c r="F83" s="219">
        <v>11500</v>
      </c>
      <c r="G83">
        <v>10925</v>
      </c>
      <c r="H83">
        <v>3650</v>
      </c>
      <c r="I83">
        <v>2.99</v>
      </c>
      <c r="K83">
        <v>110</v>
      </c>
      <c r="L83">
        <v>3540</v>
      </c>
      <c r="M83">
        <v>110</v>
      </c>
      <c r="N83" t="s">
        <v>2509</v>
      </c>
      <c r="O83">
        <v>329.25</v>
      </c>
      <c r="P83">
        <v>329.25</v>
      </c>
      <c r="Q83">
        <v>11170.75</v>
      </c>
    </row>
    <row r="84" spans="1:21">
      <c r="A84" s="218">
        <v>43974</v>
      </c>
      <c r="B84" t="s">
        <v>2482</v>
      </c>
      <c r="D84">
        <v>4068</v>
      </c>
      <c r="F84" s="219">
        <v>4068</v>
      </c>
      <c r="G84">
        <v>3864.6</v>
      </c>
      <c r="H84">
        <v>1095</v>
      </c>
      <c r="I84">
        <v>3.53</v>
      </c>
      <c r="K84">
        <v>313</v>
      </c>
      <c r="L84">
        <v>782</v>
      </c>
      <c r="M84">
        <v>313</v>
      </c>
      <c r="N84" t="s">
        <v>2509</v>
      </c>
      <c r="O84" s="219">
        <v>1104.68</v>
      </c>
      <c r="P84">
        <v>1104.68</v>
      </c>
      <c r="Q84">
        <v>2963.32</v>
      </c>
    </row>
    <row r="85" spans="1:21">
      <c r="A85" s="218">
        <v>43974</v>
      </c>
      <c r="B85" t="s">
        <v>2506</v>
      </c>
      <c r="D85">
        <v>8126</v>
      </c>
      <c r="F85" s="219">
        <v>8126</v>
      </c>
      <c r="G85">
        <v>7719.7</v>
      </c>
      <c r="H85">
        <v>1095</v>
      </c>
      <c r="I85">
        <v>7.05</v>
      </c>
      <c r="K85">
        <v>313</v>
      </c>
      <c r="L85">
        <v>782</v>
      </c>
      <c r="M85">
        <v>313</v>
      </c>
      <c r="N85" t="s">
        <v>2509</v>
      </c>
      <c r="O85" s="219">
        <v>2206.64</v>
      </c>
      <c r="P85">
        <v>2206.64</v>
      </c>
      <c r="Q85">
        <v>5919.36</v>
      </c>
    </row>
    <row r="86" spans="1:21">
      <c r="A86" s="218">
        <v>44243</v>
      </c>
      <c r="B86" t="s">
        <v>2512</v>
      </c>
      <c r="D86">
        <v>10200</v>
      </c>
      <c r="F86" s="219">
        <v>10200</v>
      </c>
      <c r="G86">
        <v>9690</v>
      </c>
      <c r="H86">
        <v>1095</v>
      </c>
      <c r="I86">
        <v>8.85</v>
      </c>
      <c r="K86">
        <v>44</v>
      </c>
      <c r="L86">
        <v>1051</v>
      </c>
      <c r="M86">
        <v>44</v>
      </c>
      <c r="N86" t="s">
        <v>2509</v>
      </c>
      <c r="O86">
        <v>389.37</v>
      </c>
      <c r="P86">
        <v>389.37</v>
      </c>
      <c r="Q86">
        <v>9810.6299999999992</v>
      </c>
    </row>
    <row r="87" spans="1:21">
      <c r="A87" s="218">
        <v>44114</v>
      </c>
      <c r="B87" t="s">
        <v>2513</v>
      </c>
      <c r="D87">
        <v>87600</v>
      </c>
      <c r="F87" s="219">
        <v>87600</v>
      </c>
      <c r="G87">
        <v>83220</v>
      </c>
      <c r="H87">
        <v>1095</v>
      </c>
      <c r="I87">
        <v>76</v>
      </c>
      <c r="K87">
        <v>173</v>
      </c>
      <c r="L87">
        <v>922</v>
      </c>
      <c r="M87">
        <v>173</v>
      </c>
      <c r="N87" t="s">
        <v>2509</v>
      </c>
      <c r="O87" s="219">
        <v>13148</v>
      </c>
      <c r="P87">
        <v>13148</v>
      </c>
      <c r="Q87">
        <v>74452</v>
      </c>
    </row>
    <row r="88" spans="1:21">
      <c r="A88" s="218">
        <v>43993</v>
      </c>
      <c r="B88" t="s">
        <v>2514</v>
      </c>
      <c r="D88">
        <v>78805.08</v>
      </c>
      <c r="F88" s="219">
        <v>78805.08</v>
      </c>
      <c r="G88">
        <v>74864.826000000001</v>
      </c>
      <c r="H88">
        <v>1095</v>
      </c>
      <c r="I88">
        <v>68.37</v>
      </c>
      <c r="K88">
        <v>294</v>
      </c>
      <c r="L88">
        <v>801</v>
      </c>
      <c r="M88">
        <v>294</v>
      </c>
      <c r="N88" t="s">
        <v>2509</v>
      </c>
      <c r="O88" s="219">
        <v>20100.689999999999</v>
      </c>
      <c r="P88">
        <v>20100.689999999999</v>
      </c>
      <c r="Q88">
        <v>58704.39</v>
      </c>
    </row>
    <row r="89" spans="1:21">
      <c r="A89" s="218">
        <v>44049</v>
      </c>
      <c r="B89" t="s">
        <v>2486</v>
      </c>
      <c r="D89">
        <v>10593</v>
      </c>
      <c r="F89" s="219">
        <v>10593</v>
      </c>
      <c r="G89">
        <v>10063.35</v>
      </c>
      <c r="H89">
        <v>1095</v>
      </c>
      <c r="I89">
        <v>9.19</v>
      </c>
      <c r="K89">
        <v>238</v>
      </c>
      <c r="L89">
        <v>857</v>
      </c>
      <c r="M89">
        <v>238</v>
      </c>
      <c r="N89" t="s">
        <v>2509</v>
      </c>
      <c r="O89" s="219">
        <v>2187.29</v>
      </c>
      <c r="P89">
        <v>2187.29</v>
      </c>
      <c r="Q89">
        <v>8405.7099999999991</v>
      </c>
    </row>
    <row r="90" spans="1:21">
      <c r="A90" s="218">
        <v>44198</v>
      </c>
      <c r="B90" t="s">
        <v>2486</v>
      </c>
      <c r="D90">
        <v>9746</v>
      </c>
      <c r="F90" s="219">
        <v>9746</v>
      </c>
      <c r="G90">
        <v>9258.7000000000007</v>
      </c>
      <c r="H90">
        <v>1095</v>
      </c>
      <c r="I90">
        <v>8.4600000000000009</v>
      </c>
      <c r="K90">
        <v>89</v>
      </c>
      <c r="L90">
        <v>1006</v>
      </c>
      <c r="M90">
        <v>89</v>
      </c>
      <c r="N90" t="s">
        <v>2509</v>
      </c>
      <c r="O90">
        <v>752.53</v>
      </c>
      <c r="P90">
        <v>752.53</v>
      </c>
      <c r="Q90">
        <v>8993.4699999999993</v>
      </c>
    </row>
    <row r="91" spans="1:21">
      <c r="C91" s="219">
        <v>9560671.1799999997</v>
      </c>
      <c r="D91" s="219">
        <v>380983.46</v>
      </c>
      <c r="E91" t="s">
        <v>2509</v>
      </c>
      <c r="F91" s="219">
        <v>9941654.6400000006</v>
      </c>
      <c r="G91" s="219">
        <v>9444571.9100000001</v>
      </c>
      <c r="I91" s="219">
        <v>4051.87</v>
      </c>
      <c r="J91" s="219">
        <v>4158075.14</v>
      </c>
      <c r="K91" s="219">
        <v>105921.54</v>
      </c>
      <c r="L91" s="219">
        <v>141569.97</v>
      </c>
      <c r="M91" s="219">
        <v>30139</v>
      </c>
      <c r="N91" s="219">
        <v>5402596.04</v>
      </c>
      <c r="O91" s="219">
        <v>792497.77</v>
      </c>
      <c r="P91" s="219">
        <v>6195093.8099999996</v>
      </c>
      <c r="Q91" s="219">
        <v>3746560.83</v>
      </c>
      <c r="R91">
        <v>3184669</v>
      </c>
      <c r="T91">
        <v>3539063</v>
      </c>
      <c r="U91">
        <v>4990567</v>
      </c>
    </row>
    <row r="92" spans="1:21">
      <c r="F92" s="219">
        <v>269496.65000000002</v>
      </c>
      <c r="Q92">
        <v>-207497.83</v>
      </c>
      <c r="U92">
        <v>1244006.17</v>
      </c>
    </row>
    <row r="93" spans="1:21">
      <c r="D93">
        <v>0</v>
      </c>
      <c r="E93">
        <v>1544984</v>
      </c>
      <c r="F93">
        <v>-1544984</v>
      </c>
      <c r="U93">
        <v>1451504</v>
      </c>
    </row>
    <row r="94" spans="1:21">
      <c r="D94" s="219">
        <v>380983.46</v>
      </c>
    </row>
    <row r="95" spans="1:21">
      <c r="D95">
        <v>1546049</v>
      </c>
    </row>
    <row r="96" spans="1:21">
      <c r="D96" s="219">
        <v>-1165065.54</v>
      </c>
      <c r="G96" s="219">
        <v>4539058.5999999996</v>
      </c>
    </row>
    <row r="97" spans="4:8">
      <c r="D97">
        <v>1583536</v>
      </c>
      <c r="G97">
        <v>6133095</v>
      </c>
      <c r="H97" t="e">
        <v>#REF!</v>
      </c>
    </row>
    <row r="98" spans="4:8">
      <c r="D98">
        <v>380983.46</v>
      </c>
      <c r="G98" s="219">
        <v>10672153.6</v>
      </c>
    </row>
    <row r="99" spans="4:8">
      <c r="G99">
        <v>10966652.130000001</v>
      </c>
    </row>
    <row r="100" spans="4:8">
      <c r="G100" s="219">
        <v>294498.53000000003</v>
      </c>
    </row>
    <row r="101" spans="4:8">
      <c r="D101">
        <v>1583535</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2:K51"/>
  <sheetViews>
    <sheetView workbookViewId="0">
      <selection activeCell="L8" sqref="L8"/>
    </sheetView>
  </sheetViews>
  <sheetFormatPr defaultRowHeight="14.4"/>
  <sheetData>
    <row r="2" spans="1:11">
      <c r="A2" t="s">
        <v>2515</v>
      </c>
      <c r="B2" t="s">
        <v>1</v>
      </c>
      <c r="C2" t="s">
        <v>2454</v>
      </c>
      <c r="D2" t="s">
        <v>1125</v>
      </c>
      <c r="E2" t="s">
        <v>2455</v>
      </c>
      <c r="F2" t="s">
        <v>2456</v>
      </c>
      <c r="G2" t="s">
        <v>2458</v>
      </c>
      <c r="H2" t="s">
        <v>2461</v>
      </c>
      <c r="I2" t="s">
        <v>2462</v>
      </c>
      <c r="J2" t="s">
        <v>2463</v>
      </c>
      <c r="K2" t="s">
        <v>2464</v>
      </c>
    </row>
    <row r="3" spans="1:11">
      <c r="A3">
        <v>1</v>
      </c>
      <c r="B3" t="s">
        <v>2469</v>
      </c>
      <c r="C3">
        <v>131000</v>
      </c>
      <c r="F3">
        <v>131000</v>
      </c>
      <c r="G3">
        <v>68378.55</v>
      </c>
      <c r="H3">
        <v>62621.45</v>
      </c>
      <c r="I3">
        <v>8296.67</v>
      </c>
      <c r="J3">
        <v>70918.11</v>
      </c>
      <c r="K3">
        <v>60081.89</v>
      </c>
    </row>
    <row r="4" spans="1:11">
      <c r="A4">
        <v>2</v>
      </c>
      <c r="B4" t="s">
        <v>2470</v>
      </c>
      <c r="C4">
        <v>427918.8</v>
      </c>
      <c r="D4">
        <v>89921.88</v>
      </c>
      <c r="F4">
        <v>517840.68</v>
      </c>
      <c r="G4">
        <v>112697.28</v>
      </c>
      <c r="H4">
        <v>315221.52</v>
      </c>
      <c r="I4">
        <v>18314.650000000001</v>
      </c>
      <c r="J4">
        <v>333536.17</v>
      </c>
      <c r="K4">
        <v>184304.51</v>
      </c>
    </row>
    <row r="5" spans="1:11">
      <c r="A5">
        <v>3</v>
      </c>
      <c r="B5" t="s">
        <v>2510</v>
      </c>
      <c r="C5">
        <v>0</v>
      </c>
      <c r="D5">
        <v>36605.5</v>
      </c>
      <c r="F5">
        <v>36605.5</v>
      </c>
      <c r="G5">
        <v>0</v>
      </c>
      <c r="H5">
        <v>0</v>
      </c>
      <c r="I5">
        <v>2762.96</v>
      </c>
      <c r="J5">
        <v>2762.96</v>
      </c>
      <c r="K5">
        <v>33842.54</v>
      </c>
    </row>
    <row r="6" spans="1:11">
      <c r="A6">
        <v>4</v>
      </c>
      <c r="B6" t="s">
        <v>2471</v>
      </c>
      <c r="C6">
        <v>38770</v>
      </c>
      <c r="F6">
        <v>38770</v>
      </c>
      <c r="G6">
        <v>10294.799999999999</v>
      </c>
      <c r="H6">
        <v>28475.200000000001</v>
      </c>
      <c r="I6">
        <v>7366.3</v>
      </c>
      <c r="J6">
        <v>35841.5</v>
      </c>
      <c r="K6">
        <v>2928.5</v>
      </c>
    </row>
    <row r="7" spans="1:11">
      <c r="A7">
        <v>5</v>
      </c>
      <c r="B7" t="s">
        <v>2472</v>
      </c>
      <c r="C7">
        <v>207881</v>
      </c>
      <c r="D7">
        <v>7250</v>
      </c>
      <c r="F7">
        <v>215131</v>
      </c>
      <c r="G7">
        <v>148596.89000000001</v>
      </c>
      <c r="H7">
        <v>59284.11</v>
      </c>
      <c r="I7">
        <v>31074.69</v>
      </c>
      <c r="J7">
        <v>90358.8</v>
      </c>
      <c r="K7">
        <v>124772.2</v>
      </c>
    </row>
    <row r="8" spans="1:11">
      <c r="A8">
        <v>6</v>
      </c>
      <c r="B8" t="s">
        <v>2500</v>
      </c>
      <c r="C8">
        <v>99687</v>
      </c>
      <c r="F8">
        <v>99687</v>
      </c>
      <c r="G8">
        <v>34835.31</v>
      </c>
      <c r="H8">
        <v>64851.69</v>
      </c>
      <c r="I8">
        <v>6313.51</v>
      </c>
      <c r="J8">
        <v>71165.2</v>
      </c>
      <c r="K8">
        <v>28521.8</v>
      </c>
    </row>
    <row r="9" spans="1:11">
      <c r="A9">
        <v>7</v>
      </c>
      <c r="B9" t="s">
        <v>1131</v>
      </c>
      <c r="C9">
        <v>526538.56999999995</v>
      </c>
      <c r="F9">
        <v>526538.56999999995</v>
      </c>
      <c r="G9">
        <v>38799.769999999997</v>
      </c>
      <c r="H9">
        <v>487738.8</v>
      </c>
      <c r="I9">
        <v>9620.76</v>
      </c>
      <c r="J9">
        <v>497359.56</v>
      </c>
      <c r="K9">
        <v>29179.01</v>
      </c>
    </row>
    <row r="10" spans="1:11">
      <c r="A10">
        <v>8</v>
      </c>
      <c r="B10" t="s">
        <v>2498</v>
      </c>
      <c r="C10">
        <v>36115</v>
      </c>
      <c r="F10">
        <v>36115</v>
      </c>
      <c r="G10">
        <v>24038.25</v>
      </c>
      <c r="H10">
        <v>12076.76</v>
      </c>
      <c r="I10">
        <v>3430.93</v>
      </c>
      <c r="J10">
        <v>15507.69</v>
      </c>
      <c r="K10">
        <v>20607.310000000001</v>
      </c>
    </row>
    <row r="11" spans="1:11">
      <c r="A11">
        <v>9</v>
      </c>
      <c r="B11" t="s">
        <v>2474</v>
      </c>
      <c r="C11">
        <v>26250</v>
      </c>
      <c r="F11">
        <v>26250</v>
      </c>
      <c r="G11">
        <v>13678.4</v>
      </c>
      <c r="H11">
        <v>12571.6</v>
      </c>
      <c r="I11">
        <v>1662.5</v>
      </c>
      <c r="J11">
        <v>14234.1</v>
      </c>
      <c r="K11">
        <v>12015.9</v>
      </c>
    </row>
    <row r="12" spans="1:11">
      <c r="A12">
        <v>10</v>
      </c>
      <c r="B12" t="s">
        <v>2475</v>
      </c>
      <c r="C12">
        <v>3751</v>
      </c>
      <c r="F12">
        <v>3751</v>
      </c>
      <c r="G12">
        <v>1815.94</v>
      </c>
      <c r="H12">
        <v>1935.07</v>
      </c>
      <c r="I12">
        <v>356.35</v>
      </c>
      <c r="J12">
        <v>2291.41</v>
      </c>
      <c r="K12">
        <v>1459.59</v>
      </c>
    </row>
    <row r="13" spans="1:11">
      <c r="A13">
        <v>11</v>
      </c>
      <c r="B13" t="s">
        <v>2476</v>
      </c>
      <c r="C13">
        <v>10000</v>
      </c>
      <c r="F13">
        <v>10000</v>
      </c>
      <c r="G13">
        <v>4685.21</v>
      </c>
      <c r="H13">
        <v>5314.79</v>
      </c>
      <c r="I13">
        <v>1900</v>
      </c>
      <c r="J13">
        <v>7214.79</v>
      </c>
      <c r="K13">
        <v>2785.21</v>
      </c>
    </row>
    <row r="14" spans="1:11">
      <c r="A14">
        <v>12</v>
      </c>
      <c r="B14" t="s">
        <v>2477</v>
      </c>
      <c r="C14">
        <v>5440</v>
      </c>
      <c r="F14">
        <v>5440</v>
      </c>
      <c r="G14">
        <v>2645.15</v>
      </c>
      <c r="H14">
        <v>2794.85</v>
      </c>
      <c r="I14">
        <v>516.79999999999995</v>
      </c>
      <c r="J14">
        <v>3311.65</v>
      </c>
      <c r="K14">
        <v>2128.35</v>
      </c>
    </row>
    <row r="15" spans="1:11">
      <c r="A15">
        <v>13</v>
      </c>
      <c r="B15" t="s">
        <v>2478</v>
      </c>
      <c r="C15">
        <v>18900</v>
      </c>
      <c r="F15">
        <v>18900</v>
      </c>
      <c r="G15">
        <v>7641.56</v>
      </c>
      <c r="H15">
        <v>11258.44</v>
      </c>
      <c r="I15">
        <v>1795.5</v>
      </c>
      <c r="J15">
        <v>13053.94</v>
      </c>
      <c r="K15">
        <v>5846.06</v>
      </c>
    </row>
    <row r="16" spans="1:11">
      <c r="A16">
        <v>14</v>
      </c>
      <c r="B16" t="s">
        <v>2501</v>
      </c>
      <c r="C16">
        <v>1372187.5</v>
      </c>
      <c r="F16">
        <v>1372187.5</v>
      </c>
      <c r="G16">
        <v>1107900.42</v>
      </c>
      <c r="H16">
        <v>264287.08</v>
      </c>
      <c r="I16">
        <v>162947.26999999999</v>
      </c>
      <c r="J16">
        <v>427234.34</v>
      </c>
      <c r="K16">
        <v>944953.16</v>
      </c>
    </row>
    <row r="17" spans="1:11">
      <c r="A17">
        <v>15</v>
      </c>
      <c r="B17" t="s">
        <v>2503</v>
      </c>
      <c r="C17">
        <v>741525.3</v>
      </c>
      <c r="F17">
        <v>741525.3</v>
      </c>
      <c r="G17">
        <v>693545.57</v>
      </c>
      <c r="H17">
        <v>47979.73</v>
      </c>
      <c r="I17">
        <v>140889.81</v>
      </c>
      <c r="J17">
        <v>188869.54</v>
      </c>
      <c r="K17">
        <v>552655.76</v>
      </c>
    </row>
    <row r="18" spans="1:11">
      <c r="A18">
        <v>16</v>
      </c>
      <c r="B18" t="s">
        <v>2479</v>
      </c>
      <c r="C18">
        <v>34240</v>
      </c>
      <c r="F18">
        <v>34240</v>
      </c>
      <c r="G18">
        <v>1712</v>
      </c>
      <c r="H18">
        <v>32528</v>
      </c>
      <c r="I18">
        <v>0</v>
      </c>
      <c r="J18">
        <v>32528</v>
      </c>
      <c r="K18">
        <v>1712</v>
      </c>
    </row>
    <row r="19" spans="1:11">
      <c r="A19">
        <v>17</v>
      </c>
      <c r="B19" t="s">
        <v>2468</v>
      </c>
      <c r="C19">
        <v>588529</v>
      </c>
      <c r="F19">
        <v>588529</v>
      </c>
      <c r="G19">
        <v>93575.98</v>
      </c>
      <c r="H19">
        <v>494953.02</v>
      </c>
      <c r="I19">
        <v>4180</v>
      </c>
      <c r="J19">
        <v>499133.02</v>
      </c>
      <c r="K19">
        <v>89395.98</v>
      </c>
    </row>
    <row r="20" spans="1:11">
      <c r="A20">
        <v>18</v>
      </c>
      <c r="B20" t="s">
        <v>2480</v>
      </c>
      <c r="C20">
        <v>10400</v>
      </c>
      <c r="F20">
        <v>10400</v>
      </c>
      <c r="G20">
        <v>520</v>
      </c>
      <c r="H20">
        <v>9880</v>
      </c>
      <c r="I20">
        <v>0</v>
      </c>
      <c r="J20">
        <v>9880</v>
      </c>
      <c r="K20">
        <v>520</v>
      </c>
    </row>
    <row r="21" spans="1:11">
      <c r="A21">
        <v>19</v>
      </c>
      <c r="B21" t="s">
        <v>2511</v>
      </c>
      <c r="C21">
        <v>28085.599999999999</v>
      </c>
      <c r="D21">
        <v>30568</v>
      </c>
      <c r="F21">
        <v>58653.599999999999</v>
      </c>
      <c r="G21">
        <v>26506.83</v>
      </c>
      <c r="H21">
        <v>1578.77</v>
      </c>
      <c r="I21">
        <v>4203.3599999999997</v>
      </c>
      <c r="J21">
        <v>5782.13</v>
      </c>
      <c r="K21">
        <v>52871.47</v>
      </c>
    </row>
    <row r="22" spans="1:11">
      <c r="A22">
        <v>20</v>
      </c>
      <c r="B22" t="s">
        <v>2481</v>
      </c>
      <c r="C22">
        <v>1637557</v>
      </c>
      <c r="F22">
        <v>1637557</v>
      </c>
      <c r="G22">
        <v>199404.46</v>
      </c>
      <c r="H22">
        <v>1438152.55</v>
      </c>
      <c r="I22">
        <v>7383.88</v>
      </c>
      <c r="J22">
        <v>1445536.43</v>
      </c>
      <c r="K22">
        <v>192020.57</v>
      </c>
    </row>
    <row r="23" spans="1:11">
      <c r="A23">
        <v>21</v>
      </c>
      <c r="B23" t="s">
        <v>2482</v>
      </c>
      <c r="C23">
        <v>311477.12</v>
      </c>
      <c r="D23">
        <v>4068</v>
      </c>
      <c r="F23">
        <v>315545.12</v>
      </c>
      <c r="G23">
        <v>16117.75</v>
      </c>
      <c r="H23">
        <v>295359.37</v>
      </c>
      <c r="I23">
        <v>1104.68</v>
      </c>
      <c r="J23">
        <v>296464.05</v>
      </c>
      <c r="K23">
        <v>19081.07</v>
      </c>
    </row>
    <row r="24" spans="1:11">
      <c r="A24">
        <v>22</v>
      </c>
      <c r="B24" t="s">
        <v>2505</v>
      </c>
      <c r="C24">
        <v>296687.46000000002</v>
      </c>
      <c r="F24">
        <v>296687.46000000002</v>
      </c>
      <c r="G24">
        <v>226797.45</v>
      </c>
      <c r="H24">
        <v>69890.009999999995</v>
      </c>
      <c r="I24">
        <v>93951.03</v>
      </c>
      <c r="J24">
        <v>163841.04</v>
      </c>
      <c r="K24">
        <v>132846.42000000001</v>
      </c>
    </row>
    <row r="25" spans="1:11">
      <c r="A25">
        <v>23</v>
      </c>
      <c r="B25" t="s">
        <v>2506</v>
      </c>
      <c r="C25">
        <v>8196</v>
      </c>
      <c r="D25">
        <v>8126</v>
      </c>
      <c r="F25">
        <v>16322</v>
      </c>
      <c r="G25">
        <v>6617.43</v>
      </c>
      <c r="H25">
        <v>1578.57</v>
      </c>
      <c r="I25">
        <v>4802.04</v>
      </c>
      <c r="J25">
        <v>6380.61</v>
      </c>
      <c r="K25">
        <v>9941.39</v>
      </c>
    </row>
    <row r="26" spans="1:11">
      <c r="A26">
        <v>24</v>
      </c>
      <c r="B26" t="s">
        <v>2512</v>
      </c>
      <c r="C26">
        <v>0</v>
      </c>
      <c r="D26">
        <v>10200</v>
      </c>
      <c r="F26">
        <v>10200</v>
      </c>
      <c r="G26">
        <v>0</v>
      </c>
      <c r="H26">
        <v>0</v>
      </c>
      <c r="I26">
        <v>389.37</v>
      </c>
      <c r="J26">
        <v>389.37</v>
      </c>
      <c r="K26">
        <v>9810.6299999999992</v>
      </c>
    </row>
    <row r="27" spans="1:11">
      <c r="A27">
        <v>25</v>
      </c>
      <c r="B27" t="s">
        <v>2483</v>
      </c>
      <c r="C27">
        <v>17137</v>
      </c>
      <c r="F27">
        <v>17137</v>
      </c>
      <c r="G27">
        <v>856.85</v>
      </c>
      <c r="H27">
        <v>16280.15</v>
      </c>
      <c r="I27">
        <v>0</v>
      </c>
      <c r="J27">
        <v>16280.15</v>
      </c>
      <c r="K27">
        <v>856.85</v>
      </c>
    </row>
    <row r="28" spans="1:11">
      <c r="A28">
        <v>26</v>
      </c>
      <c r="B28" t="s">
        <v>2484</v>
      </c>
      <c r="C28">
        <v>20400</v>
      </c>
      <c r="F28">
        <v>20400</v>
      </c>
      <c r="G28">
        <v>1020</v>
      </c>
      <c r="H28">
        <v>19380</v>
      </c>
      <c r="I28">
        <v>0</v>
      </c>
      <c r="J28">
        <v>19380</v>
      </c>
      <c r="K28">
        <v>1020</v>
      </c>
    </row>
    <row r="29" spans="1:11">
      <c r="A29">
        <v>27</v>
      </c>
      <c r="B29" t="s">
        <v>2497</v>
      </c>
      <c r="C29">
        <v>49791</v>
      </c>
      <c r="F29">
        <v>49791</v>
      </c>
      <c r="G29">
        <v>2371</v>
      </c>
      <c r="H29">
        <v>47420</v>
      </c>
      <c r="I29">
        <v>0</v>
      </c>
      <c r="J29">
        <v>47420</v>
      </c>
      <c r="K29">
        <v>2371</v>
      </c>
    </row>
    <row r="30" spans="1:11">
      <c r="A30">
        <v>28</v>
      </c>
      <c r="B30" t="s">
        <v>2513</v>
      </c>
      <c r="C30">
        <v>0</v>
      </c>
      <c r="D30">
        <v>87600</v>
      </c>
      <c r="F30">
        <v>87600</v>
      </c>
      <c r="G30">
        <v>0</v>
      </c>
      <c r="H30">
        <v>0</v>
      </c>
      <c r="I30">
        <v>13148</v>
      </c>
      <c r="J30">
        <v>13148</v>
      </c>
      <c r="K30">
        <v>74452</v>
      </c>
    </row>
    <row r="31" spans="1:11">
      <c r="A31">
        <v>29</v>
      </c>
      <c r="B31" t="s">
        <v>2485</v>
      </c>
      <c r="C31">
        <v>144081</v>
      </c>
      <c r="F31">
        <v>144081</v>
      </c>
      <c r="G31">
        <v>20875.68</v>
      </c>
      <c r="H31">
        <v>123205.32</v>
      </c>
      <c r="I31">
        <v>2569.75</v>
      </c>
      <c r="J31">
        <v>125775.07</v>
      </c>
      <c r="K31">
        <v>18305.93</v>
      </c>
    </row>
    <row r="32" spans="1:11">
      <c r="A32">
        <v>30</v>
      </c>
      <c r="B32" t="s">
        <v>2507</v>
      </c>
      <c r="C32">
        <v>230562.5</v>
      </c>
      <c r="F32">
        <v>230562.5</v>
      </c>
      <c r="G32">
        <v>213804.16</v>
      </c>
      <c r="H32">
        <v>16758.34</v>
      </c>
      <c r="I32">
        <v>21903.439999999999</v>
      </c>
      <c r="J32">
        <v>38661.78</v>
      </c>
      <c r="K32">
        <v>191900.72</v>
      </c>
    </row>
    <row r="33" spans="1:11">
      <c r="A33">
        <v>31</v>
      </c>
      <c r="B33" t="s">
        <v>2473</v>
      </c>
      <c r="C33">
        <v>1384072</v>
      </c>
      <c r="F33">
        <v>1384072</v>
      </c>
      <c r="G33">
        <v>802828.12</v>
      </c>
      <c r="H33">
        <v>581243.88</v>
      </c>
      <c r="I33">
        <v>164358.54999999999</v>
      </c>
      <c r="J33">
        <v>745602.43</v>
      </c>
      <c r="K33">
        <v>638469.56999999995</v>
      </c>
    </row>
    <row r="34" spans="1:11">
      <c r="A34">
        <v>32</v>
      </c>
      <c r="B34" t="s">
        <v>2514</v>
      </c>
      <c r="C34">
        <v>0</v>
      </c>
      <c r="D34">
        <v>78805.08</v>
      </c>
      <c r="F34">
        <v>78805.08</v>
      </c>
      <c r="G34">
        <v>0</v>
      </c>
      <c r="H34">
        <v>0</v>
      </c>
      <c r="I34">
        <v>20100.689999999999</v>
      </c>
      <c r="J34">
        <v>20100.689999999999</v>
      </c>
      <c r="K34">
        <v>58704.39</v>
      </c>
    </row>
    <row r="35" spans="1:11">
      <c r="A35">
        <v>33</v>
      </c>
      <c r="B35" t="s">
        <v>2486</v>
      </c>
      <c r="C35">
        <v>79467</v>
      </c>
      <c r="D35">
        <v>20339</v>
      </c>
      <c r="F35">
        <v>99806</v>
      </c>
      <c r="G35">
        <v>15819.55</v>
      </c>
      <c r="H35">
        <v>63647.45</v>
      </c>
      <c r="I35">
        <v>5741.56</v>
      </c>
      <c r="J35">
        <v>69389.009999999995</v>
      </c>
      <c r="K35">
        <v>30416.99</v>
      </c>
    </row>
    <row r="36" spans="1:11">
      <c r="A36">
        <v>34</v>
      </c>
      <c r="B36" t="s">
        <v>2495</v>
      </c>
      <c r="C36">
        <v>369096</v>
      </c>
      <c r="F36">
        <v>369096</v>
      </c>
      <c r="G36">
        <v>17576</v>
      </c>
      <c r="H36">
        <v>351520</v>
      </c>
      <c r="I36">
        <v>0</v>
      </c>
      <c r="J36">
        <v>351520</v>
      </c>
      <c r="K36">
        <v>17576</v>
      </c>
    </row>
    <row r="37" spans="1:11">
      <c r="A37">
        <v>35</v>
      </c>
      <c r="B37" t="s">
        <v>2502</v>
      </c>
      <c r="C37">
        <v>10402.540000000001</v>
      </c>
      <c r="F37">
        <v>10402.540000000001</v>
      </c>
      <c r="G37">
        <v>5158.99</v>
      </c>
      <c r="H37">
        <v>5243.55</v>
      </c>
      <c r="I37">
        <v>3294.14</v>
      </c>
      <c r="J37">
        <v>8537.69</v>
      </c>
      <c r="K37">
        <v>1864.85</v>
      </c>
    </row>
    <row r="38" spans="1:11">
      <c r="A38">
        <v>36</v>
      </c>
      <c r="B38" t="s">
        <v>2467</v>
      </c>
      <c r="C38">
        <v>135530</v>
      </c>
      <c r="F38">
        <v>135530</v>
      </c>
      <c r="G38">
        <v>38935</v>
      </c>
      <c r="H38">
        <v>96595</v>
      </c>
      <c r="I38">
        <v>8583.57</v>
      </c>
      <c r="J38">
        <v>105178.57</v>
      </c>
      <c r="K38">
        <v>30351.43</v>
      </c>
    </row>
    <row r="39" spans="1:11">
      <c r="A39">
        <v>37</v>
      </c>
      <c r="B39" t="s">
        <v>2488</v>
      </c>
      <c r="C39">
        <v>40800</v>
      </c>
      <c r="F39">
        <v>40800</v>
      </c>
      <c r="G39">
        <v>12798.87</v>
      </c>
      <c r="H39">
        <v>28001.13</v>
      </c>
      <c r="I39">
        <v>7752</v>
      </c>
      <c r="J39">
        <v>35753.129999999997</v>
      </c>
      <c r="K39">
        <v>5046.87</v>
      </c>
    </row>
    <row r="40" spans="1:11">
      <c r="A40">
        <v>38</v>
      </c>
      <c r="B40" t="s">
        <v>2489</v>
      </c>
      <c r="C40">
        <v>111240</v>
      </c>
      <c r="F40">
        <v>111240</v>
      </c>
      <c r="G40">
        <v>5562</v>
      </c>
      <c r="H40">
        <v>105678</v>
      </c>
      <c r="I40">
        <v>0</v>
      </c>
      <c r="J40">
        <v>105678</v>
      </c>
      <c r="K40">
        <v>5562</v>
      </c>
    </row>
    <row r="41" spans="1:11">
      <c r="A41">
        <v>39</v>
      </c>
      <c r="B41" t="s">
        <v>2490</v>
      </c>
      <c r="C41">
        <v>173250</v>
      </c>
      <c r="F41">
        <v>173250</v>
      </c>
      <c r="G41">
        <v>82836.570000000007</v>
      </c>
      <c r="H41">
        <v>90413.43</v>
      </c>
      <c r="I41">
        <v>16458.75</v>
      </c>
      <c r="J41">
        <v>106872.18</v>
      </c>
      <c r="K41">
        <v>66377.820000000007</v>
      </c>
    </row>
    <row r="42" spans="1:11">
      <c r="A42">
        <v>40</v>
      </c>
      <c r="B42" t="s">
        <v>2496</v>
      </c>
      <c r="C42">
        <v>15233.4</v>
      </c>
      <c r="F42">
        <v>15233.4</v>
      </c>
      <c r="G42">
        <v>725.4</v>
      </c>
      <c r="H42">
        <v>14508</v>
      </c>
      <c r="I42">
        <v>0</v>
      </c>
      <c r="J42">
        <v>14508</v>
      </c>
      <c r="K42">
        <v>725.4</v>
      </c>
    </row>
    <row r="43" spans="1:11">
      <c r="A43">
        <v>41</v>
      </c>
      <c r="B43" t="s">
        <v>2487</v>
      </c>
      <c r="C43">
        <v>14500</v>
      </c>
      <c r="F43">
        <v>14500</v>
      </c>
      <c r="G43">
        <v>725</v>
      </c>
      <c r="H43">
        <v>13775</v>
      </c>
      <c r="I43">
        <v>0</v>
      </c>
      <c r="J43">
        <v>13775</v>
      </c>
      <c r="K43">
        <v>725</v>
      </c>
    </row>
    <row r="44" spans="1:11">
      <c r="A44">
        <v>42</v>
      </c>
      <c r="B44" t="s">
        <v>2491</v>
      </c>
      <c r="C44">
        <v>47463</v>
      </c>
      <c r="F44">
        <v>47463</v>
      </c>
      <c r="G44">
        <v>4363.09</v>
      </c>
      <c r="H44">
        <v>43099.92</v>
      </c>
      <c r="I44">
        <v>0</v>
      </c>
      <c r="J44">
        <v>43099.92</v>
      </c>
      <c r="K44">
        <v>4363.09</v>
      </c>
    </row>
    <row r="45" spans="1:11">
      <c r="A45">
        <v>43</v>
      </c>
      <c r="B45" t="s">
        <v>2492</v>
      </c>
      <c r="C45">
        <v>30320</v>
      </c>
      <c r="F45">
        <v>30320</v>
      </c>
      <c r="G45">
        <v>1516</v>
      </c>
      <c r="H45">
        <v>28804</v>
      </c>
      <c r="I45">
        <v>0</v>
      </c>
      <c r="J45">
        <v>28804</v>
      </c>
      <c r="K45">
        <v>1516</v>
      </c>
    </row>
    <row r="46" spans="1:11">
      <c r="A46">
        <v>44</v>
      </c>
      <c r="B46" t="s">
        <v>2493</v>
      </c>
      <c r="C46">
        <v>63392.39</v>
      </c>
      <c r="F46">
        <v>63392.39</v>
      </c>
      <c r="G46">
        <v>47484.18</v>
      </c>
      <c r="H46">
        <v>15908.21</v>
      </c>
      <c r="I46">
        <v>12044.55</v>
      </c>
      <c r="J46">
        <v>27952.76</v>
      </c>
      <c r="K46">
        <v>35439.629999999997</v>
      </c>
    </row>
    <row r="47" spans="1:11">
      <c r="A47">
        <v>45</v>
      </c>
      <c r="B47" t="s">
        <v>2499</v>
      </c>
      <c r="C47">
        <v>28650</v>
      </c>
      <c r="F47">
        <v>28650</v>
      </c>
      <c r="G47">
        <v>22831.24</v>
      </c>
      <c r="H47">
        <v>5818.76</v>
      </c>
      <c r="I47">
        <v>1814.5</v>
      </c>
      <c r="J47">
        <v>7633.26</v>
      </c>
      <c r="K47">
        <v>21016.74</v>
      </c>
    </row>
    <row r="48" spans="1:11">
      <c r="A48">
        <v>46</v>
      </c>
      <c r="B48" t="s">
        <v>2494</v>
      </c>
      <c r="C48">
        <v>34147</v>
      </c>
      <c r="F48">
        <v>34147</v>
      </c>
      <c r="G48">
        <v>19182.45</v>
      </c>
      <c r="H48">
        <v>14964.55</v>
      </c>
      <c r="I48">
        <v>1374.14</v>
      </c>
      <c r="J48">
        <v>16338.69</v>
      </c>
      <c r="K48">
        <v>17808.310000000001</v>
      </c>
    </row>
    <row r="49" spans="1:11">
      <c r="A49">
        <v>47</v>
      </c>
      <c r="B49" t="s">
        <v>2508</v>
      </c>
      <c r="C49">
        <v>0</v>
      </c>
      <c r="D49">
        <v>7500</v>
      </c>
      <c r="F49">
        <v>7500</v>
      </c>
      <c r="G49">
        <v>0</v>
      </c>
      <c r="H49">
        <v>0</v>
      </c>
      <c r="I49">
        <v>91.1</v>
      </c>
      <c r="J49">
        <v>91.1</v>
      </c>
      <c r="K49">
        <v>7408.9</v>
      </c>
    </row>
    <row r="51" spans="1:11">
      <c r="B51" t="s">
        <v>2516</v>
      </c>
      <c r="C51">
        <v>9560671.1799999997</v>
      </c>
      <c r="D51">
        <v>380983.46</v>
      </c>
      <c r="E51">
        <v>0</v>
      </c>
      <c r="F51">
        <v>9941654.6400000006</v>
      </c>
      <c r="G51">
        <v>4158075.15</v>
      </c>
      <c r="H51">
        <v>5402596.0499999998</v>
      </c>
      <c r="I51">
        <v>792497.79</v>
      </c>
      <c r="J51">
        <v>6195093.8399999999</v>
      </c>
      <c r="K51">
        <v>3746560.8</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B83"/>
  <sheetViews>
    <sheetView topLeftCell="A50" workbookViewId="0">
      <selection activeCell="Y53" sqref="Y53"/>
    </sheetView>
  </sheetViews>
  <sheetFormatPr defaultColWidth="8.5546875" defaultRowHeight="14.4"/>
  <cols>
    <col min="1" max="2" width="10.44140625" customWidth="1"/>
    <col min="3" max="5" width="3.5546875" customWidth="1"/>
    <col min="6" max="6" width="6.5546875" customWidth="1"/>
    <col min="7" max="7" width="10.5546875" hidden="1" customWidth="1"/>
    <col min="8" max="8" width="10.5546875" customWidth="1"/>
    <col min="9" max="9" width="11.5546875" customWidth="1"/>
    <col min="10" max="10" width="10" bestFit="1" customWidth="1"/>
    <col min="11" max="11" width="3.5546875" bestFit="1" customWidth="1"/>
    <col min="12" max="12" width="14.5546875" customWidth="1"/>
    <col min="14" max="15" width="10.44140625" bestFit="1" customWidth="1"/>
    <col min="16" max="16" width="11.5546875" bestFit="1" customWidth="1"/>
    <col min="17" max="17" width="19.44140625" bestFit="1" customWidth="1"/>
    <col min="18" max="18" width="27.5546875" bestFit="1" customWidth="1"/>
    <col min="19" max="19" width="10.5546875" customWidth="1"/>
    <col min="20" max="20" width="31.44140625" customWidth="1"/>
    <col min="21" max="21" width="18.5546875" customWidth="1"/>
    <col min="22" max="22" width="13.44140625" bestFit="1" customWidth="1"/>
    <col min="23" max="25" width="13.44140625" customWidth="1"/>
    <col min="26" max="26" width="16.44140625" bestFit="1" customWidth="1"/>
    <col min="27" max="27" width="14.44140625" bestFit="1" customWidth="1"/>
    <col min="28" max="28" width="16" bestFit="1" customWidth="1"/>
  </cols>
  <sheetData>
    <row r="1" spans="1:20">
      <c r="L1" s="99"/>
    </row>
    <row r="2" spans="1:20">
      <c r="A2" s="261" t="s">
        <v>1267</v>
      </c>
      <c r="C2" s="218"/>
      <c r="L2" s="99"/>
      <c r="N2" s="261" t="s">
        <v>93</v>
      </c>
    </row>
    <row r="3" spans="1:20">
      <c r="L3" s="99"/>
    </row>
    <row r="4" spans="1:20" s="254" customFormat="1">
      <c r="A4" s="254" t="s">
        <v>1880</v>
      </c>
      <c r="B4" s="254" t="s">
        <v>1881</v>
      </c>
      <c r="E4" s="254" t="s">
        <v>1882</v>
      </c>
      <c r="F4" s="254" t="s">
        <v>1883</v>
      </c>
      <c r="G4" s="254" t="s">
        <v>1884</v>
      </c>
      <c r="L4" s="275"/>
      <c r="N4" s="254" t="s">
        <v>1880</v>
      </c>
      <c r="O4" s="254" t="s">
        <v>1881</v>
      </c>
      <c r="R4" s="254" t="s">
        <v>1882</v>
      </c>
      <c r="S4" s="254" t="s">
        <v>1883</v>
      </c>
      <c r="T4" s="254" t="s">
        <v>1884</v>
      </c>
    </row>
    <row r="5" spans="1:20">
      <c r="A5" s="255">
        <v>43206</v>
      </c>
      <c r="B5" s="358">
        <v>117245</v>
      </c>
      <c r="C5">
        <f>365</f>
        <v>365</v>
      </c>
      <c r="D5">
        <v>15</v>
      </c>
      <c r="E5">
        <f>C5-D5</f>
        <v>350</v>
      </c>
      <c r="F5" s="256">
        <v>6.3299999999999995E-2</v>
      </c>
      <c r="G5">
        <f>B5*F5*E5/365</f>
        <v>7116.6108904109578</v>
      </c>
      <c r="L5" s="275" t="s">
        <v>1884</v>
      </c>
      <c r="N5" s="255">
        <v>43218</v>
      </c>
      <c r="O5" s="258">
        <v>30000</v>
      </c>
      <c r="P5" s="259">
        <v>365</v>
      </c>
      <c r="Q5">
        <f>27</f>
        <v>27</v>
      </c>
      <c r="R5" s="206">
        <f>P5-Q5</f>
        <v>338</v>
      </c>
      <c r="S5" s="256">
        <v>0.31669999999999998</v>
      </c>
      <c r="T5">
        <f>O5*S5*R5/365</f>
        <v>8798.1863013698621</v>
      </c>
    </row>
    <row r="6" spans="1:20">
      <c r="A6" s="255">
        <v>43209</v>
      </c>
      <c r="B6" s="358">
        <v>1363608</v>
      </c>
      <c r="C6">
        <f>365</f>
        <v>365</v>
      </c>
      <c r="D6">
        <v>18</v>
      </c>
      <c r="F6" s="256">
        <v>6.3299999999999995E-2</v>
      </c>
      <c r="G6">
        <f t="shared" ref="G6:G21" si="0">B6*F6*K6/365</f>
        <v>82059.687892602728</v>
      </c>
      <c r="I6" s="119">
        <v>1363608</v>
      </c>
      <c r="J6" s="100">
        <f t="shared" ref="J6:J37" si="1">B6-I6</f>
        <v>0</v>
      </c>
      <c r="K6">
        <f t="shared" ref="K6:K21" si="2">C6-D6</f>
        <v>347</v>
      </c>
      <c r="L6" s="99">
        <f t="shared" ref="L6:L21" si="3">I6*F6*K6/365</f>
        <v>82059.687892602728</v>
      </c>
      <c r="N6" s="255">
        <v>43218</v>
      </c>
      <c r="O6" s="258">
        <v>5000</v>
      </c>
      <c r="P6" s="259">
        <v>365</v>
      </c>
      <c r="Q6">
        <v>27</v>
      </c>
      <c r="R6" s="206">
        <f t="shared" ref="R6:R18" si="4">P6-Q6</f>
        <v>338</v>
      </c>
      <c r="S6" s="256">
        <v>0.31669999999999998</v>
      </c>
      <c r="T6">
        <f t="shared" ref="T6:T18" si="5">O6*S6*R6/365</f>
        <v>1466.3643835616438</v>
      </c>
    </row>
    <row r="7" spans="1:20">
      <c r="A7" s="255">
        <v>43209</v>
      </c>
      <c r="B7" s="358">
        <v>1365123</v>
      </c>
      <c r="C7">
        <f>365</f>
        <v>365</v>
      </c>
      <c r="D7">
        <v>18</v>
      </c>
      <c r="F7" s="256">
        <v>6.3299999999999995E-2</v>
      </c>
      <c r="G7">
        <f t="shared" si="0"/>
        <v>82150.858102191763</v>
      </c>
      <c r="I7" s="119">
        <v>1365123</v>
      </c>
      <c r="J7" s="100">
        <f t="shared" si="1"/>
        <v>0</v>
      </c>
      <c r="K7">
        <f t="shared" si="2"/>
        <v>347</v>
      </c>
      <c r="L7" s="99">
        <f t="shared" si="3"/>
        <v>82150.858102191763</v>
      </c>
      <c r="N7" s="255">
        <v>43258</v>
      </c>
      <c r="O7" s="258">
        <v>62304</v>
      </c>
      <c r="P7" s="259">
        <v>365</v>
      </c>
      <c r="Q7">
        <f>30+31+6</f>
        <v>67</v>
      </c>
      <c r="R7" s="206">
        <f t="shared" si="4"/>
        <v>298</v>
      </c>
      <c r="S7" s="256">
        <v>0.31669999999999998</v>
      </c>
      <c r="T7">
        <f t="shared" si="5"/>
        <v>16109.697770958901</v>
      </c>
    </row>
    <row r="8" spans="1:20">
      <c r="A8" s="255">
        <v>43230</v>
      </c>
      <c r="B8" s="358">
        <v>79973</v>
      </c>
      <c r="C8">
        <f>365</f>
        <v>365</v>
      </c>
      <c r="D8">
        <f>30+9</f>
        <v>39</v>
      </c>
      <c r="F8" s="256">
        <v>6.3299999999999995E-2</v>
      </c>
      <c r="G8">
        <f t="shared" si="0"/>
        <v>4521.388584657534</v>
      </c>
      <c r="I8" s="119">
        <v>79973</v>
      </c>
      <c r="J8" s="100">
        <f t="shared" si="1"/>
        <v>0</v>
      </c>
      <c r="K8">
        <f t="shared" si="2"/>
        <v>326</v>
      </c>
      <c r="L8" s="99">
        <f t="shared" si="3"/>
        <v>4521.388584657534</v>
      </c>
      <c r="N8" s="255">
        <v>43262</v>
      </c>
      <c r="O8" s="258">
        <v>15500</v>
      </c>
      <c r="P8" s="259">
        <v>365</v>
      </c>
      <c r="Q8">
        <f>30+31+10</f>
        <v>71</v>
      </c>
      <c r="R8" s="206">
        <f t="shared" si="4"/>
        <v>294</v>
      </c>
      <c r="S8" s="256">
        <v>0.31669999999999998</v>
      </c>
      <c r="T8">
        <f t="shared" si="5"/>
        <v>3953.9778082191779</v>
      </c>
    </row>
    <row r="9" spans="1:20">
      <c r="A9" s="255">
        <v>43235</v>
      </c>
      <c r="B9" s="358">
        <v>10150</v>
      </c>
      <c r="C9">
        <f>365</f>
        <v>365</v>
      </c>
      <c r="D9">
        <f>30+14</f>
        <v>44</v>
      </c>
      <c r="F9" s="256">
        <v>6.3299999999999995E-2</v>
      </c>
      <c r="G9">
        <f t="shared" si="0"/>
        <v>565.04354794520543</v>
      </c>
      <c r="I9" s="119">
        <v>10150</v>
      </c>
      <c r="J9" s="100">
        <f t="shared" si="1"/>
        <v>0</v>
      </c>
      <c r="K9">
        <f t="shared" si="2"/>
        <v>321</v>
      </c>
      <c r="L9" s="99">
        <f t="shared" si="3"/>
        <v>565.04354794520543</v>
      </c>
      <c r="N9" s="255">
        <v>43263</v>
      </c>
      <c r="O9" s="258">
        <v>104200</v>
      </c>
      <c r="P9" s="259">
        <v>365</v>
      </c>
      <c r="Q9">
        <f>30+31+11</f>
        <v>72</v>
      </c>
      <c r="R9" s="206">
        <f t="shared" si="4"/>
        <v>293</v>
      </c>
      <c r="S9" s="256">
        <v>0.31669999999999998</v>
      </c>
      <c r="T9">
        <f t="shared" si="5"/>
        <v>26490.523342465753</v>
      </c>
    </row>
    <row r="10" spans="1:20">
      <c r="A10" s="255">
        <v>43235</v>
      </c>
      <c r="B10" s="358">
        <v>519200</v>
      </c>
      <c r="C10">
        <f>365</f>
        <v>365</v>
      </c>
      <c r="D10">
        <f>30+14</f>
        <v>44</v>
      </c>
      <c r="F10" s="256">
        <v>6.3299999999999995E-2</v>
      </c>
      <c r="G10">
        <f t="shared" si="0"/>
        <v>28903.508383561646</v>
      </c>
      <c r="I10" s="119">
        <v>519200</v>
      </c>
      <c r="J10" s="100">
        <f t="shared" si="1"/>
        <v>0</v>
      </c>
      <c r="K10">
        <f t="shared" si="2"/>
        <v>321</v>
      </c>
      <c r="L10" s="99">
        <f t="shared" si="3"/>
        <v>28903.508383561646</v>
      </c>
      <c r="N10" s="255">
        <v>43284</v>
      </c>
      <c r="O10" s="258">
        <v>79000</v>
      </c>
      <c r="P10" s="259">
        <v>365</v>
      </c>
      <c r="Q10">
        <f>30+31+30+2</f>
        <v>93</v>
      </c>
      <c r="R10" s="206">
        <f t="shared" si="4"/>
        <v>272</v>
      </c>
      <c r="S10" s="256">
        <v>0.31669999999999998</v>
      </c>
      <c r="T10">
        <f t="shared" si="5"/>
        <v>18644.519452054792</v>
      </c>
    </row>
    <row r="11" spans="1:20">
      <c r="A11" s="255">
        <v>43251</v>
      </c>
      <c r="B11" s="358">
        <v>103026</v>
      </c>
      <c r="C11">
        <f>365</f>
        <v>365</v>
      </c>
      <c r="D11">
        <f>30+30</f>
        <v>60</v>
      </c>
      <c r="F11" s="256">
        <v>6.3299999999999995E-2</v>
      </c>
      <c r="G11">
        <f t="shared" si="0"/>
        <v>5449.5108739726029</v>
      </c>
      <c r="I11" s="119">
        <v>103026</v>
      </c>
      <c r="J11" s="100">
        <f t="shared" si="1"/>
        <v>0</v>
      </c>
      <c r="K11">
        <f t="shared" si="2"/>
        <v>305</v>
      </c>
      <c r="L11" s="99">
        <f t="shared" si="3"/>
        <v>5449.5108739726029</v>
      </c>
      <c r="N11" s="255">
        <v>43298</v>
      </c>
      <c r="O11" s="258">
        <v>39490</v>
      </c>
      <c r="P11" s="259">
        <v>365</v>
      </c>
      <c r="Q11">
        <f>30+31+30+16</f>
        <v>107</v>
      </c>
      <c r="R11" s="206">
        <f t="shared" si="4"/>
        <v>258</v>
      </c>
      <c r="S11" s="256">
        <v>0.31669999999999998</v>
      </c>
      <c r="T11">
        <f t="shared" si="5"/>
        <v>8840.1989424657531</v>
      </c>
    </row>
    <row r="12" spans="1:20">
      <c r="A12" s="255">
        <v>43257</v>
      </c>
      <c r="B12" s="358">
        <v>93886</v>
      </c>
      <c r="C12">
        <f>365</f>
        <v>365</v>
      </c>
      <c r="D12">
        <f>30+31+5</f>
        <v>66</v>
      </c>
      <c r="F12" s="256">
        <v>6.3299999999999995E-2</v>
      </c>
      <c r="G12">
        <f t="shared" si="0"/>
        <v>4868.3620717808226</v>
      </c>
      <c r="I12" s="119">
        <v>93886</v>
      </c>
      <c r="J12" s="100">
        <f t="shared" si="1"/>
        <v>0</v>
      </c>
      <c r="K12">
        <f t="shared" si="2"/>
        <v>299</v>
      </c>
      <c r="L12" s="99">
        <f t="shared" si="3"/>
        <v>4868.3620717808226</v>
      </c>
      <c r="N12" s="255">
        <v>43372</v>
      </c>
      <c r="O12" s="258">
        <v>94400</v>
      </c>
      <c r="P12" s="259">
        <v>365</v>
      </c>
      <c r="Q12">
        <f>30+31+30+31+31+28</f>
        <v>181</v>
      </c>
      <c r="R12" s="206">
        <f t="shared" si="4"/>
        <v>184</v>
      </c>
      <c r="S12" s="256">
        <v>0.31669999999999998</v>
      </c>
      <c r="T12">
        <f t="shared" si="5"/>
        <v>15071.102246575343</v>
      </c>
    </row>
    <row r="13" spans="1:20">
      <c r="A13" s="255">
        <v>43265</v>
      </c>
      <c r="B13" s="358">
        <v>147795</v>
      </c>
      <c r="C13">
        <f>365</f>
        <v>365</v>
      </c>
      <c r="D13">
        <f>30+31+13</f>
        <v>74</v>
      </c>
      <c r="F13" s="256">
        <v>6.3299999999999995E-2</v>
      </c>
      <c r="G13">
        <f t="shared" si="0"/>
        <v>7458.707502739725</v>
      </c>
      <c r="I13" s="119">
        <v>147795</v>
      </c>
      <c r="J13" s="100">
        <f t="shared" si="1"/>
        <v>0</v>
      </c>
      <c r="K13">
        <f t="shared" si="2"/>
        <v>291</v>
      </c>
      <c r="L13" s="99">
        <f t="shared" si="3"/>
        <v>7458.707502739725</v>
      </c>
      <c r="N13" s="255">
        <v>43372</v>
      </c>
      <c r="O13" s="258">
        <v>20000</v>
      </c>
      <c r="P13" s="259">
        <v>365</v>
      </c>
      <c r="Q13">
        <v>181</v>
      </c>
      <c r="R13" s="206">
        <f t="shared" si="4"/>
        <v>184</v>
      </c>
      <c r="S13" s="256">
        <v>0.31669999999999998</v>
      </c>
      <c r="T13">
        <f t="shared" si="5"/>
        <v>3193.0301369863014</v>
      </c>
    </row>
    <row r="14" spans="1:20">
      <c r="A14" s="255">
        <v>43273</v>
      </c>
      <c r="B14" s="358">
        <v>18750</v>
      </c>
      <c r="C14">
        <f>365</f>
        <v>365</v>
      </c>
      <c r="D14">
        <f>30+31+21</f>
        <v>82</v>
      </c>
      <c r="F14" s="256">
        <v>6.3299999999999995E-2</v>
      </c>
      <c r="G14">
        <f t="shared" si="0"/>
        <v>920.23458904109589</v>
      </c>
      <c r="I14" s="119">
        <v>18750</v>
      </c>
      <c r="J14" s="100">
        <f t="shared" si="1"/>
        <v>0</v>
      </c>
      <c r="K14">
        <f t="shared" si="2"/>
        <v>283</v>
      </c>
      <c r="L14" s="99">
        <f t="shared" si="3"/>
        <v>920.23458904109589</v>
      </c>
      <c r="N14" s="255">
        <v>43434</v>
      </c>
      <c r="O14" s="258">
        <v>15694</v>
      </c>
      <c r="P14" s="259">
        <v>365</v>
      </c>
      <c r="Q14">
        <f>30+31+30+31+31+30+31+29</f>
        <v>243</v>
      </c>
      <c r="R14" s="206">
        <f t="shared" si="4"/>
        <v>122</v>
      </c>
      <c r="S14" s="256">
        <v>0.31669999999999998</v>
      </c>
      <c r="T14">
        <f t="shared" si="5"/>
        <v>1661.3023441095888</v>
      </c>
    </row>
    <row r="15" spans="1:20">
      <c r="A15" s="255">
        <v>43273</v>
      </c>
      <c r="B15" s="358">
        <v>21500</v>
      </c>
      <c r="C15">
        <f>365</f>
        <v>365</v>
      </c>
      <c r="D15">
        <v>82</v>
      </c>
      <c r="F15" s="256">
        <v>6.3299999999999995E-2</v>
      </c>
      <c r="G15">
        <f t="shared" si="0"/>
        <v>1055.2023287671232</v>
      </c>
      <c r="I15" s="119">
        <v>21500</v>
      </c>
      <c r="J15" s="100">
        <f t="shared" si="1"/>
        <v>0</v>
      </c>
      <c r="K15">
        <f t="shared" si="2"/>
        <v>283</v>
      </c>
      <c r="L15" s="99">
        <f t="shared" si="3"/>
        <v>1055.2023287671232</v>
      </c>
      <c r="N15" s="255">
        <v>43514</v>
      </c>
      <c r="O15" s="258">
        <v>132042</v>
      </c>
      <c r="P15" s="259">
        <v>365</v>
      </c>
      <c r="Q15">
        <f>30+31+30+31+31+30+31+30+31+31+17</f>
        <v>323</v>
      </c>
      <c r="R15" s="206">
        <f t="shared" si="4"/>
        <v>42</v>
      </c>
      <c r="S15" s="256">
        <v>0.31669999999999998</v>
      </c>
      <c r="T15">
        <f t="shared" si="5"/>
        <v>4811.899887123287</v>
      </c>
    </row>
    <row r="16" spans="1:20">
      <c r="A16" s="255">
        <v>43273</v>
      </c>
      <c r="B16" s="358">
        <v>162694</v>
      </c>
      <c r="C16">
        <f>365</f>
        <v>365</v>
      </c>
      <c r="D16">
        <v>82</v>
      </c>
      <c r="F16" s="256">
        <v>6.3299999999999995E-2</v>
      </c>
      <c r="G16">
        <f t="shared" si="0"/>
        <v>7984.8877989041093</v>
      </c>
      <c r="I16" s="119">
        <v>162694</v>
      </c>
      <c r="J16" s="100">
        <f t="shared" si="1"/>
        <v>0</v>
      </c>
      <c r="K16">
        <f t="shared" si="2"/>
        <v>283</v>
      </c>
      <c r="L16" s="99">
        <f t="shared" si="3"/>
        <v>7984.8877989041093</v>
      </c>
      <c r="N16" s="255">
        <v>43524</v>
      </c>
      <c r="O16" s="258">
        <v>3400</v>
      </c>
      <c r="P16" s="259">
        <v>365</v>
      </c>
      <c r="Q16">
        <f>30+31+30+31+31+30+31+30+31+31+27</f>
        <v>333</v>
      </c>
      <c r="R16" s="206">
        <f t="shared" si="4"/>
        <v>32</v>
      </c>
      <c r="S16" s="256">
        <v>0.31669999999999998</v>
      </c>
      <c r="T16">
        <f t="shared" si="5"/>
        <v>94.402630136986303</v>
      </c>
    </row>
    <row r="17" spans="1:21">
      <c r="A17" s="255">
        <v>43274</v>
      </c>
      <c r="B17" s="358">
        <v>18750</v>
      </c>
      <c r="C17">
        <f>365</f>
        <v>365</v>
      </c>
      <c r="D17">
        <v>83</v>
      </c>
      <c r="F17" s="256">
        <v>6.3299999999999995E-2</v>
      </c>
      <c r="G17">
        <f t="shared" si="0"/>
        <v>916.98287671232879</v>
      </c>
      <c r="I17" s="119">
        <v>18750</v>
      </c>
      <c r="J17" s="100">
        <f t="shared" si="1"/>
        <v>0</v>
      </c>
      <c r="K17">
        <f t="shared" si="2"/>
        <v>282</v>
      </c>
      <c r="L17" s="99">
        <f t="shared" si="3"/>
        <v>916.98287671232879</v>
      </c>
      <c r="N17" s="255">
        <v>43526</v>
      </c>
      <c r="O17" s="258">
        <v>4000</v>
      </c>
      <c r="P17" s="259">
        <v>365</v>
      </c>
      <c r="Q17">
        <f>30+31+30+31+31+30+31+30+31+31+28+1</f>
        <v>335</v>
      </c>
      <c r="R17" s="206">
        <f t="shared" si="4"/>
        <v>30</v>
      </c>
      <c r="S17" s="256">
        <v>0.31669999999999998</v>
      </c>
      <c r="T17">
        <f t="shared" si="5"/>
        <v>104.12054794520547</v>
      </c>
    </row>
    <row r="18" spans="1:21">
      <c r="A18" s="255">
        <v>43274</v>
      </c>
      <c r="B18" s="358">
        <v>186388</v>
      </c>
      <c r="C18">
        <f>365</f>
        <v>365</v>
      </c>
      <c r="D18">
        <v>83</v>
      </c>
      <c r="F18" s="256">
        <v>6.3299999999999995E-2</v>
      </c>
      <c r="G18">
        <f t="shared" si="0"/>
        <v>9115.4455693150685</v>
      </c>
      <c r="I18" s="119">
        <v>186388</v>
      </c>
      <c r="J18" s="100">
        <f t="shared" si="1"/>
        <v>0</v>
      </c>
      <c r="K18">
        <f t="shared" si="2"/>
        <v>282</v>
      </c>
      <c r="L18" s="99">
        <f t="shared" si="3"/>
        <v>9115.4455693150685</v>
      </c>
      <c r="N18" s="255">
        <v>43540</v>
      </c>
      <c r="O18" s="258">
        <v>8850</v>
      </c>
      <c r="P18" s="259">
        <v>365</v>
      </c>
      <c r="Q18">
        <f>30+31+30+31+31+30+31+30+31+31+28+15</f>
        <v>349</v>
      </c>
      <c r="R18" s="206">
        <f t="shared" si="4"/>
        <v>16</v>
      </c>
      <c r="S18" s="256">
        <v>0.31669999999999998</v>
      </c>
      <c r="T18">
        <f t="shared" si="5"/>
        <v>122.86224657534245</v>
      </c>
    </row>
    <row r="19" spans="1:21">
      <c r="A19" s="255">
        <v>43274</v>
      </c>
      <c r="B19" s="358">
        <v>79296</v>
      </c>
      <c r="C19">
        <f>365</f>
        <v>365</v>
      </c>
      <c r="D19">
        <v>83</v>
      </c>
      <c r="F19" s="256">
        <v>6.3299999999999995E-2</v>
      </c>
      <c r="G19">
        <f t="shared" si="0"/>
        <v>3878.0306235616436</v>
      </c>
      <c r="I19" s="119">
        <v>79296</v>
      </c>
      <c r="J19" s="100">
        <f t="shared" si="1"/>
        <v>0</v>
      </c>
      <c r="K19">
        <f t="shared" si="2"/>
        <v>282</v>
      </c>
      <c r="L19" s="99">
        <f t="shared" si="3"/>
        <v>3878.0306235616436</v>
      </c>
      <c r="O19" s="257">
        <f>SUM(O5:O18)</f>
        <v>613880</v>
      </c>
      <c r="T19" s="254">
        <f>SUM(T5:T18)</f>
        <v>109362.18804054795</v>
      </c>
    </row>
    <row r="20" spans="1:21">
      <c r="A20" s="255">
        <v>43274</v>
      </c>
      <c r="B20" s="358">
        <v>21000</v>
      </c>
      <c r="C20">
        <f>365</f>
        <v>365</v>
      </c>
      <c r="D20">
        <v>83</v>
      </c>
      <c r="F20" s="256">
        <v>6.3299999999999995E-2</v>
      </c>
      <c r="G20">
        <f t="shared" si="0"/>
        <v>1027.0208219178082</v>
      </c>
      <c r="I20" s="119">
        <v>21000</v>
      </c>
      <c r="J20" s="100">
        <f t="shared" si="1"/>
        <v>0</v>
      </c>
      <c r="K20">
        <f t="shared" si="2"/>
        <v>282</v>
      </c>
      <c r="L20" s="99">
        <f t="shared" si="3"/>
        <v>1027.0208219178082</v>
      </c>
    </row>
    <row r="21" spans="1:21">
      <c r="A21" s="255">
        <v>43278</v>
      </c>
      <c r="B21" s="358">
        <v>19470</v>
      </c>
      <c r="C21">
        <f>365</f>
        <v>365</v>
      </c>
      <c r="D21">
        <f>30+31+26</f>
        <v>87</v>
      </c>
      <c r="F21" s="256">
        <v>6.3299999999999995E-2</v>
      </c>
      <c r="G21">
        <f t="shared" si="0"/>
        <v>938.68870684931494</v>
      </c>
      <c r="I21" s="119">
        <v>19470</v>
      </c>
      <c r="J21" s="100">
        <f t="shared" si="1"/>
        <v>0</v>
      </c>
      <c r="K21">
        <f t="shared" si="2"/>
        <v>278</v>
      </c>
      <c r="L21" s="99">
        <f t="shared" si="3"/>
        <v>938.68870684931494</v>
      </c>
      <c r="N21" s="261" t="s">
        <v>1266</v>
      </c>
    </row>
    <row r="22" spans="1:21">
      <c r="A22" s="255">
        <v>43279</v>
      </c>
      <c r="B22" s="358">
        <v>296369</v>
      </c>
      <c r="C22">
        <f>365</f>
        <v>365</v>
      </c>
      <c r="D22">
        <v>88</v>
      </c>
      <c r="E22">
        <f>C22-D22</f>
        <v>277</v>
      </c>
      <c r="F22" s="256">
        <v>6.3299999999999995E-2</v>
      </c>
      <c r="G22">
        <f>B22*F22*E22/365</f>
        <v>14237.160775068494</v>
      </c>
      <c r="J22" s="100">
        <f t="shared" si="1"/>
        <v>296369</v>
      </c>
      <c r="L22" s="99"/>
    </row>
    <row r="23" spans="1:21">
      <c r="A23" s="255">
        <v>43280</v>
      </c>
      <c r="B23" s="358">
        <v>359900</v>
      </c>
      <c r="C23">
        <f>365</f>
        <v>365</v>
      </c>
      <c r="D23">
        <v>89</v>
      </c>
      <c r="F23" s="256">
        <v>6.3299999999999995E-2</v>
      </c>
      <c r="G23">
        <f t="shared" ref="G23:G54" si="6">B23*F23*K23/365</f>
        <v>17226.687452054794</v>
      </c>
      <c r="I23" s="119">
        <v>359900</v>
      </c>
      <c r="J23" s="100">
        <f t="shared" si="1"/>
        <v>0</v>
      </c>
      <c r="K23">
        <f t="shared" ref="K23:K54" si="7">C23-D23</f>
        <v>276</v>
      </c>
      <c r="L23" s="99">
        <f t="shared" ref="L23:L54" si="8">I23*F23*K23/365</f>
        <v>17226.687452054794</v>
      </c>
      <c r="N23" s="254" t="s">
        <v>1880</v>
      </c>
      <c r="O23" s="254" t="s">
        <v>1881</v>
      </c>
      <c r="P23" s="254" t="s">
        <v>1885</v>
      </c>
      <c r="Q23" s="254"/>
      <c r="R23" s="254"/>
      <c r="S23" s="254" t="s">
        <v>1882</v>
      </c>
      <c r="T23" s="254" t="s">
        <v>1883</v>
      </c>
      <c r="U23" s="254" t="s">
        <v>1884</v>
      </c>
    </row>
    <row r="24" spans="1:21">
      <c r="A24" s="255">
        <v>43280</v>
      </c>
      <c r="B24" s="358">
        <v>643448</v>
      </c>
      <c r="C24">
        <f>365</f>
        <v>365</v>
      </c>
      <c r="D24">
        <v>89</v>
      </c>
      <c r="F24" s="256">
        <v>6.3299999999999995E-2</v>
      </c>
      <c r="G24">
        <f t="shared" si="6"/>
        <v>30798.770735342463</v>
      </c>
      <c r="I24" s="119">
        <v>643448</v>
      </c>
      <c r="J24" s="100">
        <f t="shared" si="1"/>
        <v>0</v>
      </c>
      <c r="K24">
        <f t="shared" si="7"/>
        <v>276</v>
      </c>
      <c r="L24" s="99">
        <f t="shared" si="8"/>
        <v>30798.770735342463</v>
      </c>
      <c r="N24" s="255">
        <v>43298</v>
      </c>
      <c r="O24" s="259"/>
      <c r="P24" s="258">
        <v>245000</v>
      </c>
      <c r="Q24" s="260">
        <v>365</v>
      </c>
    </row>
    <row r="25" spans="1:21">
      <c r="A25" s="255">
        <v>43280</v>
      </c>
      <c r="B25" s="358">
        <v>102070</v>
      </c>
      <c r="C25">
        <f>365</f>
        <v>365</v>
      </c>
      <c r="D25">
        <v>89</v>
      </c>
      <c r="F25" s="256">
        <v>6.3299999999999995E-2</v>
      </c>
      <c r="G25">
        <f t="shared" si="6"/>
        <v>4885.6015232876716</v>
      </c>
      <c r="I25" s="119">
        <v>102070</v>
      </c>
      <c r="J25" s="100">
        <f t="shared" si="1"/>
        <v>0</v>
      </c>
      <c r="K25">
        <f t="shared" si="7"/>
        <v>276</v>
      </c>
      <c r="L25" s="99">
        <f t="shared" si="8"/>
        <v>4885.6015232876716</v>
      </c>
      <c r="N25" s="255">
        <v>43298</v>
      </c>
      <c r="O25" s="258">
        <v>906322</v>
      </c>
      <c r="P25" s="259"/>
      <c r="Q25" s="260">
        <v>365</v>
      </c>
      <c r="R25">
        <f>30+31+30+16</f>
        <v>107</v>
      </c>
      <c r="S25">
        <f>Q25-R25</f>
        <v>258</v>
      </c>
      <c r="T25" s="256">
        <v>0.11874999999999999</v>
      </c>
      <c r="U25">
        <f>O25*T25*S25/365</f>
        <v>76075.178835616432</v>
      </c>
    </row>
    <row r="26" spans="1:21">
      <c r="A26" s="255">
        <v>43290</v>
      </c>
      <c r="B26" s="358">
        <v>444897</v>
      </c>
      <c r="C26">
        <f>365</f>
        <v>365</v>
      </c>
      <c r="D26">
        <f>30+31+30+8</f>
        <v>99</v>
      </c>
      <c r="F26" s="256">
        <v>6.3299999999999995E-2</v>
      </c>
      <c r="G26">
        <f t="shared" si="6"/>
        <v>20523.525223561643</v>
      </c>
      <c r="I26" s="119">
        <v>444897</v>
      </c>
      <c r="J26" s="100">
        <f t="shared" si="1"/>
        <v>0</v>
      </c>
      <c r="K26">
        <f t="shared" si="7"/>
        <v>266</v>
      </c>
      <c r="L26" s="99">
        <f t="shared" si="8"/>
        <v>20523.525223561643</v>
      </c>
      <c r="N26" s="255">
        <v>43300</v>
      </c>
      <c r="O26" s="258">
        <v>16000</v>
      </c>
      <c r="P26" s="259"/>
      <c r="Q26" s="260">
        <v>365</v>
      </c>
      <c r="R26">
        <v>109</v>
      </c>
      <c r="S26">
        <f>Q26-R26</f>
        <v>256</v>
      </c>
      <c r="T26" s="256">
        <v>0.11874999999999999</v>
      </c>
      <c r="U26">
        <f>O26*T26*S26/365</f>
        <v>1332.6027397260275</v>
      </c>
    </row>
    <row r="27" spans="1:21">
      <c r="A27" s="255">
        <v>43291</v>
      </c>
      <c r="B27" s="358">
        <v>25200</v>
      </c>
      <c r="C27">
        <f>365</f>
        <v>365</v>
      </c>
      <c r="D27">
        <v>100</v>
      </c>
      <c r="F27" s="256">
        <v>6.3299999999999995E-2</v>
      </c>
      <c r="G27">
        <f t="shared" si="6"/>
        <v>1158.1298630136985</v>
      </c>
      <c r="I27" s="119">
        <v>25200</v>
      </c>
      <c r="J27" s="100">
        <f t="shared" si="1"/>
        <v>0</v>
      </c>
      <c r="K27">
        <f t="shared" si="7"/>
        <v>265</v>
      </c>
      <c r="L27" s="99">
        <f t="shared" si="8"/>
        <v>1158.1298630136985</v>
      </c>
      <c r="N27" s="255">
        <v>43308</v>
      </c>
      <c r="O27" s="258">
        <v>844044</v>
      </c>
      <c r="P27" s="259"/>
      <c r="Q27" s="260">
        <v>365</v>
      </c>
      <c r="R27">
        <f>30+31+30+26</f>
        <v>117</v>
      </c>
      <c r="S27">
        <f>Q27-R27</f>
        <v>248</v>
      </c>
      <c r="T27" s="256">
        <v>0.11874999999999999</v>
      </c>
      <c r="U27">
        <f>O27*T27*S27/365</f>
        <v>68101.632328767111</v>
      </c>
    </row>
    <row r="28" spans="1:21">
      <c r="A28" s="255">
        <v>43292</v>
      </c>
      <c r="B28" s="358">
        <v>1172448</v>
      </c>
      <c r="C28">
        <f>365</f>
        <v>365</v>
      </c>
      <c r="D28">
        <f>30+31+30+10</f>
        <v>101</v>
      </c>
      <c r="F28" s="256">
        <v>6.3299999999999995E-2</v>
      </c>
      <c r="G28">
        <f t="shared" si="6"/>
        <v>53679.487719452045</v>
      </c>
      <c r="I28" s="119">
        <v>1172448</v>
      </c>
      <c r="J28" s="100">
        <f t="shared" si="1"/>
        <v>0</v>
      </c>
      <c r="K28">
        <f t="shared" si="7"/>
        <v>264</v>
      </c>
      <c r="L28" s="99">
        <f t="shared" si="8"/>
        <v>53679.487719452045</v>
      </c>
      <c r="N28" s="255">
        <v>43368</v>
      </c>
      <c r="O28" s="258">
        <v>928000</v>
      </c>
      <c r="P28" s="259"/>
      <c r="Q28" s="260">
        <v>365</v>
      </c>
      <c r="R28">
        <f>30+31+30+31+31+24</f>
        <v>177</v>
      </c>
      <c r="S28">
        <f>Q28-R28</f>
        <v>188</v>
      </c>
      <c r="T28" s="256">
        <v>0.11874999999999999</v>
      </c>
      <c r="U28">
        <f>O28*T28*S28/365</f>
        <v>56760.547945205479</v>
      </c>
    </row>
    <row r="29" spans="1:21">
      <c r="A29" s="255">
        <v>43295</v>
      </c>
      <c r="B29" s="358">
        <v>678500</v>
      </c>
      <c r="C29">
        <f>365</f>
        <v>365</v>
      </c>
      <c r="D29">
        <f>30+31+30+13</f>
        <v>104</v>
      </c>
      <c r="F29" s="256">
        <v>6.3299999999999995E-2</v>
      </c>
      <c r="G29">
        <f t="shared" si="6"/>
        <v>30711.512465753422</v>
      </c>
      <c r="I29" s="119">
        <v>678500</v>
      </c>
      <c r="J29" s="100">
        <f t="shared" si="1"/>
        <v>0</v>
      </c>
      <c r="K29">
        <f t="shared" si="7"/>
        <v>261</v>
      </c>
      <c r="L29" s="99">
        <f t="shared" si="8"/>
        <v>30711.512465753422</v>
      </c>
      <c r="O29" s="257">
        <f>SUM(O25:O28)</f>
        <v>2694366</v>
      </c>
      <c r="T29">
        <f>95/8</f>
        <v>11.875</v>
      </c>
      <c r="U29" s="254">
        <f>SUM(U25:U28)</f>
        <v>202269.96184931503</v>
      </c>
    </row>
    <row r="30" spans="1:21">
      <c r="A30" s="255">
        <v>43301</v>
      </c>
      <c r="B30" s="358">
        <v>147500</v>
      </c>
      <c r="C30">
        <f>365</f>
        <v>365</v>
      </c>
      <c r="D30">
        <f>30+31+30+19</f>
        <v>110</v>
      </c>
      <c r="F30" s="256">
        <v>6.3299999999999995E-2</v>
      </c>
      <c r="G30">
        <f t="shared" si="6"/>
        <v>6522.9349315068494</v>
      </c>
      <c r="I30" s="119">
        <v>147500</v>
      </c>
      <c r="J30" s="100">
        <f t="shared" si="1"/>
        <v>0</v>
      </c>
      <c r="K30">
        <f t="shared" si="7"/>
        <v>255</v>
      </c>
      <c r="L30" s="99">
        <f t="shared" si="8"/>
        <v>6522.9349315068494</v>
      </c>
      <c r="O30" s="258"/>
    </row>
    <row r="31" spans="1:21">
      <c r="A31" s="255">
        <v>43301</v>
      </c>
      <c r="B31" s="358">
        <v>17700</v>
      </c>
      <c r="C31">
        <f>365</f>
        <v>365</v>
      </c>
      <c r="D31">
        <v>110</v>
      </c>
      <c r="F31" s="256">
        <v>6.3299999999999995E-2</v>
      </c>
      <c r="G31">
        <f t="shared" si="6"/>
        <v>782.75219178082193</v>
      </c>
      <c r="I31" s="119">
        <v>17700</v>
      </c>
      <c r="J31" s="100">
        <f t="shared" si="1"/>
        <v>0</v>
      </c>
      <c r="K31">
        <f t="shared" si="7"/>
        <v>255</v>
      </c>
      <c r="L31" s="99">
        <f t="shared" si="8"/>
        <v>782.75219178082193</v>
      </c>
    </row>
    <row r="32" spans="1:21">
      <c r="A32" s="255">
        <v>43306</v>
      </c>
      <c r="B32" s="358">
        <v>210040</v>
      </c>
      <c r="C32">
        <f>365</f>
        <v>365</v>
      </c>
      <c r="D32">
        <v>114</v>
      </c>
      <c r="F32" s="256">
        <v>6.3299999999999995E-2</v>
      </c>
      <c r="G32">
        <f t="shared" si="6"/>
        <v>9142.9548821917797</v>
      </c>
      <c r="I32" s="119">
        <v>210040</v>
      </c>
      <c r="J32" s="100">
        <f t="shared" si="1"/>
        <v>0</v>
      </c>
      <c r="K32">
        <f t="shared" si="7"/>
        <v>251</v>
      </c>
      <c r="L32" s="99">
        <f t="shared" si="8"/>
        <v>9142.9548821917797</v>
      </c>
    </row>
    <row r="33" spans="1:18">
      <c r="A33" s="255">
        <v>43306</v>
      </c>
      <c r="B33" s="358">
        <v>16284</v>
      </c>
      <c r="C33">
        <f>365</f>
        <v>365</v>
      </c>
      <c r="D33">
        <v>114</v>
      </c>
      <c r="F33" s="256">
        <v>6.3299999999999995E-2</v>
      </c>
      <c r="G33">
        <f t="shared" si="6"/>
        <v>708.83582794520544</v>
      </c>
      <c r="I33" s="119">
        <v>16284</v>
      </c>
      <c r="J33" s="100">
        <f t="shared" si="1"/>
        <v>0</v>
      </c>
      <c r="K33">
        <f t="shared" si="7"/>
        <v>251</v>
      </c>
      <c r="L33" s="99">
        <f t="shared" si="8"/>
        <v>708.83582794520544</v>
      </c>
    </row>
    <row r="34" spans="1:18">
      <c r="A34" s="255">
        <v>43313</v>
      </c>
      <c r="B34" s="358">
        <v>24700</v>
      </c>
      <c r="C34">
        <f>365</f>
        <v>365</v>
      </c>
      <c r="D34">
        <f>30+31+30+31</f>
        <v>122</v>
      </c>
      <c r="F34" s="256">
        <v>6.3299999999999995E-2</v>
      </c>
      <c r="G34">
        <f t="shared" si="6"/>
        <v>1040.9121369863014</v>
      </c>
      <c r="I34" s="119">
        <v>24700</v>
      </c>
      <c r="J34" s="100">
        <f t="shared" si="1"/>
        <v>0</v>
      </c>
      <c r="K34">
        <f t="shared" si="7"/>
        <v>243</v>
      </c>
      <c r="L34" s="99">
        <f t="shared" si="8"/>
        <v>1040.9121369863014</v>
      </c>
    </row>
    <row r="35" spans="1:18">
      <c r="A35" s="255">
        <v>43313</v>
      </c>
      <c r="B35" s="358">
        <v>56544</v>
      </c>
      <c r="C35">
        <f>365</f>
        <v>365</v>
      </c>
      <c r="D35">
        <v>122</v>
      </c>
      <c r="F35" s="256">
        <v>6.3299999999999995E-2</v>
      </c>
      <c r="G35">
        <f t="shared" si="6"/>
        <v>2382.8880920547945</v>
      </c>
      <c r="I35" s="119">
        <v>56544</v>
      </c>
      <c r="J35" s="100">
        <f t="shared" si="1"/>
        <v>0</v>
      </c>
      <c r="K35">
        <f t="shared" si="7"/>
        <v>243</v>
      </c>
      <c r="L35" s="99">
        <f t="shared" si="8"/>
        <v>2382.8880920547945</v>
      </c>
    </row>
    <row r="36" spans="1:18">
      <c r="A36" s="255">
        <v>43337</v>
      </c>
      <c r="B36" s="358">
        <v>297000</v>
      </c>
      <c r="C36">
        <f>365</f>
        <v>365</v>
      </c>
      <c r="D36">
        <f>30+31+30+31+24</f>
        <v>146</v>
      </c>
      <c r="F36" s="256">
        <v>6.3299999999999995E-2</v>
      </c>
      <c r="G36">
        <f t="shared" si="6"/>
        <v>11280.06</v>
      </c>
      <c r="I36" s="119">
        <v>297000</v>
      </c>
      <c r="J36" s="100">
        <f t="shared" si="1"/>
        <v>0</v>
      </c>
      <c r="K36">
        <f t="shared" si="7"/>
        <v>219</v>
      </c>
      <c r="L36" s="99">
        <f t="shared" si="8"/>
        <v>11280.06</v>
      </c>
      <c r="N36" t="s">
        <v>93</v>
      </c>
    </row>
    <row r="37" spans="1:18">
      <c r="A37" s="255">
        <v>43338</v>
      </c>
      <c r="B37" s="358">
        <v>432500</v>
      </c>
      <c r="C37">
        <f>365</f>
        <v>365</v>
      </c>
      <c r="D37">
        <v>147</v>
      </c>
      <c r="F37" s="256">
        <v>6.3299999999999995E-2</v>
      </c>
      <c r="G37">
        <f t="shared" si="6"/>
        <v>16351.343835616435</v>
      </c>
      <c r="I37" s="119">
        <v>432500</v>
      </c>
      <c r="J37" s="100">
        <f t="shared" si="1"/>
        <v>0</v>
      </c>
      <c r="K37">
        <f t="shared" si="7"/>
        <v>218</v>
      </c>
      <c r="L37" s="99">
        <f t="shared" si="8"/>
        <v>16351.343835616435</v>
      </c>
      <c r="P37" s="218">
        <v>43921</v>
      </c>
    </row>
    <row r="38" spans="1:18">
      <c r="A38" s="255">
        <v>43344</v>
      </c>
      <c r="B38" s="358">
        <v>109445</v>
      </c>
      <c r="C38">
        <f>365</f>
        <v>365</v>
      </c>
      <c r="D38">
        <f>30+31+30+31+31</f>
        <v>153</v>
      </c>
      <c r="F38" s="256">
        <v>6.3299999999999995E-2</v>
      </c>
      <c r="G38">
        <f t="shared" si="6"/>
        <v>4023.8578684931508</v>
      </c>
      <c r="I38" s="119">
        <v>109445</v>
      </c>
      <c r="J38" s="100">
        <f t="shared" ref="J38:J69" si="9">B38-I38</f>
        <v>0</v>
      </c>
      <c r="K38">
        <f t="shared" si="7"/>
        <v>212</v>
      </c>
      <c r="L38" s="99">
        <f t="shared" si="8"/>
        <v>4023.8578684931508</v>
      </c>
      <c r="N38" t="s">
        <v>1880</v>
      </c>
      <c r="O38" t="s">
        <v>1881</v>
      </c>
      <c r="P38" t="s">
        <v>1882</v>
      </c>
      <c r="Q38" t="s">
        <v>1883</v>
      </c>
      <c r="R38" t="s">
        <v>1884</v>
      </c>
    </row>
    <row r="39" spans="1:18">
      <c r="A39" s="255">
        <v>43349</v>
      </c>
      <c r="B39" s="358">
        <v>253700</v>
      </c>
      <c r="C39">
        <f>365</f>
        <v>365</v>
      </c>
      <c r="D39">
        <v>158</v>
      </c>
      <c r="F39" s="256">
        <v>6.3299999999999995E-2</v>
      </c>
      <c r="G39">
        <f t="shared" si="6"/>
        <v>9107.5519726027396</v>
      </c>
      <c r="I39" s="119">
        <v>253700</v>
      </c>
      <c r="J39" s="100">
        <f t="shared" si="9"/>
        <v>0</v>
      </c>
      <c r="K39">
        <f t="shared" si="7"/>
        <v>207</v>
      </c>
      <c r="L39" s="99">
        <f t="shared" si="8"/>
        <v>9107.5519726027396</v>
      </c>
      <c r="N39" s="218">
        <v>43556</v>
      </c>
      <c r="O39">
        <v>6150</v>
      </c>
      <c r="P39">
        <v>365</v>
      </c>
      <c r="Q39" s="519">
        <v>0.31669999999999998</v>
      </c>
      <c r="R39" s="99">
        <f>O39*Q39*P39/365</f>
        <v>1947.7049999999999</v>
      </c>
    </row>
    <row r="40" spans="1:18">
      <c r="A40" s="255">
        <v>43356</v>
      </c>
      <c r="B40" s="358">
        <v>676714</v>
      </c>
      <c r="C40">
        <f>365</f>
        <v>365</v>
      </c>
      <c r="D40">
        <f>30+31+30+31+31+12</f>
        <v>165</v>
      </c>
      <c r="F40" s="256">
        <v>6.3299999999999995E-2</v>
      </c>
      <c r="G40">
        <f t="shared" si="6"/>
        <v>23471.778739726022</v>
      </c>
      <c r="I40" s="119">
        <v>676714</v>
      </c>
      <c r="J40" s="100">
        <f t="shared" si="9"/>
        <v>0</v>
      </c>
      <c r="K40">
        <f t="shared" si="7"/>
        <v>200</v>
      </c>
      <c r="L40" s="99">
        <f t="shared" si="8"/>
        <v>23471.778739726022</v>
      </c>
      <c r="N40" s="218">
        <v>43678</v>
      </c>
      <c r="O40">
        <v>68550</v>
      </c>
      <c r="P40">
        <v>243</v>
      </c>
      <c r="Q40" s="519">
        <v>0.31669999999999998</v>
      </c>
      <c r="R40" s="99">
        <f t="shared" ref="R40:R45" si="10">O40*Q40*P40/365</f>
        <v>14453.363712328766</v>
      </c>
    </row>
    <row r="41" spans="1:18">
      <c r="A41" s="255">
        <v>43362</v>
      </c>
      <c r="B41" s="358">
        <v>105158</v>
      </c>
      <c r="C41">
        <f>365</f>
        <v>365</v>
      </c>
      <c r="D41">
        <f>30+31+30+31+31+18</f>
        <v>171</v>
      </c>
      <c r="F41" s="256">
        <v>6.3299999999999995E-2</v>
      </c>
      <c r="G41">
        <f t="shared" si="6"/>
        <v>3537.9760865753419</v>
      </c>
      <c r="I41" s="119">
        <v>105158</v>
      </c>
      <c r="J41" s="100">
        <f t="shared" si="9"/>
        <v>0</v>
      </c>
      <c r="K41">
        <f t="shared" si="7"/>
        <v>194</v>
      </c>
      <c r="L41" s="99">
        <f t="shared" si="8"/>
        <v>3537.9760865753419</v>
      </c>
      <c r="N41" s="218">
        <v>43709</v>
      </c>
      <c r="O41">
        <v>59590</v>
      </c>
      <c r="P41">
        <v>212</v>
      </c>
      <c r="Q41" s="519">
        <v>0.31669999999999998</v>
      </c>
      <c r="R41" s="99">
        <f t="shared" si="10"/>
        <v>10961.360098630137</v>
      </c>
    </row>
    <row r="42" spans="1:18">
      <c r="A42" s="255">
        <v>43362</v>
      </c>
      <c r="B42" s="358">
        <v>147128</v>
      </c>
      <c r="C42">
        <f>365</f>
        <v>365</v>
      </c>
      <c r="D42">
        <v>171</v>
      </c>
      <c r="F42" s="256">
        <v>6.3299999999999995E-2</v>
      </c>
      <c r="G42">
        <f t="shared" si="6"/>
        <v>4950.030864657534</v>
      </c>
      <c r="I42" s="119">
        <v>147128</v>
      </c>
      <c r="J42" s="100">
        <f t="shared" si="9"/>
        <v>0</v>
      </c>
      <c r="K42">
        <f t="shared" si="7"/>
        <v>194</v>
      </c>
      <c r="L42" s="99">
        <f t="shared" si="8"/>
        <v>4950.030864657534</v>
      </c>
      <c r="N42" s="218">
        <v>43739</v>
      </c>
      <c r="O42">
        <v>2000</v>
      </c>
      <c r="P42">
        <v>182</v>
      </c>
      <c r="Q42" s="519">
        <v>0.31669999999999998</v>
      </c>
      <c r="R42" s="99">
        <f t="shared" si="10"/>
        <v>315.83232876712327</v>
      </c>
    </row>
    <row r="43" spans="1:18">
      <c r="A43" s="255">
        <v>43368</v>
      </c>
      <c r="B43" s="358">
        <v>275176</v>
      </c>
      <c r="C43">
        <f>365</f>
        <v>365</v>
      </c>
      <c r="D43">
        <f>30+31+30+31+31+24</f>
        <v>177</v>
      </c>
      <c r="F43" s="256">
        <v>6.3299999999999995E-2</v>
      </c>
      <c r="G43">
        <f t="shared" si="6"/>
        <v>8971.7930695890391</v>
      </c>
      <c r="I43" s="119">
        <v>275176</v>
      </c>
      <c r="J43" s="100">
        <f t="shared" si="9"/>
        <v>0</v>
      </c>
      <c r="K43">
        <f t="shared" si="7"/>
        <v>188</v>
      </c>
      <c r="L43" s="99">
        <f t="shared" si="8"/>
        <v>8971.7930695890391</v>
      </c>
      <c r="N43" s="218">
        <v>43770</v>
      </c>
      <c r="O43">
        <v>26949</v>
      </c>
      <c r="P43">
        <v>151</v>
      </c>
      <c r="Q43" s="519">
        <v>0.31669999999999998</v>
      </c>
      <c r="R43" s="99">
        <f t="shared" si="10"/>
        <v>3530.8136802739728</v>
      </c>
    </row>
    <row r="44" spans="1:18" s="249" customFormat="1">
      <c r="A44" s="357">
        <v>43380</v>
      </c>
      <c r="B44" s="358">
        <v>277490</v>
      </c>
      <c r="C44" s="249">
        <f>365</f>
        <v>365</v>
      </c>
      <c r="D44" s="249">
        <f>30+31+30+31+31+30+6</f>
        <v>189</v>
      </c>
      <c r="F44" s="359">
        <v>6.3299999999999995E-2</v>
      </c>
      <c r="G44" s="249">
        <f t="shared" si="6"/>
        <v>8469.7550465753411</v>
      </c>
      <c r="I44" s="358">
        <v>277490</v>
      </c>
      <c r="J44" s="207">
        <f t="shared" si="9"/>
        <v>0</v>
      </c>
      <c r="K44" s="249">
        <f t="shared" si="7"/>
        <v>176</v>
      </c>
      <c r="L44" s="226">
        <f t="shared" si="8"/>
        <v>8469.7550465753411</v>
      </c>
      <c r="N44" s="521">
        <v>43800</v>
      </c>
      <c r="O44" s="249">
        <v>9086</v>
      </c>
      <c r="P44" s="249">
        <v>121</v>
      </c>
      <c r="Q44" s="520">
        <v>0.31669999999999998</v>
      </c>
      <c r="R44" s="99">
        <f t="shared" si="10"/>
        <v>953.92295945205478</v>
      </c>
    </row>
    <row r="45" spans="1:18">
      <c r="A45" s="255">
        <v>43385</v>
      </c>
      <c r="B45" s="119">
        <v>44604</v>
      </c>
      <c r="C45">
        <f>365</f>
        <v>365</v>
      </c>
      <c r="D45">
        <f>30+31+30+31+31+30+11</f>
        <v>194</v>
      </c>
      <c r="F45" s="256">
        <v>6.3299999999999995E-2</v>
      </c>
      <c r="G45">
        <f t="shared" si="6"/>
        <v>1322.7591156164383</v>
      </c>
      <c r="I45" s="119">
        <v>44604</v>
      </c>
      <c r="J45" s="100">
        <f t="shared" si="9"/>
        <v>0</v>
      </c>
      <c r="K45">
        <f t="shared" si="7"/>
        <v>171</v>
      </c>
      <c r="L45" s="99">
        <f t="shared" si="8"/>
        <v>1322.7591156164383</v>
      </c>
      <c r="N45" s="218">
        <v>43891</v>
      </c>
      <c r="O45">
        <v>45558</v>
      </c>
      <c r="P45">
        <v>30</v>
      </c>
      <c r="Q45" s="519">
        <v>0.31669999999999998</v>
      </c>
      <c r="R45" s="99">
        <f t="shared" si="10"/>
        <v>1185.8809808219178</v>
      </c>
    </row>
    <row r="46" spans="1:18">
      <c r="A46" s="255">
        <v>43396</v>
      </c>
      <c r="B46" s="119">
        <v>57041</v>
      </c>
      <c r="C46">
        <f>365</f>
        <v>365</v>
      </c>
      <c r="D46">
        <f>30+31+30+31+31+30+22</f>
        <v>205</v>
      </c>
      <c r="F46" s="256">
        <v>6.3299999999999995E-2</v>
      </c>
      <c r="G46">
        <f t="shared" si="6"/>
        <v>1582.7705424657536</v>
      </c>
      <c r="I46" s="119">
        <v>57041</v>
      </c>
      <c r="J46" s="100">
        <f t="shared" si="9"/>
        <v>0</v>
      </c>
      <c r="K46">
        <f t="shared" si="7"/>
        <v>160</v>
      </c>
      <c r="L46" s="99">
        <f t="shared" si="8"/>
        <v>1582.7705424657536</v>
      </c>
    </row>
    <row r="47" spans="1:18">
      <c r="A47" s="255">
        <v>43396</v>
      </c>
      <c r="B47" s="119">
        <v>126924</v>
      </c>
      <c r="C47">
        <f>365</f>
        <v>365</v>
      </c>
      <c r="D47">
        <v>205</v>
      </c>
      <c r="F47" s="256">
        <v>6.3299999999999995E-2</v>
      </c>
      <c r="G47">
        <f t="shared" si="6"/>
        <v>3521.8801972602737</v>
      </c>
      <c r="I47" s="119">
        <v>126924</v>
      </c>
      <c r="J47" s="100">
        <f t="shared" si="9"/>
        <v>0</v>
      </c>
      <c r="K47">
        <f t="shared" si="7"/>
        <v>160</v>
      </c>
      <c r="L47" s="99">
        <f t="shared" si="8"/>
        <v>3521.8801972602737</v>
      </c>
      <c r="O47">
        <f>SUM(O39:O46)</f>
        <v>217883</v>
      </c>
      <c r="R47" s="20">
        <f>SUM(R39:R46)</f>
        <v>33348.878760273969</v>
      </c>
    </row>
    <row r="48" spans="1:18" ht="15" thickBot="1">
      <c r="A48" s="255">
        <v>43399</v>
      </c>
      <c r="B48" s="119">
        <v>431101</v>
      </c>
      <c r="C48">
        <f>365</f>
        <v>365</v>
      </c>
      <c r="D48">
        <f>30+31+30+31+31+30+25</f>
        <v>208</v>
      </c>
      <c r="F48" s="256">
        <v>6.3299999999999995E-2</v>
      </c>
      <c r="G48">
        <f t="shared" si="6"/>
        <v>11737.876296164384</v>
      </c>
      <c r="I48" s="119">
        <v>431101</v>
      </c>
      <c r="J48" s="100">
        <f t="shared" si="9"/>
        <v>0</v>
      </c>
      <c r="K48">
        <f t="shared" si="7"/>
        <v>157</v>
      </c>
      <c r="L48" s="99">
        <f t="shared" si="8"/>
        <v>11737.876296164384</v>
      </c>
    </row>
    <row r="49" spans="1:28" ht="19.8">
      <c r="A49" s="255">
        <v>43402</v>
      </c>
      <c r="B49" s="119">
        <v>42000</v>
      </c>
      <c r="C49">
        <f>365</f>
        <v>365</v>
      </c>
      <c r="D49">
        <f>30+31+30+31+31+30+28</f>
        <v>211</v>
      </c>
      <c r="F49" s="256">
        <v>6.3299999999999995E-2</v>
      </c>
      <c r="G49">
        <f t="shared" si="6"/>
        <v>1121.7106849315066</v>
      </c>
      <c r="I49" s="119">
        <v>42000</v>
      </c>
      <c r="J49" s="100">
        <f t="shared" si="9"/>
        <v>0</v>
      </c>
      <c r="K49">
        <f t="shared" si="7"/>
        <v>154</v>
      </c>
      <c r="L49" s="99">
        <f t="shared" si="8"/>
        <v>1121.7106849315066</v>
      </c>
      <c r="U49" s="230" t="s">
        <v>1123</v>
      </c>
      <c r="V49" t="s">
        <v>2221</v>
      </c>
      <c r="Z49" s="230"/>
    </row>
    <row r="50" spans="1:28">
      <c r="A50" s="255">
        <v>43405</v>
      </c>
      <c r="B50" s="119">
        <v>188210</v>
      </c>
      <c r="C50">
        <f>365</f>
        <v>365</v>
      </c>
      <c r="D50">
        <f>30+31+30+31+31+30+31</f>
        <v>214</v>
      </c>
      <c r="F50" s="256">
        <v>6.3299999999999995E-2</v>
      </c>
      <c r="G50">
        <f t="shared" si="6"/>
        <v>4928.6784739726027</v>
      </c>
      <c r="I50" s="119">
        <v>188210</v>
      </c>
      <c r="J50" s="100">
        <f t="shared" si="9"/>
        <v>0</v>
      </c>
      <c r="K50">
        <f t="shared" si="7"/>
        <v>151</v>
      </c>
      <c r="L50" s="99">
        <f t="shared" si="8"/>
        <v>4928.6784739726027</v>
      </c>
      <c r="N50" t="s">
        <v>1267</v>
      </c>
      <c r="P50" s="218">
        <v>43921</v>
      </c>
      <c r="U50" t="s">
        <v>2220</v>
      </c>
      <c r="V50" t="s">
        <v>2220</v>
      </c>
      <c r="Z50" t="s">
        <v>2220</v>
      </c>
      <c r="AA50" t="s">
        <v>2222</v>
      </c>
    </row>
    <row r="51" spans="1:28" ht="19.8">
      <c r="A51" s="255">
        <v>43406</v>
      </c>
      <c r="B51" s="119">
        <v>514675</v>
      </c>
      <c r="C51">
        <f>365</f>
        <v>365</v>
      </c>
      <c r="D51">
        <f>30+31+30+31+31+30+31+1</f>
        <v>215</v>
      </c>
      <c r="F51" s="256">
        <v>6.3299999999999995E-2</v>
      </c>
      <c r="G51">
        <f t="shared" si="6"/>
        <v>13388.600342465754</v>
      </c>
      <c r="I51" s="119">
        <v>514675</v>
      </c>
      <c r="J51" s="100">
        <f t="shared" si="9"/>
        <v>0</v>
      </c>
      <c r="K51">
        <f t="shared" si="7"/>
        <v>150</v>
      </c>
      <c r="L51" s="99">
        <f t="shared" si="8"/>
        <v>13388.600342465754</v>
      </c>
      <c r="N51" t="s">
        <v>1880</v>
      </c>
      <c r="O51" t="s">
        <v>1881</v>
      </c>
      <c r="P51" t="s">
        <v>1882</v>
      </c>
      <c r="Q51" t="s">
        <v>1883</v>
      </c>
      <c r="R51" t="s">
        <v>1884</v>
      </c>
      <c r="T51" s="224" t="s">
        <v>1361</v>
      </c>
      <c r="U51" s="524">
        <v>868251</v>
      </c>
      <c r="V51" s="524">
        <v>0</v>
      </c>
      <c r="W51" s="524">
        <f>U51+V51</f>
        <v>868251</v>
      </c>
      <c r="X51" s="524"/>
      <c r="Y51" s="524">
        <f>W51+X51</f>
        <v>868251</v>
      </c>
      <c r="Z51" s="524">
        <f>W51*AA51%</f>
        <v>0</v>
      </c>
      <c r="AA51" s="522">
        <v>0</v>
      </c>
      <c r="AB51" s="20">
        <f>W51-Z51</f>
        <v>868251</v>
      </c>
    </row>
    <row r="52" spans="1:28" ht="19.8">
      <c r="A52" s="255">
        <v>43424</v>
      </c>
      <c r="B52" s="119">
        <v>66965</v>
      </c>
      <c r="C52">
        <f>365</f>
        <v>365</v>
      </c>
      <c r="D52">
        <f>30+31+30+31+31+30+31+19</f>
        <v>233</v>
      </c>
      <c r="F52" s="256">
        <v>6.3299999999999995E-2</v>
      </c>
      <c r="G52">
        <f t="shared" si="6"/>
        <v>1532.9664493150683</v>
      </c>
      <c r="I52" s="119">
        <v>66965</v>
      </c>
      <c r="J52" s="100">
        <f t="shared" si="9"/>
        <v>0</v>
      </c>
      <c r="K52">
        <f t="shared" si="7"/>
        <v>132</v>
      </c>
      <c r="L52" s="99">
        <f t="shared" si="8"/>
        <v>1532.9664493150683</v>
      </c>
      <c r="T52" s="225" t="s">
        <v>1130</v>
      </c>
      <c r="U52" s="524">
        <v>114197280</v>
      </c>
      <c r="V52" s="524">
        <v>74314728</v>
      </c>
      <c r="W52" s="524">
        <f t="shared" ref="W52:W57" si="11">U52+V52</f>
        <v>188512008</v>
      </c>
      <c r="X52" s="524"/>
      <c r="Y52" s="524">
        <f>W52+X52</f>
        <v>188512008</v>
      </c>
      <c r="Z52" s="524">
        <f>W52*AA52%</f>
        <v>11939093.839999998</v>
      </c>
      <c r="AA52" s="522">
        <f>95/15</f>
        <v>6.333333333333333</v>
      </c>
      <c r="AB52" s="20">
        <f>W52-Z52</f>
        <v>176572914.16</v>
      </c>
    </row>
    <row r="53" spans="1:28" ht="19.8">
      <c r="A53" s="255">
        <v>43424</v>
      </c>
      <c r="B53" s="119">
        <v>309750</v>
      </c>
      <c r="C53">
        <f>365</f>
        <v>365</v>
      </c>
      <c r="D53">
        <v>233</v>
      </c>
      <c r="F53" s="256">
        <v>6.3299999999999995E-2</v>
      </c>
      <c r="G53">
        <f t="shared" si="6"/>
        <v>7090.8139726027403</v>
      </c>
      <c r="I53" s="119">
        <v>309750</v>
      </c>
      <c r="J53" s="100">
        <f t="shared" si="9"/>
        <v>0</v>
      </c>
      <c r="K53">
        <f t="shared" si="7"/>
        <v>132</v>
      </c>
      <c r="L53" s="99">
        <f t="shared" si="8"/>
        <v>7090.8139726027403</v>
      </c>
      <c r="N53" s="218">
        <v>43556</v>
      </c>
      <c r="O53">
        <v>474080</v>
      </c>
      <c r="P53">
        <v>365</v>
      </c>
      <c r="Q53" s="519">
        <v>6.3299999999999995E-2</v>
      </c>
      <c r="R53" s="99">
        <f t="shared" ref="R53:R62" si="12">O53*Q53*P53/365</f>
        <v>30009.263999999999</v>
      </c>
      <c r="T53" s="225" t="s">
        <v>1131</v>
      </c>
      <c r="U53" s="524">
        <v>3375466</v>
      </c>
      <c r="V53" s="524">
        <v>2732869</v>
      </c>
      <c r="W53" s="524">
        <f>U53+V53</f>
        <v>6108335</v>
      </c>
      <c r="X53" s="524"/>
      <c r="Y53" s="524">
        <f>W53+X53</f>
        <v>6108335</v>
      </c>
      <c r="Z53" s="524">
        <f>W53*AA53%</f>
        <v>1934306.0833333333</v>
      </c>
      <c r="AA53" s="522">
        <f>95/3</f>
        <v>31.666666666666668</v>
      </c>
      <c r="AB53" s="20">
        <f>W53-Z53</f>
        <v>4174028.916666667</v>
      </c>
    </row>
    <row r="54" spans="1:28" ht="19.8">
      <c r="A54" s="255">
        <v>43439</v>
      </c>
      <c r="B54" s="119">
        <v>95328</v>
      </c>
      <c r="C54">
        <f>365</f>
        <v>365</v>
      </c>
      <c r="D54">
        <f>30+31+30+31+31+30+31+30+4</f>
        <v>248</v>
      </c>
      <c r="F54" s="256">
        <v>6.3299999999999995E-2</v>
      </c>
      <c r="G54">
        <f t="shared" si="6"/>
        <v>1934.2704131506848</v>
      </c>
      <c r="I54" s="119">
        <v>95328</v>
      </c>
      <c r="J54" s="100">
        <f t="shared" si="9"/>
        <v>0</v>
      </c>
      <c r="K54">
        <f t="shared" si="7"/>
        <v>117</v>
      </c>
      <c r="L54" s="99">
        <f t="shared" si="8"/>
        <v>1934.2704131506848</v>
      </c>
      <c r="N54" s="218">
        <v>43586</v>
      </c>
      <c r="O54">
        <v>37350</v>
      </c>
      <c r="P54">
        <v>335</v>
      </c>
      <c r="Q54" s="519">
        <v>6.3299999999999995E-2</v>
      </c>
      <c r="R54" s="99">
        <f t="shared" si="12"/>
        <v>2169.9326712328766</v>
      </c>
      <c r="T54" s="225" t="s">
        <v>1132</v>
      </c>
      <c r="U54" s="524">
        <v>681807</v>
      </c>
      <c r="V54" s="524">
        <v>647717</v>
      </c>
      <c r="W54" s="524">
        <f t="shared" si="11"/>
        <v>1329524</v>
      </c>
      <c r="X54" s="524"/>
      <c r="Y54" s="524">
        <f>W54+X54</f>
        <v>1329524</v>
      </c>
      <c r="Z54" s="524">
        <f>W54*AA54%</f>
        <v>126304.78</v>
      </c>
      <c r="AA54" s="522">
        <f>95/10</f>
        <v>9.5</v>
      </c>
      <c r="AB54" s="20">
        <f>W54-Z54</f>
        <v>1203219.22</v>
      </c>
    </row>
    <row r="55" spans="1:28" ht="19.8">
      <c r="A55" s="255">
        <v>43440</v>
      </c>
      <c r="B55" s="119">
        <v>953532</v>
      </c>
      <c r="C55">
        <f>365</f>
        <v>365</v>
      </c>
      <c r="D55">
        <f>30+31+30+31+31+30+31+30+5</f>
        <v>249</v>
      </c>
      <c r="F55" s="256">
        <v>6.3299999999999995E-2</v>
      </c>
      <c r="G55">
        <f t="shared" ref="G55:G71" si="13">B55*F55*K55/365</f>
        <v>19182.451423561641</v>
      </c>
      <c r="I55" s="119">
        <v>953532</v>
      </c>
      <c r="J55" s="100">
        <f t="shared" si="9"/>
        <v>0</v>
      </c>
      <c r="K55">
        <f t="shared" ref="K55:K71" si="14">C55-D55</f>
        <v>116</v>
      </c>
      <c r="L55" s="99">
        <f t="shared" ref="L55:L71" si="15">I55*F55*K55/365</f>
        <v>19182.451423561641</v>
      </c>
      <c r="N55" s="218">
        <v>43617</v>
      </c>
      <c r="O55">
        <v>1130672</v>
      </c>
      <c r="P55">
        <v>304</v>
      </c>
      <c r="Q55" s="519">
        <v>6.3299999999999995E-2</v>
      </c>
      <c r="R55" s="99">
        <f t="shared" si="12"/>
        <v>59610.266932602739</v>
      </c>
      <c r="T55" s="225" t="s">
        <v>1133</v>
      </c>
      <c r="U55" s="524">
        <v>12467748</v>
      </c>
      <c r="V55" s="524">
        <v>7918611</v>
      </c>
      <c r="W55" s="524">
        <f t="shared" si="11"/>
        <v>20386359</v>
      </c>
      <c r="X55" s="524"/>
      <c r="Y55" s="524">
        <f>W55+X55</f>
        <v>20386359</v>
      </c>
      <c r="Z55" s="524">
        <f>W55*AA55%</f>
        <v>2420880.1312500001</v>
      </c>
      <c r="AA55" s="522">
        <f>95/8</f>
        <v>11.875</v>
      </c>
      <c r="AB55" s="20">
        <f>W55-Z55</f>
        <v>17965478.868749999</v>
      </c>
    </row>
    <row r="56" spans="1:28" ht="19.8">
      <c r="A56" s="255">
        <v>43446</v>
      </c>
      <c r="B56" s="119">
        <v>13815</v>
      </c>
      <c r="C56">
        <f>365</f>
        <v>365</v>
      </c>
      <c r="D56">
        <f>30+31+30+31+31+30+31+30+11</f>
        <v>255</v>
      </c>
      <c r="F56" s="256">
        <v>6.3299999999999995E-2</v>
      </c>
      <c r="G56">
        <f t="shared" si="13"/>
        <v>263.54478082191775</v>
      </c>
      <c r="I56" s="119">
        <v>13815</v>
      </c>
      <c r="J56" s="100">
        <f t="shared" si="9"/>
        <v>0</v>
      </c>
      <c r="K56">
        <f t="shared" si="14"/>
        <v>110</v>
      </c>
      <c r="L56" s="99">
        <f t="shared" si="15"/>
        <v>263.54478082191775</v>
      </c>
      <c r="N56" s="218">
        <v>43678</v>
      </c>
      <c r="O56">
        <v>661508</v>
      </c>
      <c r="P56">
        <v>243</v>
      </c>
      <c r="Q56" s="519">
        <v>6.3299999999999995E-2</v>
      </c>
      <c r="R56" s="99">
        <f t="shared" si="12"/>
        <v>27877.397000547942</v>
      </c>
      <c r="T56" s="224"/>
      <c r="W56" s="524">
        <f t="shared" si="11"/>
        <v>0</v>
      </c>
    </row>
    <row r="57" spans="1:28">
      <c r="A57" s="255">
        <v>43459</v>
      </c>
      <c r="B57" s="119">
        <v>805350</v>
      </c>
      <c r="C57">
        <f>365</f>
        <v>365</v>
      </c>
      <c r="D57">
        <f>30+31+30+31+31+30+31+30+24</f>
        <v>268</v>
      </c>
      <c r="F57" s="256">
        <v>6.3299999999999995E-2</v>
      </c>
      <c r="G57">
        <f t="shared" si="13"/>
        <v>13547.752150684932</v>
      </c>
      <c r="I57" s="119">
        <v>805350</v>
      </c>
      <c r="J57" s="100">
        <f t="shared" si="9"/>
        <v>0</v>
      </c>
      <c r="K57">
        <f t="shared" si="14"/>
        <v>97</v>
      </c>
      <c r="L57" s="99">
        <f t="shared" si="15"/>
        <v>13547.752150684932</v>
      </c>
      <c r="N57" s="218">
        <v>43709</v>
      </c>
      <c r="O57">
        <v>411050</v>
      </c>
      <c r="P57">
        <v>212</v>
      </c>
      <c r="Q57" s="519">
        <v>6.3299999999999995E-2</v>
      </c>
      <c r="R57" s="99">
        <f t="shared" si="12"/>
        <v>15112.675561643833</v>
      </c>
      <c r="U57" s="523">
        <f>SUM(U51:U56)</f>
        <v>131590552</v>
      </c>
      <c r="V57" s="523">
        <f>SUM(V51:V56)</f>
        <v>85613925</v>
      </c>
      <c r="W57" s="524">
        <f t="shared" si="11"/>
        <v>217204477</v>
      </c>
      <c r="X57" s="523"/>
      <c r="Y57" s="523">
        <f>SUM(Y51:Y55)</f>
        <v>217204477</v>
      </c>
      <c r="Z57" s="523">
        <f>SUM(Z51:Z55)</f>
        <v>16420584.834583331</v>
      </c>
      <c r="AB57" s="20">
        <f>SUM(AB51:AB56)</f>
        <v>200783892.16541666</v>
      </c>
    </row>
    <row r="58" spans="1:28">
      <c r="A58" s="255">
        <v>43464</v>
      </c>
      <c r="B58" s="119">
        <v>11523</v>
      </c>
      <c r="C58">
        <f>365</f>
        <v>365</v>
      </c>
      <c r="D58">
        <f>30+31+30+31+31+30+31+30+29</f>
        <v>273</v>
      </c>
      <c r="F58" s="256">
        <v>6.3299999999999995E-2</v>
      </c>
      <c r="G58">
        <f t="shared" si="13"/>
        <v>183.85025424657533</v>
      </c>
      <c r="I58" s="119">
        <v>11523</v>
      </c>
      <c r="J58" s="100">
        <f t="shared" si="9"/>
        <v>0</v>
      </c>
      <c r="K58">
        <f t="shared" si="14"/>
        <v>92</v>
      </c>
      <c r="L58" s="99">
        <f t="shared" si="15"/>
        <v>183.85025424657533</v>
      </c>
      <c r="N58" s="521">
        <v>43739</v>
      </c>
      <c r="O58">
        <v>695723</v>
      </c>
      <c r="P58">
        <v>182</v>
      </c>
      <c r="Q58" s="519">
        <v>6.3299999999999995E-2</v>
      </c>
      <c r="R58" s="99">
        <f t="shared" si="12"/>
        <v>21959.305188493148</v>
      </c>
    </row>
    <row r="59" spans="1:28">
      <c r="A59" s="255">
        <v>43470</v>
      </c>
      <c r="B59" s="119">
        <v>33000</v>
      </c>
      <c r="C59">
        <f>365</f>
        <v>365</v>
      </c>
      <c r="D59">
        <f>30+31+30+31+31+30+31+30+31+4</f>
        <v>279</v>
      </c>
      <c r="F59" s="256">
        <v>6.3299999999999995E-2</v>
      </c>
      <c r="G59">
        <f t="shared" si="13"/>
        <v>492.1791780821917</v>
      </c>
      <c r="I59" s="119">
        <v>33000</v>
      </c>
      <c r="J59" s="100">
        <f t="shared" si="9"/>
        <v>0</v>
      </c>
      <c r="K59">
        <f t="shared" si="14"/>
        <v>86</v>
      </c>
      <c r="L59" s="99">
        <f t="shared" si="15"/>
        <v>492.1791780821917</v>
      </c>
      <c r="N59" s="218">
        <v>43800</v>
      </c>
      <c r="O59">
        <v>37800</v>
      </c>
      <c r="P59">
        <v>121</v>
      </c>
      <c r="Q59" s="519">
        <v>6.3299999999999995E-2</v>
      </c>
      <c r="R59" s="99">
        <f t="shared" si="12"/>
        <v>793.20969863013693</v>
      </c>
    </row>
    <row r="60" spans="1:28">
      <c r="A60" s="255">
        <v>43475</v>
      </c>
      <c r="B60" s="119">
        <v>194695</v>
      </c>
      <c r="C60">
        <f>365</f>
        <v>365</v>
      </c>
      <c r="D60">
        <f>30+31+30+31+31+30+31+30+31+9</f>
        <v>284</v>
      </c>
      <c r="F60" s="256">
        <v>6.3299999999999995E-2</v>
      </c>
      <c r="G60">
        <f t="shared" si="13"/>
        <v>2734.958009589041</v>
      </c>
      <c r="I60" s="119">
        <v>194695</v>
      </c>
      <c r="J60" s="100">
        <f t="shared" si="9"/>
        <v>0</v>
      </c>
      <c r="K60">
        <f t="shared" si="14"/>
        <v>81</v>
      </c>
      <c r="L60" s="99">
        <f t="shared" si="15"/>
        <v>2734.958009589041</v>
      </c>
      <c r="N60" s="218">
        <v>43831</v>
      </c>
      <c r="O60">
        <v>206610</v>
      </c>
      <c r="P60">
        <v>90</v>
      </c>
      <c r="Q60" s="519">
        <v>6.3299999999999995E-2</v>
      </c>
      <c r="R60" s="99">
        <f t="shared" si="12"/>
        <v>3224.8141643835615</v>
      </c>
    </row>
    <row r="61" spans="1:28">
      <c r="A61" s="255">
        <v>43475</v>
      </c>
      <c r="B61" s="119">
        <v>12390</v>
      </c>
      <c r="C61">
        <f>365</f>
        <v>365</v>
      </c>
      <c r="D61">
        <v>284</v>
      </c>
      <c r="F61" s="256">
        <v>6.3299999999999995E-2</v>
      </c>
      <c r="G61">
        <f t="shared" si="13"/>
        <v>174.04725205479451</v>
      </c>
      <c r="I61" s="119">
        <v>12390</v>
      </c>
      <c r="J61" s="100">
        <f t="shared" si="9"/>
        <v>0</v>
      </c>
      <c r="K61">
        <f t="shared" si="14"/>
        <v>81</v>
      </c>
      <c r="L61" s="99">
        <f t="shared" si="15"/>
        <v>174.04725205479451</v>
      </c>
      <c r="N61" s="218">
        <v>43862</v>
      </c>
      <c r="O61">
        <v>2451523</v>
      </c>
      <c r="P61">
        <v>59</v>
      </c>
      <c r="Q61" s="519">
        <v>6.3299999999999995E-2</v>
      </c>
      <c r="R61" s="99">
        <f t="shared" si="12"/>
        <v>25084.117666027392</v>
      </c>
    </row>
    <row r="62" spans="1:28">
      <c r="A62" s="255">
        <v>43476</v>
      </c>
      <c r="B62" s="119">
        <v>338513</v>
      </c>
      <c r="C62">
        <f>365</f>
        <v>365</v>
      </c>
      <c r="D62">
        <v>285</v>
      </c>
      <c r="F62" s="256">
        <v>6.3299999999999995E-2</v>
      </c>
      <c r="G62">
        <f t="shared" si="13"/>
        <v>4696.5200876712324</v>
      </c>
      <c r="I62" s="119">
        <v>338513</v>
      </c>
      <c r="J62" s="100">
        <f t="shared" si="9"/>
        <v>0</v>
      </c>
      <c r="K62">
        <f t="shared" si="14"/>
        <v>80</v>
      </c>
      <c r="L62" s="99">
        <f t="shared" si="15"/>
        <v>4696.5200876712324</v>
      </c>
      <c r="N62" s="218">
        <v>43891</v>
      </c>
      <c r="O62">
        <v>1658000</v>
      </c>
      <c r="P62">
        <v>30</v>
      </c>
      <c r="Q62" s="519">
        <v>6.3299999999999995E-2</v>
      </c>
      <c r="R62" s="99">
        <f t="shared" si="12"/>
        <v>8626.1424657534244</v>
      </c>
    </row>
    <row r="63" spans="1:28">
      <c r="A63" s="255">
        <v>43478</v>
      </c>
      <c r="B63" s="119">
        <v>12500</v>
      </c>
      <c r="C63">
        <f>365</f>
        <v>365</v>
      </c>
      <c r="D63">
        <f>30+31+30+31+31+30+31+30+31+12</f>
        <v>287</v>
      </c>
      <c r="F63" s="256">
        <v>6.3299999999999995E-2</v>
      </c>
      <c r="G63">
        <f t="shared" si="13"/>
        <v>169.08904109589039</v>
      </c>
      <c r="I63" s="119">
        <v>12500</v>
      </c>
      <c r="J63" s="100">
        <f t="shared" si="9"/>
        <v>0</v>
      </c>
      <c r="K63">
        <f t="shared" si="14"/>
        <v>78</v>
      </c>
      <c r="L63" s="99">
        <f t="shared" si="15"/>
        <v>169.08904109589039</v>
      </c>
    </row>
    <row r="64" spans="1:28">
      <c r="A64" s="255">
        <v>43485</v>
      </c>
      <c r="B64" s="119">
        <v>26880</v>
      </c>
      <c r="C64">
        <f>365</f>
        <v>365</v>
      </c>
      <c r="D64">
        <f>30+31+30+31+31+30+31+30+31+19</f>
        <v>294</v>
      </c>
      <c r="F64" s="256">
        <v>6.3299999999999995E-2</v>
      </c>
      <c r="G64">
        <f t="shared" si="13"/>
        <v>330.97749041095892</v>
      </c>
      <c r="I64" s="119">
        <v>26880</v>
      </c>
      <c r="J64" s="100">
        <f t="shared" si="9"/>
        <v>0</v>
      </c>
      <c r="K64">
        <f t="shared" si="14"/>
        <v>71</v>
      </c>
      <c r="L64" s="99">
        <f t="shared" si="15"/>
        <v>330.97749041095892</v>
      </c>
      <c r="O64">
        <f>SUM(O53:O63)</f>
        <v>7764316</v>
      </c>
      <c r="R64" s="20">
        <f>SUM(R53:R63)</f>
        <v>194467.12534931506</v>
      </c>
    </row>
    <row r="65" spans="1:18">
      <c r="A65" s="255">
        <v>43485</v>
      </c>
      <c r="B65" s="119">
        <v>9794</v>
      </c>
      <c r="C65">
        <f>365</f>
        <v>365</v>
      </c>
      <c r="D65">
        <v>294</v>
      </c>
      <c r="F65" s="256">
        <v>6.3299999999999995E-2</v>
      </c>
      <c r="G65">
        <f t="shared" si="13"/>
        <v>120.59499780821918</v>
      </c>
      <c r="I65" s="119">
        <v>9794</v>
      </c>
      <c r="J65" s="100">
        <f t="shared" si="9"/>
        <v>0</v>
      </c>
      <c r="K65">
        <f t="shared" si="14"/>
        <v>71</v>
      </c>
      <c r="L65" s="99">
        <f t="shared" si="15"/>
        <v>120.59499780821918</v>
      </c>
    </row>
    <row r="66" spans="1:18">
      <c r="A66" s="255">
        <v>43488</v>
      </c>
      <c r="B66" s="119">
        <v>421199</v>
      </c>
      <c r="C66">
        <f>365</f>
        <v>365</v>
      </c>
      <c r="D66">
        <f>30+31+30+31+31+30+31+30+31+22</f>
        <v>297</v>
      </c>
      <c r="F66" s="256">
        <v>6.3299999999999995E-2</v>
      </c>
      <c r="G66">
        <f t="shared" si="13"/>
        <v>4967.1478783561633</v>
      </c>
      <c r="I66" s="119">
        <v>421199</v>
      </c>
      <c r="J66" s="100">
        <f t="shared" si="9"/>
        <v>0</v>
      </c>
      <c r="K66">
        <f t="shared" si="14"/>
        <v>68</v>
      </c>
      <c r="L66" s="99">
        <f t="shared" si="15"/>
        <v>4967.1478783561633</v>
      </c>
      <c r="N66" t="s">
        <v>1266</v>
      </c>
    </row>
    <row r="67" spans="1:18">
      <c r="A67" s="255">
        <v>43488</v>
      </c>
      <c r="B67" s="119">
        <v>38046</v>
      </c>
      <c r="C67">
        <f>365</f>
        <v>365</v>
      </c>
      <c r="D67">
        <f>30+31+30+31+31+30+31+30+31+22</f>
        <v>297</v>
      </c>
      <c r="F67" s="256">
        <v>6.3299999999999995E-2</v>
      </c>
      <c r="G67">
        <f t="shared" si="13"/>
        <v>448.67178739726029</v>
      </c>
      <c r="I67" s="119">
        <v>38046</v>
      </c>
      <c r="J67" s="100">
        <f t="shared" si="9"/>
        <v>0</v>
      </c>
      <c r="K67">
        <f t="shared" si="14"/>
        <v>68</v>
      </c>
      <c r="L67" s="99">
        <f t="shared" si="15"/>
        <v>448.67178739726029</v>
      </c>
      <c r="P67" s="218">
        <v>43921</v>
      </c>
    </row>
    <row r="68" spans="1:18">
      <c r="A68" s="255">
        <v>43489</v>
      </c>
      <c r="B68" s="119">
        <v>113523</v>
      </c>
      <c r="C68">
        <f>365</f>
        <v>365</v>
      </c>
      <c r="D68">
        <f>30+31+30+31+31+30+31+30+31+23</f>
        <v>298</v>
      </c>
      <c r="F68" s="256">
        <v>6.3299999999999995E-2</v>
      </c>
      <c r="G68">
        <f t="shared" si="13"/>
        <v>1319.0750556164382</v>
      </c>
      <c r="I68" s="119">
        <v>113523</v>
      </c>
      <c r="J68" s="100">
        <f t="shared" si="9"/>
        <v>0</v>
      </c>
      <c r="K68">
        <f t="shared" si="14"/>
        <v>67</v>
      </c>
      <c r="L68" s="99">
        <f t="shared" si="15"/>
        <v>1319.0750556164382</v>
      </c>
      <c r="N68" t="s">
        <v>1880</v>
      </c>
      <c r="O68" t="s">
        <v>1881</v>
      </c>
      <c r="P68" t="s">
        <v>1882</v>
      </c>
      <c r="Q68" t="s">
        <v>1883</v>
      </c>
      <c r="R68" t="s">
        <v>1884</v>
      </c>
    </row>
    <row r="69" spans="1:18">
      <c r="A69" s="255">
        <v>43489</v>
      </c>
      <c r="B69" s="119">
        <v>47578</v>
      </c>
      <c r="C69">
        <f>365</f>
        <v>365</v>
      </c>
      <c r="D69">
        <v>298</v>
      </c>
      <c r="F69" s="256">
        <v>6.3299999999999995E-2</v>
      </c>
      <c r="G69">
        <f t="shared" si="13"/>
        <v>552.8302898630136</v>
      </c>
      <c r="I69" s="119">
        <v>47578</v>
      </c>
      <c r="J69" s="100">
        <f t="shared" si="9"/>
        <v>0</v>
      </c>
      <c r="K69">
        <f t="shared" si="14"/>
        <v>67</v>
      </c>
      <c r="L69" s="99">
        <f t="shared" si="15"/>
        <v>552.8302898630136</v>
      </c>
    </row>
    <row r="70" spans="1:18">
      <c r="A70" s="255">
        <v>43495</v>
      </c>
      <c r="B70" s="119">
        <v>1295640</v>
      </c>
      <c r="C70">
        <f>365</f>
        <v>365</v>
      </c>
      <c r="D70">
        <f>30+31+30+31+31+30+31+30+31+29</f>
        <v>304</v>
      </c>
      <c r="F70" s="256">
        <v>6.3299999999999995E-2</v>
      </c>
      <c r="G70">
        <f t="shared" si="13"/>
        <v>13706.451320547942</v>
      </c>
      <c r="I70" s="119">
        <v>1295640</v>
      </c>
      <c r="J70" s="100">
        <f t="shared" ref="J70:J82" si="16">B70-I70</f>
        <v>0</v>
      </c>
      <c r="K70">
        <f t="shared" si="14"/>
        <v>61</v>
      </c>
      <c r="L70" s="99">
        <f t="shared" si="15"/>
        <v>13706.451320547942</v>
      </c>
      <c r="N70" s="218">
        <v>43725</v>
      </c>
      <c r="O70">
        <v>77282</v>
      </c>
      <c r="P70">
        <v>196</v>
      </c>
      <c r="Q70" s="518">
        <v>0.11874999999999999</v>
      </c>
      <c r="R70" s="99">
        <f>O70*Q70*P70/365</f>
        <v>4928.0508219178073</v>
      </c>
    </row>
    <row r="71" spans="1:18">
      <c r="A71" s="255">
        <v>43496</v>
      </c>
      <c r="B71" s="119">
        <v>26880</v>
      </c>
      <c r="C71">
        <f>365</f>
        <v>365</v>
      </c>
      <c r="D71">
        <f>30+31+30+31+31+30+31+30+31+30</f>
        <v>305</v>
      </c>
      <c r="F71" s="256">
        <v>6.3299999999999995E-2</v>
      </c>
      <c r="G71">
        <f t="shared" si="13"/>
        <v>279.69928767123287</v>
      </c>
      <c r="I71" s="119">
        <v>26880</v>
      </c>
      <c r="J71" s="100">
        <f t="shared" si="16"/>
        <v>0</v>
      </c>
      <c r="K71">
        <f t="shared" si="14"/>
        <v>60</v>
      </c>
      <c r="L71" s="99">
        <f t="shared" si="15"/>
        <v>279.69928767123287</v>
      </c>
    </row>
    <row r="72" spans="1:18">
      <c r="A72" s="255">
        <v>43497</v>
      </c>
      <c r="B72" s="119">
        <v>42480</v>
      </c>
      <c r="C72">
        <f>365</f>
        <v>365</v>
      </c>
      <c r="D72">
        <f>30+31+30+31+31+30+31+30+31+31</f>
        <v>306</v>
      </c>
      <c r="E72">
        <f>C72-D72</f>
        <v>59</v>
      </c>
      <c r="F72" s="256">
        <v>6.3299999999999995E-2</v>
      </c>
      <c r="G72">
        <f>B72*F72*E72/365</f>
        <v>434.65768767123285</v>
      </c>
      <c r="J72" s="100">
        <f t="shared" si="16"/>
        <v>42480</v>
      </c>
      <c r="L72" s="99"/>
    </row>
    <row r="73" spans="1:18">
      <c r="A73" s="255">
        <v>43503</v>
      </c>
      <c r="B73" s="119">
        <v>26550</v>
      </c>
      <c r="C73">
        <f>365</f>
        <v>365</v>
      </c>
      <c r="D73">
        <f>30+31+30+31+31+30+31+30+31+31+6</f>
        <v>312</v>
      </c>
      <c r="F73" s="256">
        <v>6.3299999999999995E-2</v>
      </c>
      <c r="G73">
        <f t="shared" ref="G73:G78" si="17">B73*F73*K73/365</f>
        <v>244.03450684931502</v>
      </c>
      <c r="I73" s="119">
        <v>26550</v>
      </c>
      <c r="J73" s="100">
        <f t="shared" si="16"/>
        <v>0</v>
      </c>
      <c r="K73">
        <f t="shared" ref="K73:K78" si="18">C73-D73</f>
        <v>53</v>
      </c>
      <c r="L73" s="99">
        <f t="shared" ref="L73:L78" si="19">I73*F73*K73/365</f>
        <v>244.03450684931502</v>
      </c>
    </row>
    <row r="74" spans="1:18">
      <c r="A74" s="255">
        <v>43506</v>
      </c>
      <c r="B74" s="119">
        <v>24000</v>
      </c>
      <c r="C74">
        <f>365</f>
        <v>365</v>
      </c>
      <c r="D74">
        <f>30+31+30+31+31+30+31+30+31+31+9</f>
        <v>315</v>
      </c>
      <c r="F74" s="256">
        <v>6.3299999999999995E-2</v>
      </c>
      <c r="G74">
        <f t="shared" si="17"/>
        <v>208.10958904109586</v>
      </c>
      <c r="I74" s="119">
        <v>24000</v>
      </c>
      <c r="J74" s="100">
        <f t="shared" si="16"/>
        <v>0</v>
      </c>
      <c r="K74">
        <f t="shared" si="18"/>
        <v>50</v>
      </c>
      <c r="L74" s="99">
        <f t="shared" si="19"/>
        <v>208.10958904109586</v>
      </c>
    </row>
    <row r="75" spans="1:18">
      <c r="A75" s="255">
        <v>43507</v>
      </c>
      <c r="B75" s="119">
        <v>177000</v>
      </c>
      <c r="C75">
        <f>365</f>
        <v>365</v>
      </c>
      <c r="D75">
        <f>30+31+30+31+31+30+31+30+31+31+10</f>
        <v>316</v>
      </c>
      <c r="F75" s="256">
        <v>6.3299999999999995E-2</v>
      </c>
      <c r="G75">
        <f t="shared" si="17"/>
        <v>1504.1120547945202</v>
      </c>
      <c r="I75" s="119">
        <v>177000</v>
      </c>
      <c r="J75" s="100">
        <f t="shared" si="16"/>
        <v>0</v>
      </c>
      <c r="K75">
        <f t="shared" si="18"/>
        <v>49</v>
      </c>
      <c r="L75" s="99">
        <f t="shared" si="19"/>
        <v>1504.1120547945202</v>
      </c>
    </row>
    <row r="76" spans="1:18">
      <c r="A76" s="255">
        <v>43511</v>
      </c>
      <c r="B76" s="119">
        <v>53650</v>
      </c>
      <c r="C76">
        <f>365</f>
        <v>365</v>
      </c>
      <c r="D76">
        <f>30+31+30+31+31+30+31+30+31+31+14</f>
        <v>320</v>
      </c>
      <c r="F76" s="256">
        <v>6.3299999999999995E-2</v>
      </c>
      <c r="G76">
        <f t="shared" si="17"/>
        <v>418.69047945205477</v>
      </c>
      <c r="I76" s="119">
        <v>53650</v>
      </c>
      <c r="J76" s="100">
        <f t="shared" si="16"/>
        <v>0</v>
      </c>
      <c r="K76">
        <f t="shared" si="18"/>
        <v>45</v>
      </c>
      <c r="L76" s="99">
        <f t="shared" si="19"/>
        <v>418.69047945205477</v>
      </c>
    </row>
    <row r="77" spans="1:18">
      <c r="A77" s="255">
        <v>43512</v>
      </c>
      <c r="B77" s="119">
        <v>186157</v>
      </c>
      <c r="C77">
        <f>365</f>
        <v>365</v>
      </c>
      <c r="D77">
        <f>30+31+30+31+31+30+31+30+31+31+15</f>
        <v>321</v>
      </c>
      <c r="F77" s="256">
        <v>6.3299999999999995E-2</v>
      </c>
      <c r="G77">
        <f t="shared" si="17"/>
        <v>1420.5054147945204</v>
      </c>
      <c r="I77" s="119">
        <v>186157</v>
      </c>
      <c r="J77" s="100">
        <f t="shared" si="16"/>
        <v>0</v>
      </c>
      <c r="K77">
        <f t="shared" si="18"/>
        <v>44</v>
      </c>
      <c r="L77" s="99">
        <f t="shared" si="19"/>
        <v>1420.5054147945204</v>
      </c>
    </row>
    <row r="78" spans="1:18">
      <c r="A78" s="255">
        <v>43516</v>
      </c>
      <c r="B78" s="119">
        <v>358720</v>
      </c>
      <c r="C78">
        <f>365</f>
        <v>365</v>
      </c>
      <c r="D78">
        <f>30+31+30+31+31+30+31+30+31+31+19</f>
        <v>325</v>
      </c>
      <c r="F78" s="256">
        <v>6.3299999999999995E-2</v>
      </c>
      <c r="G78">
        <f t="shared" si="17"/>
        <v>2488.4357260273969</v>
      </c>
      <c r="I78" s="119">
        <v>358720</v>
      </c>
      <c r="J78" s="100">
        <f t="shared" si="16"/>
        <v>0</v>
      </c>
      <c r="K78">
        <f t="shared" si="18"/>
        <v>40</v>
      </c>
      <c r="L78" s="99">
        <f t="shared" si="19"/>
        <v>2488.4357260273969</v>
      </c>
    </row>
    <row r="79" spans="1:18">
      <c r="A79" s="255">
        <v>43523</v>
      </c>
      <c r="B79" s="119">
        <v>140420</v>
      </c>
      <c r="C79">
        <f>365</f>
        <v>365</v>
      </c>
      <c r="D79">
        <f>30+31+30+31+31+30+31+30+31+31+26</f>
        <v>332</v>
      </c>
      <c r="E79">
        <f>C79-D79</f>
        <v>33</v>
      </c>
      <c r="F79" s="256">
        <v>6.3299999999999995E-2</v>
      </c>
      <c r="G79">
        <f>B79*F79*E79/365</f>
        <v>803.62558356164379</v>
      </c>
      <c r="J79" s="100">
        <f t="shared" si="16"/>
        <v>140420</v>
      </c>
      <c r="L79" s="99"/>
    </row>
    <row r="80" spans="1:18">
      <c r="A80" s="255">
        <v>43540</v>
      </c>
      <c r="B80" s="119">
        <v>154580</v>
      </c>
      <c r="C80">
        <f>365</f>
        <v>365</v>
      </c>
      <c r="D80">
        <f>30+31+30+31+31+30+31+30+31+31+28+15</f>
        <v>349</v>
      </c>
      <c r="F80" s="256">
        <v>6.3299999999999995E-2</v>
      </c>
      <c r="G80">
        <f>B80*F80*K80/365</f>
        <v>428.92773698630134</v>
      </c>
      <c r="I80" s="119">
        <v>154580</v>
      </c>
      <c r="J80" s="100">
        <f t="shared" si="16"/>
        <v>0</v>
      </c>
      <c r="K80">
        <f>C80-D80</f>
        <v>16</v>
      </c>
      <c r="L80" s="99">
        <f>I80*F80*K80/365</f>
        <v>428.92773698630134</v>
      </c>
    </row>
    <row r="81" spans="1:12">
      <c r="A81" s="255">
        <v>43547</v>
      </c>
      <c r="B81" s="119">
        <v>12390</v>
      </c>
      <c r="C81">
        <f>365</f>
        <v>365</v>
      </c>
      <c r="D81">
        <f>30+31+30+31+31+30+31+30+31+31+28+22</f>
        <v>356</v>
      </c>
      <c r="E81">
        <f>C81-D81</f>
        <v>9</v>
      </c>
      <c r="F81" s="256">
        <v>6.3299999999999995E-2</v>
      </c>
      <c r="G81">
        <f>B81*F81*E81/365</f>
        <v>19.338583561643834</v>
      </c>
      <c r="H81" s="218">
        <v>43543</v>
      </c>
      <c r="I81" s="119">
        <v>211356</v>
      </c>
      <c r="J81" s="100">
        <f t="shared" si="16"/>
        <v>-198966</v>
      </c>
      <c r="K81">
        <v>13</v>
      </c>
      <c r="L81" s="99"/>
    </row>
    <row r="82" spans="1:12" ht="14.25" customHeight="1">
      <c r="A82" s="255">
        <v>43553</v>
      </c>
      <c r="B82" s="119">
        <v>6490</v>
      </c>
      <c r="C82">
        <f>365</f>
        <v>365</v>
      </c>
      <c r="D82">
        <f>30+31+30+31+31+30+31+30+31+31+28+28</f>
        <v>362</v>
      </c>
      <c r="F82" s="256">
        <v>6.3299999999999995E-2</v>
      </c>
      <c r="G82">
        <f>B82*F82*K82/365</f>
        <v>3.3765780821917804</v>
      </c>
      <c r="I82" s="119">
        <v>6490</v>
      </c>
      <c r="J82" s="100">
        <f t="shared" si="16"/>
        <v>0</v>
      </c>
      <c r="K82">
        <f>C82-D82</f>
        <v>3</v>
      </c>
      <c r="L82" s="99">
        <f>I82*F82*K82/365</f>
        <v>3.3765780821917804</v>
      </c>
    </row>
    <row r="83" spans="1:12" s="254" customFormat="1">
      <c r="A83" s="3301">
        <f>SUM(B5:B82)</f>
        <v>18511658</v>
      </c>
      <c r="B83" s="3301"/>
      <c r="G83" s="254">
        <f>SUM(G5:G82)</f>
        <v>652202.45318301371</v>
      </c>
      <c r="I83" s="257">
        <f>SUM(I6:I82)</f>
        <v>18114110</v>
      </c>
      <c r="L83" s="275">
        <f>SUM(L6:L82)</f>
        <v>629591.05966273975</v>
      </c>
    </row>
  </sheetData>
  <mergeCells count="1">
    <mergeCell ref="A83:B83"/>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274"/>
  <sheetViews>
    <sheetView workbookViewId="0">
      <selection activeCell="G108" sqref="G108"/>
    </sheetView>
  </sheetViews>
  <sheetFormatPr defaultColWidth="8.5546875" defaultRowHeight="14.4"/>
  <cols>
    <col min="1" max="1" width="35.5546875" bestFit="1" customWidth="1"/>
    <col min="2" max="2" width="14.44140625" bestFit="1" customWidth="1"/>
    <col min="3" max="4" width="10.5546875" bestFit="1" customWidth="1"/>
    <col min="5" max="5" width="14.44140625" bestFit="1" customWidth="1"/>
  </cols>
  <sheetData>
    <row r="1" spans="1:5" ht="15.6">
      <c r="A1" s="2699" t="s">
        <v>1783</v>
      </c>
      <c r="B1" s="2699"/>
      <c r="C1" s="2699"/>
      <c r="D1" s="195"/>
      <c r="E1" s="195"/>
    </row>
    <row r="2" spans="1:5" ht="15.6">
      <c r="A2" s="2699" t="s">
        <v>81</v>
      </c>
      <c r="B2" s="2699"/>
      <c r="C2" s="2699"/>
      <c r="D2" s="195"/>
      <c r="E2" s="195"/>
    </row>
    <row r="3" spans="1:5">
      <c r="A3" s="2700" t="s">
        <v>1886</v>
      </c>
      <c r="B3" s="2700"/>
      <c r="C3" s="2700"/>
      <c r="D3" s="195"/>
      <c r="E3" s="195"/>
    </row>
    <row r="4" spans="1:5">
      <c r="A4" s="10" t="s">
        <v>82</v>
      </c>
      <c r="B4" s="2911" t="s">
        <v>1785</v>
      </c>
      <c r="C4" s="2908"/>
      <c r="D4" s="2908"/>
      <c r="E4" s="2908"/>
    </row>
    <row r="5" spans="1:5">
      <c r="A5" s="11" t="s">
        <v>1</v>
      </c>
      <c r="B5" s="2706" t="s">
        <v>1886</v>
      </c>
      <c r="C5" s="2707"/>
      <c r="D5" s="2707"/>
      <c r="E5" s="2707"/>
    </row>
    <row r="6" spans="1:5">
      <c r="A6" s="11" t="s">
        <v>82</v>
      </c>
      <c r="B6" s="196" t="s">
        <v>1331</v>
      </c>
      <c r="C6" s="2708" t="s">
        <v>1332</v>
      </c>
      <c r="D6" s="2709"/>
      <c r="E6" s="196" t="s">
        <v>1333</v>
      </c>
    </row>
    <row r="7" spans="1:5">
      <c r="A7" s="12" t="s">
        <v>82</v>
      </c>
      <c r="B7" s="197" t="s">
        <v>1196</v>
      </c>
      <c r="C7" s="101" t="s">
        <v>66</v>
      </c>
      <c r="D7" s="101" t="s">
        <v>67</v>
      </c>
      <c r="E7" s="197" t="s">
        <v>1196</v>
      </c>
    </row>
    <row r="8" spans="1:5">
      <c r="A8" s="1" t="s">
        <v>86</v>
      </c>
      <c r="B8" s="279">
        <v>979638.47</v>
      </c>
      <c r="C8" s="107">
        <v>28708546</v>
      </c>
      <c r="D8" s="107">
        <v>31006337</v>
      </c>
      <c r="E8" s="262">
        <v>1318152.53</v>
      </c>
    </row>
    <row r="9" spans="1:5">
      <c r="A9" s="14" t="s">
        <v>89</v>
      </c>
      <c r="B9" s="271">
        <v>979638.47</v>
      </c>
      <c r="C9" s="110">
        <v>28708546</v>
      </c>
      <c r="D9" s="110">
        <v>31006337</v>
      </c>
      <c r="E9" s="265">
        <v>1318152.53</v>
      </c>
    </row>
    <row r="10" spans="1:5">
      <c r="A10" s="248" t="s">
        <v>1295</v>
      </c>
      <c r="B10" s="266">
        <v>50312</v>
      </c>
      <c r="C10" s="107">
        <v>398566</v>
      </c>
      <c r="D10" s="107">
        <v>511204</v>
      </c>
      <c r="E10" s="266">
        <v>162950</v>
      </c>
    </row>
    <row r="11" spans="1:5">
      <c r="A11" s="190" t="s">
        <v>558</v>
      </c>
      <c r="B11" s="263">
        <v>4202</v>
      </c>
      <c r="C11" s="112">
        <v>4202</v>
      </c>
      <c r="D11" s="95"/>
      <c r="E11" s="96"/>
    </row>
    <row r="12" spans="1:5">
      <c r="A12" s="190" t="s">
        <v>969</v>
      </c>
      <c r="B12" s="263">
        <v>5439</v>
      </c>
      <c r="C12" s="112">
        <v>126400</v>
      </c>
      <c r="D12" s="112">
        <v>265158</v>
      </c>
      <c r="E12" s="263">
        <v>144197</v>
      </c>
    </row>
    <row r="13" spans="1:5">
      <c r="A13" s="190" t="s">
        <v>1380</v>
      </c>
      <c r="B13" s="263">
        <v>1330</v>
      </c>
      <c r="C13" s="112">
        <v>1330</v>
      </c>
      <c r="D13" s="95"/>
      <c r="E13" s="96"/>
    </row>
    <row r="14" spans="1:5">
      <c r="A14" s="190" t="s">
        <v>1381</v>
      </c>
      <c r="B14" s="96"/>
      <c r="C14" s="112">
        <v>184500</v>
      </c>
      <c r="D14" s="112">
        <v>188345</v>
      </c>
      <c r="E14" s="263">
        <v>3845</v>
      </c>
    </row>
    <row r="15" spans="1:5">
      <c r="A15" s="190" t="s">
        <v>1786</v>
      </c>
      <c r="B15" s="96"/>
      <c r="C15" s="112">
        <v>10080</v>
      </c>
      <c r="D15" s="112">
        <v>10080</v>
      </c>
      <c r="E15" s="96"/>
    </row>
    <row r="16" spans="1:5">
      <c r="A16" s="15" t="s">
        <v>1900</v>
      </c>
      <c r="B16" s="263">
        <v>1550</v>
      </c>
      <c r="C16" s="112">
        <v>1550</v>
      </c>
      <c r="D16" s="95"/>
      <c r="E16" s="96"/>
    </row>
    <row r="17" spans="1:5">
      <c r="A17" s="15" t="s">
        <v>68</v>
      </c>
      <c r="B17" s="263">
        <v>22484</v>
      </c>
      <c r="C17" s="112">
        <v>34267</v>
      </c>
      <c r="D17" s="112">
        <v>26691</v>
      </c>
      <c r="E17" s="263">
        <v>14908</v>
      </c>
    </row>
    <row r="18" spans="1:5">
      <c r="A18" s="190" t="s">
        <v>1787</v>
      </c>
      <c r="B18" s="263">
        <v>12103</v>
      </c>
      <c r="C18" s="112">
        <v>12103</v>
      </c>
      <c r="D18" s="95"/>
      <c r="E18" s="96"/>
    </row>
    <row r="19" spans="1:5">
      <c r="A19" s="190" t="s">
        <v>1384</v>
      </c>
      <c r="B19" s="263">
        <v>3204</v>
      </c>
      <c r="C19" s="112">
        <v>24134</v>
      </c>
      <c r="D19" s="112">
        <v>20930</v>
      </c>
      <c r="E19" s="96"/>
    </row>
    <row r="20" spans="1:5">
      <c r="A20" s="248" t="s">
        <v>1291</v>
      </c>
      <c r="B20" s="268">
        <v>1185360.53</v>
      </c>
      <c r="C20" s="93">
        <v>14635334</v>
      </c>
      <c r="D20" s="93">
        <v>14043231</v>
      </c>
      <c r="E20" s="268">
        <v>593257.53</v>
      </c>
    </row>
    <row r="21" spans="1:5">
      <c r="A21" s="190" t="s">
        <v>1290</v>
      </c>
      <c r="B21" s="263">
        <v>330050</v>
      </c>
      <c r="C21" s="112">
        <v>1582892</v>
      </c>
      <c r="D21" s="112">
        <v>1398395</v>
      </c>
      <c r="E21" s="263">
        <v>145553</v>
      </c>
    </row>
    <row r="22" spans="1:5">
      <c r="A22" s="190" t="s">
        <v>1907</v>
      </c>
      <c r="B22" s="96"/>
      <c r="C22" s="112">
        <v>240000</v>
      </c>
      <c r="D22" s="95"/>
      <c r="E22" s="267">
        <v>240000</v>
      </c>
    </row>
    <row r="23" spans="1:5">
      <c r="A23" s="190" t="s">
        <v>1969</v>
      </c>
      <c r="B23" s="96"/>
      <c r="C23" s="112">
        <v>320028</v>
      </c>
      <c r="D23" s="112">
        <v>440382</v>
      </c>
      <c r="E23" s="263">
        <v>120354</v>
      </c>
    </row>
    <row r="24" spans="1:5">
      <c r="A24" s="15" t="s">
        <v>574</v>
      </c>
      <c r="B24" s="263">
        <v>45656</v>
      </c>
      <c r="C24" s="112">
        <v>45656</v>
      </c>
      <c r="D24" s="95"/>
      <c r="E24" s="96"/>
    </row>
    <row r="25" spans="1:5">
      <c r="A25" s="190" t="s">
        <v>1391</v>
      </c>
      <c r="B25" s="263">
        <v>94274</v>
      </c>
      <c r="C25" s="112">
        <v>1727951</v>
      </c>
      <c r="D25" s="112">
        <v>1641287</v>
      </c>
      <c r="E25" s="263">
        <v>7610</v>
      </c>
    </row>
    <row r="26" spans="1:5">
      <c r="A26" s="190" t="s">
        <v>1788</v>
      </c>
      <c r="B26" s="267">
        <v>36000</v>
      </c>
      <c r="C26" s="112">
        <v>1848400</v>
      </c>
      <c r="D26" s="112">
        <v>1847150</v>
      </c>
      <c r="E26" s="267">
        <v>37250</v>
      </c>
    </row>
    <row r="27" spans="1:5">
      <c r="A27" s="190" t="s">
        <v>1394</v>
      </c>
      <c r="B27" s="263">
        <v>16800</v>
      </c>
      <c r="C27" s="112">
        <v>16800</v>
      </c>
      <c r="D27" s="95"/>
      <c r="E27" s="96"/>
    </row>
    <row r="28" spans="1:5">
      <c r="A28" s="190" t="s">
        <v>1914</v>
      </c>
      <c r="B28" s="263">
        <v>200</v>
      </c>
      <c r="C28" s="112">
        <v>284735</v>
      </c>
      <c r="D28" s="112">
        <v>284535</v>
      </c>
      <c r="E28" s="96"/>
    </row>
    <row r="29" spans="1:5">
      <c r="A29" s="190" t="s">
        <v>1790</v>
      </c>
      <c r="B29" s="263">
        <v>71000</v>
      </c>
      <c r="C29" s="112">
        <v>1263800</v>
      </c>
      <c r="D29" s="112">
        <v>1161700</v>
      </c>
      <c r="E29" s="267">
        <v>31100</v>
      </c>
    </row>
    <row r="30" spans="1:5">
      <c r="A30" s="190" t="s">
        <v>1791</v>
      </c>
      <c r="B30" s="96"/>
      <c r="C30" s="112">
        <v>332407</v>
      </c>
      <c r="D30" s="112">
        <v>332407</v>
      </c>
      <c r="E30" s="96"/>
    </row>
    <row r="31" spans="1:5">
      <c r="A31" s="190" t="s">
        <v>1792</v>
      </c>
      <c r="B31" s="263">
        <v>66513</v>
      </c>
      <c r="C31" s="112">
        <v>324948</v>
      </c>
      <c r="D31" s="112">
        <v>258435</v>
      </c>
      <c r="E31" s="96"/>
    </row>
    <row r="32" spans="1:5">
      <c r="A32" s="190" t="s">
        <v>1793</v>
      </c>
      <c r="B32" s="96"/>
      <c r="C32" s="112">
        <v>1259515</v>
      </c>
      <c r="D32" s="112">
        <v>1341303</v>
      </c>
      <c r="E32" s="263">
        <v>81788</v>
      </c>
    </row>
    <row r="33" spans="1:5">
      <c r="A33" s="15" t="s">
        <v>1918</v>
      </c>
      <c r="B33" s="96"/>
      <c r="C33" s="112">
        <v>21465</v>
      </c>
      <c r="D33" s="112">
        <v>21465</v>
      </c>
      <c r="E33" s="96"/>
    </row>
    <row r="34" spans="1:5">
      <c r="A34" s="190" t="s">
        <v>257</v>
      </c>
      <c r="B34" s="263">
        <v>9450</v>
      </c>
      <c r="C34" s="112">
        <v>9450</v>
      </c>
      <c r="D34" s="95"/>
      <c r="E34" s="96"/>
    </row>
    <row r="35" spans="1:5">
      <c r="A35" s="15" t="s">
        <v>1923</v>
      </c>
      <c r="B35" s="96"/>
      <c r="C35" s="112">
        <v>119175</v>
      </c>
      <c r="D35" s="112">
        <v>119175</v>
      </c>
      <c r="E35" s="96"/>
    </row>
    <row r="36" spans="1:5">
      <c r="A36" s="190" t="s">
        <v>1924</v>
      </c>
      <c r="B36" s="267">
        <v>3740</v>
      </c>
      <c r="C36" s="95"/>
      <c r="D36" s="112">
        <v>3740</v>
      </c>
      <c r="E36" s="96"/>
    </row>
    <row r="37" spans="1:5">
      <c r="A37" s="190" t="s">
        <v>1400</v>
      </c>
      <c r="B37" s="263">
        <v>230</v>
      </c>
      <c r="C37" s="112">
        <v>230</v>
      </c>
      <c r="D37" s="95"/>
      <c r="E37" s="96"/>
    </row>
    <row r="38" spans="1:5">
      <c r="A38" s="190" t="s">
        <v>584</v>
      </c>
      <c r="B38" s="263">
        <v>60100</v>
      </c>
      <c r="C38" s="112">
        <v>60100</v>
      </c>
      <c r="D38" s="95"/>
      <c r="E38" s="96"/>
    </row>
    <row r="39" spans="1:5">
      <c r="A39" s="15" t="s">
        <v>1401</v>
      </c>
      <c r="B39" s="263">
        <v>5400</v>
      </c>
      <c r="C39" s="112">
        <v>5400</v>
      </c>
      <c r="D39" s="95"/>
      <c r="E39" s="96"/>
    </row>
    <row r="40" spans="1:5">
      <c r="A40" s="15" t="s">
        <v>586</v>
      </c>
      <c r="B40" s="263">
        <v>2460</v>
      </c>
      <c r="C40" s="112">
        <v>2460</v>
      </c>
      <c r="D40" s="95"/>
      <c r="E40" s="96"/>
    </row>
    <row r="41" spans="1:5">
      <c r="A41" s="190" t="s">
        <v>1684</v>
      </c>
      <c r="B41" s="96"/>
      <c r="C41" s="112">
        <v>130500</v>
      </c>
      <c r="D41" s="112">
        <v>130500</v>
      </c>
      <c r="E41" s="96"/>
    </row>
    <row r="42" spans="1:5">
      <c r="A42" s="190" t="s">
        <v>1794</v>
      </c>
      <c r="B42" s="96"/>
      <c r="C42" s="112">
        <v>7500</v>
      </c>
      <c r="D42" s="112">
        <v>7500</v>
      </c>
      <c r="E42" s="96"/>
    </row>
    <row r="43" spans="1:5">
      <c r="A43" s="13" t="s">
        <v>587</v>
      </c>
      <c r="B43" s="263">
        <v>40733.53</v>
      </c>
      <c r="C43" s="112">
        <v>2386614</v>
      </c>
      <c r="D43" s="112">
        <v>2385631</v>
      </c>
      <c r="E43" s="263">
        <v>39750.53</v>
      </c>
    </row>
    <row r="44" spans="1:5">
      <c r="A44" s="15" t="s">
        <v>985</v>
      </c>
      <c r="B44" s="263">
        <v>18900</v>
      </c>
      <c r="C44" s="112">
        <v>18900</v>
      </c>
      <c r="D44" s="95"/>
      <c r="E44" s="96"/>
    </row>
    <row r="45" spans="1:5">
      <c r="A45" s="15" t="s">
        <v>1795</v>
      </c>
      <c r="B45" s="96"/>
      <c r="C45" s="112">
        <v>563990</v>
      </c>
      <c r="D45" s="112">
        <v>584800</v>
      </c>
      <c r="E45" s="263">
        <v>20810</v>
      </c>
    </row>
    <row r="46" spans="1:5">
      <c r="A46" s="190" t="s">
        <v>590</v>
      </c>
      <c r="B46" s="263">
        <v>42700</v>
      </c>
      <c r="C46" s="112">
        <v>42700</v>
      </c>
      <c r="D46" s="95"/>
      <c r="E46" s="96"/>
    </row>
    <row r="47" spans="1:5">
      <c r="A47" s="190" t="s">
        <v>593</v>
      </c>
      <c r="B47" s="263">
        <v>165</v>
      </c>
      <c r="C47" s="112">
        <v>165</v>
      </c>
      <c r="D47" s="95"/>
      <c r="E47" s="96"/>
    </row>
    <row r="48" spans="1:5">
      <c r="A48" s="190" t="s">
        <v>1796</v>
      </c>
      <c r="B48" s="96"/>
      <c r="C48" s="112">
        <v>27989</v>
      </c>
      <c r="D48" s="112">
        <v>27989</v>
      </c>
      <c r="E48" s="96"/>
    </row>
    <row r="49" spans="1:5">
      <c r="A49" s="190" t="s">
        <v>1406</v>
      </c>
      <c r="B49" s="263">
        <v>2560</v>
      </c>
      <c r="C49" s="112">
        <v>2560</v>
      </c>
      <c r="D49" s="95"/>
      <c r="E49" s="96"/>
    </row>
    <row r="50" spans="1:5">
      <c r="A50" s="15" t="s">
        <v>1940</v>
      </c>
      <c r="B50" s="96"/>
      <c r="C50" s="112">
        <v>858330</v>
      </c>
      <c r="D50" s="112">
        <v>873825</v>
      </c>
      <c r="E50" s="263">
        <v>15495</v>
      </c>
    </row>
    <row r="51" spans="1:5">
      <c r="A51" s="17" t="s">
        <v>1797</v>
      </c>
      <c r="B51" s="263">
        <v>9086</v>
      </c>
      <c r="C51" s="112">
        <v>9086</v>
      </c>
      <c r="D51" s="95"/>
      <c r="E51" s="96"/>
    </row>
    <row r="52" spans="1:5">
      <c r="A52" s="15" t="s">
        <v>1798</v>
      </c>
      <c r="B52" s="267">
        <v>610</v>
      </c>
      <c r="C52" s="95"/>
      <c r="D52" s="112">
        <v>610</v>
      </c>
      <c r="E52" s="96"/>
    </row>
    <row r="53" spans="1:5">
      <c r="A53" s="190" t="s">
        <v>1692</v>
      </c>
      <c r="B53" s="263">
        <v>2</v>
      </c>
      <c r="C53" s="112">
        <v>304248</v>
      </c>
      <c r="D53" s="112">
        <v>339376</v>
      </c>
      <c r="E53" s="263">
        <v>35130</v>
      </c>
    </row>
    <row r="54" spans="1:5">
      <c r="A54" s="190" t="s">
        <v>1799</v>
      </c>
      <c r="B54" s="267">
        <v>1400</v>
      </c>
      <c r="C54" s="95"/>
      <c r="D54" s="112">
        <v>1400</v>
      </c>
      <c r="E54" s="96"/>
    </row>
    <row r="55" spans="1:5">
      <c r="A55" s="190" t="s">
        <v>1409</v>
      </c>
      <c r="B55" s="263">
        <v>3505</v>
      </c>
      <c r="C55" s="112">
        <v>3505</v>
      </c>
      <c r="D55" s="95"/>
      <c r="E55" s="96"/>
    </row>
    <row r="56" spans="1:5">
      <c r="A56" s="190" t="s">
        <v>1800</v>
      </c>
      <c r="B56" s="263">
        <v>14820</v>
      </c>
      <c r="C56" s="112">
        <v>14820</v>
      </c>
      <c r="D56" s="95"/>
      <c r="E56" s="96"/>
    </row>
    <row r="57" spans="1:5">
      <c r="A57" s="190" t="s">
        <v>598</v>
      </c>
      <c r="B57" s="263">
        <v>2875</v>
      </c>
      <c r="C57" s="112">
        <v>2875</v>
      </c>
      <c r="D57" s="95"/>
      <c r="E57" s="96"/>
    </row>
    <row r="58" spans="1:5">
      <c r="A58" s="15" t="s">
        <v>599</v>
      </c>
      <c r="B58" s="263">
        <v>14100</v>
      </c>
      <c r="C58" s="112">
        <v>8400</v>
      </c>
      <c r="D58" s="95"/>
      <c r="E58" s="263">
        <v>5700</v>
      </c>
    </row>
    <row r="59" spans="1:5">
      <c r="A59" s="190" t="s">
        <v>600</v>
      </c>
      <c r="B59" s="267">
        <v>105236</v>
      </c>
      <c r="C59" s="112">
        <v>171600</v>
      </c>
      <c r="D59" s="112">
        <v>171600</v>
      </c>
      <c r="E59" s="267">
        <v>105236</v>
      </c>
    </row>
    <row r="60" spans="1:5">
      <c r="A60" s="15" t="s">
        <v>1953</v>
      </c>
      <c r="B60" s="96"/>
      <c r="C60" s="112">
        <v>64650</v>
      </c>
      <c r="D60" s="112">
        <v>64650</v>
      </c>
      <c r="E60" s="96"/>
    </row>
    <row r="61" spans="1:5">
      <c r="A61" s="190" t="s">
        <v>601</v>
      </c>
      <c r="B61" s="263">
        <v>6585</v>
      </c>
      <c r="C61" s="112">
        <v>6585</v>
      </c>
      <c r="D61" s="95"/>
      <c r="E61" s="96"/>
    </row>
    <row r="62" spans="1:5">
      <c r="A62" s="15" t="s">
        <v>1801</v>
      </c>
      <c r="B62" s="96"/>
      <c r="C62" s="112">
        <v>8570</v>
      </c>
      <c r="D62" s="112">
        <v>8570</v>
      </c>
      <c r="E62" s="96"/>
    </row>
    <row r="63" spans="1:5">
      <c r="A63" s="190" t="s">
        <v>1802</v>
      </c>
      <c r="B63" s="96"/>
      <c r="C63" s="112">
        <v>9180</v>
      </c>
      <c r="D63" s="112">
        <v>9180</v>
      </c>
      <c r="E63" s="96"/>
    </row>
    <row r="64" spans="1:5">
      <c r="A64" s="190" t="s">
        <v>1836</v>
      </c>
      <c r="B64" s="96"/>
      <c r="C64" s="112">
        <v>9635</v>
      </c>
      <c r="D64" s="112">
        <v>9635</v>
      </c>
      <c r="E64" s="96"/>
    </row>
    <row r="65" spans="1:5">
      <c r="A65" s="190" t="s">
        <v>1416</v>
      </c>
      <c r="B65" s="263">
        <v>108</v>
      </c>
      <c r="C65" s="112">
        <v>108</v>
      </c>
      <c r="D65" s="95"/>
      <c r="E65" s="96"/>
    </row>
    <row r="66" spans="1:5">
      <c r="A66" s="190" t="s">
        <v>1417</v>
      </c>
      <c r="B66" s="263">
        <v>3400</v>
      </c>
      <c r="C66" s="112">
        <v>3400</v>
      </c>
      <c r="D66" s="95"/>
      <c r="E66" s="96"/>
    </row>
    <row r="67" spans="1:5">
      <c r="A67" s="190" t="s">
        <v>603</v>
      </c>
      <c r="B67" s="267">
        <v>83013</v>
      </c>
      <c r="C67" s="112">
        <v>159916</v>
      </c>
      <c r="D67" s="112">
        <v>244888</v>
      </c>
      <c r="E67" s="263">
        <v>1959</v>
      </c>
    </row>
    <row r="68" spans="1:5">
      <c r="A68" s="190" t="s">
        <v>604</v>
      </c>
      <c r="B68" s="96"/>
      <c r="C68" s="112">
        <v>13720</v>
      </c>
      <c r="D68" s="112">
        <v>18750</v>
      </c>
      <c r="E68" s="263">
        <v>5030</v>
      </c>
    </row>
    <row r="69" spans="1:5">
      <c r="A69" s="190" t="s">
        <v>605</v>
      </c>
      <c r="B69" s="263">
        <v>566851</v>
      </c>
      <c r="C69" s="95"/>
      <c r="D69" s="95"/>
      <c r="E69" s="263">
        <v>566851</v>
      </c>
    </row>
    <row r="70" spans="1:5">
      <c r="A70" s="190" t="s">
        <v>1959</v>
      </c>
      <c r="B70" s="96"/>
      <c r="C70" s="112">
        <v>185000</v>
      </c>
      <c r="D70" s="112">
        <v>100450</v>
      </c>
      <c r="E70" s="267">
        <v>84550</v>
      </c>
    </row>
    <row r="71" spans="1:5">
      <c r="A71" s="190" t="s">
        <v>1803</v>
      </c>
      <c r="B71" s="267">
        <v>14400</v>
      </c>
      <c r="C71" s="95"/>
      <c r="D71" s="112">
        <v>14400</v>
      </c>
      <c r="E71" s="96"/>
    </row>
    <row r="72" spans="1:5">
      <c r="A72" s="190" t="s">
        <v>607</v>
      </c>
      <c r="B72" s="263">
        <v>1237</v>
      </c>
      <c r="C72" s="112">
        <v>1237</v>
      </c>
      <c r="D72" s="95"/>
      <c r="E72" s="96"/>
    </row>
    <row r="73" spans="1:5">
      <c r="A73" s="15" t="s">
        <v>1804</v>
      </c>
      <c r="B73" s="267">
        <v>1</v>
      </c>
      <c r="C73" s="112">
        <v>144859</v>
      </c>
      <c r="D73" s="112">
        <v>190223</v>
      </c>
      <c r="E73" s="263">
        <v>45363</v>
      </c>
    </row>
    <row r="74" spans="1:5">
      <c r="A74" s="190" t="s">
        <v>609</v>
      </c>
      <c r="B74" s="96"/>
      <c r="C74" s="112">
        <v>9280</v>
      </c>
      <c r="D74" s="112">
        <v>9280</v>
      </c>
      <c r="E74" s="96"/>
    </row>
    <row r="75" spans="1:5">
      <c r="A75" s="248" t="s">
        <v>1284</v>
      </c>
      <c r="B75" s="269">
        <v>2619274</v>
      </c>
      <c r="C75" s="93">
        <v>8311771</v>
      </c>
      <c r="D75" s="93">
        <v>11272593</v>
      </c>
      <c r="E75" s="268">
        <v>341548</v>
      </c>
    </row>
    <row r="76" spans="1:5">
      <c r="A76" s="190" t="s">
        <v>1283</v>
      </c>
      <c r="B76" s="267">
        <v>363995</v>
      </c>
      <c r="C76" s="112">
        <v>183626</v>
      </c>
      <c r="D76" s="112">
        <v>547621</v>
      </c>
      <c r="E76" s="96"/>
    </row>
    <row r="77" spans="1:5">
      <c r="A77" s="15" t="s">
        <v>612</v>
      </c>
      <c r="B77" s="263">
        <v>3520</v>
      </c>
      <c r="C77" s="112">
        <v>3520</v>
      </c>
      <c r="D77" s="95"/>
      <c r="E77" s="96"/>
    </row>
    <row r="78" spans="1:5">
      <c r="A78" s="15" t="s">
        <v>613</v>
      </c>
      <c r="B78" s="263">
        <v>12347</v>
      </c>
      <c r="C78" s="112">
        <v>12347</v>
      </c>
      <c r="D78" s="95"/>
      <c r="E78" s="96"/>
    </row>
    <row r="79" spans="1:5">
      <c r="A79" s="190" t="s">
        <v>1805</v>
      </c>
      <c r="B79" s="263">
        <v>76927</v>
      </c>
      <c r="C79" s="112">
        <v>50000</v>
      </c>
      <c r="D79" s="95"/>
      <c r="E79" s="263">
        <v>26927</v>
      </c>
    </row>
    <row r="80" spans="1:5">
      <c r="A80" s="190" t="s">
        <v>1806</v>
      </c>
      <c r="B80" s="96"/>
      <c r="C80" s="112">
        <v>208000</v>
      </c>
      <c r="D80" s="112">
        <v>208000</v>
      </c>
      <c r="E80" s="96"/>
    </row>
    <row r="81" spans="1:5">
      <c r="A81" s="15" t="s">
        <v>618</v>
      </c>
      <c r="B81" s="267">
        <v>22114</v>
      </c>
      <c r="C81" s="112">
        <v>98421</v>
      </c>
      <c r="D81" s="112">
        <v>132983</v>
      </c>
      <c r="E81" s="263">
        <v>12448</v>
      </c>
    </row>
    <row r="82" spans="1:5">
      <c r="A82" s="15" t="s">
        <v>619</v>
      </c>
      <c r="B82" s="267">
        <v>6860</v>
      </c>
      <c r="C82" s="112">
        <v>331</v>
      </c>
      <c r="D82" s="112">
        <v>7191</v>
      </c>
      <c r="E82" s="96"/>
    </row>
    <row r="83" spans="1:5">
      <c r="A83" s="15" t="s">
        <v>621</v>
      </c>
      <c r="B83" s="263">
        <v>58914</v>
      </c>
      <c r="C83" s="112">
        <v>619121</v>
      </c>
      <c r="D83" s="112">
        <v>625270</v>
      </c>
      <c r="E83" s="263">
        <v>65063</v>
      </c>
    </row>
    <row r="84" spans="1:5">
      <c r="A84" s="190" t="s">
        <v>1007</v>
      </c>
      <c r="B84" s="263">
        <v>100</v>
      </c>
      <c r="C84" s="112">
        <v>100</v>
      </c>
      <c r="D84" s="95"/>
      <c r="E84" s="96"/>
    </row>
    <row r="85" spans="1:5">
      <c r="A85" s="190" t="s">
        <v>1009</v>
      </c>
      <c r="B85" s="263">
        <v>6714</v>
      </c>
      <c r="C85" s="112">
        <v>9714</v>
      </c>
      <c r="D85" s="112">
        <v>3000</v>
      </c>
      <c r="E85" s="96"/>
    </row>
    <row r="86" spans="1:5">
      <c r="A86" s="15" t="s">
        <v>1281</v>
      </c>
      <c r="B86" s="267">
        <v>36025</v>
      </c>
      <c r="C86" s="112">
        <v>88850</v>
      </c>
      <c r="D86" s="112">
        <v>130660</v>
      </c>
      <c r="E86" s="263">
        <v>5785</v>
      </c>
    </row>
    <row r="87" spans="1:5">
      <c r="A87" s="15" t="s">
        <v>1845</v>
      </c>
      <c r="B87" s="267">
        <v>5000</v>
      </c>
      <c r="C87" s="95"/>
      <c r="D87" s="112">
        <v>5000</v>
      </c>
      <c r="E87" s="96"/>
    </row>
    <row r="88" spans="1:5">
      <c r="A88" s="15" t="s">
        <v>1011</v>
      </c>
      <c r="B88" s="267">
        <v>58917</v>
      </c>
      <c r="C88" s="112">
        <v>10700</v>
      </c>
      <c r="D88" s="112">
        <v>98395</v>
      </c>
      <c r="E88" s="263">
        <v>28778</v>
      </c>
    </row>
    <row r="89" spans="1:5">
      <c r="A89" s="15" t="s">
        <v>1012</v>
      </c>
      <c r="B89" s="263">
        <v>14685</v>
      </c>
      <c r="C89" s="112">
        <v>14685</v>
      </c>
      <c r="D89" s="95"/>
      <c r="E89" s="96"/>
    </row>
    <row r="90" spans="1:5">
      <c r="A90" s="190" t="s">
        <v>1974</v>
      </c>
      <c r="B90" s="96"/>
      <c r="C90" s="112">
        <v>1625</v>
      </c>
      <c r="D90" s="112">
        <v>1625</v>
      </c>
      <c r="E90" s="96"/>
    </row>
    <row r="91" spans="1:5">
      <c r="A91" s="190" t="s">
        <v>1807</v>
      </c>
      <c r="B91" s="263">
        <v>1042</v>
      </c>
      <c r="C91" s="112">
        <v>1042</v>
      </c>
      <c r="D91" s="95"/>
      <c r="E91" s="96"/>
    </row>
    <row r="92" spans="1:5">
      <c r="A92" s="15" t="s">
        <v>635</v>
      </c>
      <c r="B92" s="96"/>
      <c r="C92" s="112">
        <v>454681</v>
      </c>
      <c r="D92" s="112">
        <v>482772</v>
      </c>
      <c r="E92" s="263">
        <v>28091</v>
      </c>
    </row>
    <row r="93" spans="1:5">
      <c r="A93" s="190" t="s">
        <v>1975</v>
      </c>
      <c r="B93" s="263">
        <v>6100</v>
      </c>
      <c r="C93" s="112">
        <v>6100</v>
      </c>
      <c r="D93" s="95"/>
      <c r="E93" s="96"/>
    </row>
    <row r="94" spans="1:5">
      <c r="A94" s="190" t="s">
        <v>1808</v>
      </c>
      <c r="B94" s="263">
        <v>1800</v>
      </c>
      <c r="C94" s="112">
        <v>1800</v>
      </c>
      <c r="D94" s="95"/>
      <c r="E94" s="96"/>
    </row>
    <row r="95" spans="1:5">
      <c r="A95" s="190" t="s">
        <v>1439</v>
      </c>
      <c r="B95" s="263">
        <v>5250</v>
      </c>
      <c r="C95" s="112">
        <v>5250</v>
      </c>
      <c r="D95" s="95"/>
      <c r="E95" s="96"/>
    </row>
    <row r="96" spans="1:5">
      <c r="A96" s="190" t="s">
        <v>1440</v>
      </c>
      <c r="B96" s="267">
        <v>21840</v>
      </c>
      <c r="C96" s="95"/>
      <c r="D96" s="112">
        <v>5250</v>
      </c>
      <c r="E96" s="267">
        <v>16590</v>
      </c>
    </row>
    <row r="97" spans="1:5">
      <c r="A97" s="15" t="s">
        <v>1976</v>
      </c>
      <c r="B97" s="96"/>
      <c r="C97" s="112">
        <v>40000</v>
      </c>
      <c r="D97" s="112">
        <v>42857</v>
      </c>
      <c r="E97" s="263">
        <v>2857</v>
      </c>
    </row>
    <row r="98" spans="1:5">
      <c r="A98" s="190" t="s">
        <v>1809</v>
      </c>
      <c r="B98" s="267">
        <v>10143</v>
      </c>
      <c r="C98" s="95"/>
      <c r="D98" s="112">
        <v>10143</v>
      </c>
      <c r="E98" s="96"/>
    </row>
    <row r="99" spans="1:5">
      <c r="A99" s="190" t="s">
        <v>649</v>
      </c>
      <c r="B99" s="267">
        <v>674335</v>
      </c>
      <c r="C99" s="112">
        <v>1089353</v>
      </c>
      <c r="D99" s="112">
        <v>1782133</v>
      </c>
      <c r="E99" s="263">
        <v>18445</v>
      </c>
    </row>
    <row r="100" spans="1:5">
      <c r="A100" s="15" t="s">
        <v>650</v>
      </c>
      <c r="B100" s="267">
        <v>4512</v>
      </c>
      <c r="C100" s="112">
        <v>487772</v>
      </c>
      <c r="D100" s="112">
        <v>628163</v>
      </c>
      <c r="E100" s="263">
        <v>135879</v>
      </c>
    </row>
    <row r="101" spans="1:5">
      <c r="A101" s="190" t="s">
        <v>1442</v>
      </c>
      <c r="B101" s="263">
        <v>62175</v>
      </c>
      <c r="C101" s="112">
        <v>62175</v>
      </c>
      <c r="D101" s="95"/>
      <c r="E101" s="96"/>
    </row>
    <row r="102" spans="1:5">
      <c r="A102" s="190" t="s">
        <v>1017</v>
      </c>
      <c r="B102" s="267">
        <v>27418</v>
      </c>
      <c r="C102" s="112">
        <v>329285</v>
      </c>
      <c r="D102" s="112">
        <v>391599</v>
      </c>
      <c r="E102" s="263">
        <v>34896</v>
      </c>
    </row>
    <row r="103" spans="1:5">
      <c r="A103" s="15" t="s">
        <v>653</v>
      </c>
      <c r="B103" s="267">
        <v>1270</v>
      </c>
      <c r="C103" s="95"/>
      <c r="D103" s="112">
        <v>1270</v>
      </c>
      <c r="E103" s="96"/>
    </row>
    <row r="104" spans="1:5">
      <c r="A104" s="15" t="s">
        <v>1810</v>
      </c>
      <c r="B104" s="96"/>
      <c r="C104" s="112">
        <v>1100</v>
      </c>
      <c r="D104" s="112">
        <v>1100</v>
      </c>
      <c r="E104" s="96"/>
    </row>
    <row r="105" spans="1:5">
      <c r="A105" s="15" t="s">
        <v>656</v>
      </c>
      <c r="B105" s="267">
        <v>516</v>
      </c>
      <c r="C105" s="112">
        <v>462290</v>
      </c>
      <c r="D105" s="112">
        <v>406827</v>
      </c>
      <c r="E105" s="267">
        <v>55979</v>
      </c>
    </row>
    <row r="106" spans="1:5">
      <c r="A106" s="190" t="s">
        <v>1443</v>
      </c>
      <c r="B106" s="263">
        <v>2000</v>
      </c>
      <c r="C106" s="112">
        <v>2000</v>
      </c>
      <c r="D106" s="95"/>
      <c r="E106" s="96"/>
    </row>
    <row r="107" spans="1:5">
      <c r="A107" s="190" t="s">
        <v>1444</v>
      </c>
      <c r="B107" s="267">
        <v>25006</v>
      </c>
      <c r="C107" s="112">
        <v>35350</v>
      </c>
      <c r="D107" s="112">
        <v>60356</v>
      </c>
      <c r="E107" s="96"/>
    </row>
    <row r="108" spans="1:5">
      <c r="A108" s="15" t="s">
        <v>657</v>
      </c>
      <c r="B108" s="263">
        <v>10392</v>
      </c>
      <c r="C108" s="112">
        <v>10392</v>
      </c>
      <c r="D108" s="95"/>
      <c r="E108" s="96"/>
    </row>
    <row r="109" spans="1:5">
      <c r="A109" s="15" t="s">
        <v>1979</v>
      </c>
      <c r="B109" s="263">
        <v>120</v>
      </c>
      <c r="C109" s="112">
        <v>120</v>
      </c>
      <c r="D109" s="95"/>
      <c r="E109" s="96"/>
    </row>
    <row r="110" spans="1:5">
      <c r="A110" s="15" t="s">
        <v>659</v>
      </c>
      <c r="B110" s="263">
        <v>23973</v>
      </c>
      <c r="C110" s="112">
        <v>23973</v>
      </c>
      <c r="D110" s="95"/>
      <c r="E110" s="96"/>
    </row>
    <row r="111" spans="1:5">
      <c r="A111" s="190" t="s">
        <v>1811</v>
      </c>
      <c r="B111" s="263">
        <v>17797</v>
      </c>
      <c r="C111" s="112">
        <v>17797</v>
      </c>
      <c r="D111" s="95"/>
      <c r="E111" s="96"/>
    </row>
    <row r="112" spans="1:5">
      <c r="A112" s="190" t="s">
        <v>1980</v>
      </c>
      <c r="B112" s="96"/>
      <c r="C112" s="112">
        <v>87800</v>
      </c>
      <c r="D112" s="112">
        <v>61331</v>
      </c>
      <c r="E112" s="267">
        <v>26469</v>
      </c>
    </row>
    <row r="113" spans="1:5">
      <c r="A113" s="190" t="s">
        <v>1448</v>
      </c>
      <c r="B113" s="267">
        <v>109263</v>
      </c>
      <c r="C113" s="112">
        <v>36343</v>
      </c>
      <c r="D113" s="112">
        <v>145606</v>
      </c>
      <c r="E113" s="96"/>
    </row>
    <row r="114" spans="1:5">
      <c r="A114" s="15" t="s">
        <v>1176</v>
      </c>
      <c r="B114" s="263">
        <v>3199</v>
      </c>
      <c r="C114" s="112">
        <v>98645</v>
      </c>
      <c r="D114" s="112">
        <v>106640</v>
      </c>
      <c r="E114" s="263">
        <v>11194</v>
      </c>
    </row>
    <row r="115" spans="1:5">
      <c r="A115" s="15" t="s">
        <v>664</v>
      </c>
      <c r="B115" s="263">
        <v>11426</v>
      </c>
      <c r="C115" s="112">
        <v>11426</v>
      </c>
      <c r="D115" s="95"/>
      <c r="E115" s="96"/>
    </row>
    <row r="116" spans="1:5">
      <c r="A116" s="190" t="s">
        <v>1812</v>
      </c>
      <c r="B116" s="263">
        <v>6068</v>
      </c>
      <c r="C116" s="112">
        <v>6068</v>
      </c>
      <c r="D116" s="95"/>
      <c r="E116" s="96"/>
    </row>
    <row r="117" spans="1:5">
      <c r="A117" s="190" t="s">
        <v>665</v>
      </c>
      <c r="B117" s="267">
        <v>82856</v>
      </c>
      <c r="C117" s="112">
        <v>88725</v>
      </c>
      <c r="D117" s="112">
        <v>205523</v>
      </c>
      <c r="E117" s="263">
        <v>33942</v>
      </c>
    </row>
    <row r="118" spans="1:5">
      <c r="A118" s="190" t="s">
        <v>1981</v>
      </c>
      <c r="B118" s="267">
        <v>42132</v>
      </c>
      <c r="C118" s="112">
        <v>153670</v>
      </c>
      <c r="D118" s="112">
        <v>212520</v>
      </c>
      <c r="E118" s="263">
        <v>16718</v>
      </c>
    </row>
    <row r="119" spans="1:5">
      <c r="A119" s="190" t="s">
        <v>1813</v>
      </c>
      <c r="B119" s="267">
        <v>9780</v>
      </c>
      <c r="C119" s="112">
        <v>16700</v>
      </c>
      <c r="D119" s="112">
        <v>26480</v>
      </c>
      <c r="E119" s="96"/>
    </row>
    <row r="120" spans="1:5">
      <c r="A120" s="15" t="s">
        <v>1449</v>
      </c>
      <c r="B120" s="267">
        <v>951838</v>
      </c>
      <c r="C120" s="112">
        <v>110208</v>
      </c>
      <c r="D120" s="112">
        <v>1074585</v>
      </c>
      <c r="E120" s="263">
        <v>12539</v>
      </c>
    </row>
    <row r="121" spans="1:5">
      <c r="A121" s="190" t="s">
        <v>1450</v>
      </c>
      <c r="B121" s="263">
        <v>100000</v>
      </c>
      <c r="C121" s="112">
        <v>100000</v>
      </c>
      <c r="D121" s="95"/>
      <c r="E121" s="96"/>
    </row>
    <row r="122" spans="1:5">
      <c r="A122" s="15" t="s">
        <v>1984</v>
      </c>
      <c r="B122" s="267">
        <v>70159</v>
      </c>
      <c r="C122" s="112">
        <v>598051</v>
      </c>
      <c r="D122" s="112">
        <v>743651</v>
      </c>
      <c r="E122" s="263">
        <v>75441</v>
      </c>
    </row>
    <row r="123" spans="1:5">
      <c r="A123" s="15" t="s">
        <v>1814</v>
      </c>
      <c r="B123" s="267">
        <v>7577</v>
      </c>
      <c r="C123" s="112">
        <v>16000</v>
      </c>
      <c r="D123" s="112">
        <v>10000</v>
      </c>
      <c r="E123" s="267">
        <v>13577</v>
      </c>
    </row>
    <row r="124" spans="1:5">
      <c r="A124" s="15" t="s">
        <v>1452</v>
      </c>
      <c r="B124" s="267">
        <v>1780</v>
      </c>
      <c r="C124" s="95"/>
      <c r="D124" s="112">
        <v>1780</v>
      </c>
      <c r="E124" s="96"/>
    </row>
    <row r="125" spans="1:5">
      <c r="A125" s="190" t="s">
        <v>672</v>
      </c>
      <c r="B125" s="263">
        <v>16895</v>
      </c>
      <c r="C125" s="112">
        <v>16895</v>
      </c>
      <c r="D125" s="95"/>
      <c r="E125" s="96"/>
    </row>
    <row r="126" spans="1:5">
      <c r="A126" s="15" t="s">
        <v>673</v>
      </c>
      <c r="B126" s="263">
        <v>8364</v>
      </c>
      <c r="C126" s="112">
        <v>8364</v>
      </c>
      <c r="D126" s="95"/>
      <c r="E126" s="96"/>
    </row>
    <row r="127" spans="1:5">
      <c r="A127" s="190" t="s">
        <v>1455</v>
      </c>
      <c r="B127" s="267">
        <v>33082</v>
      </c>
      <c r="C127" s="112">
        <v>789630</v>
      </c>
      <c r="D127" s="112">
        <v>816148</v>
      </c>
      <c r="E127" s="267">
        <v>6564</v>
      </c>
    </row>
    <row r="128" spans="1:5">
      <c r="A128" s="15" t="s">
        <v>1815</v>
      </c>
      <c r="B128" s="263">
        <v>200</v>
      </c>
      <c r="C128" s="95"/>
      <c r="D128" s="112">
        <v>1000</v>
      </c>
      <c r="E128" s="263">
        <v>1200</v>
      </c>
    </row>
    <row r="129" spans="1:5">
      <c r="A129" s="15" t="s">
        <v>677</v>
      </c>
      <c r="B129" s="267">
        <v>118675</v>
      </c>
      <c r="C129" s="112">
        <v>534563</v>
      </c>
      <c r="D129" s="112">
        <v>615304</v>
      </c>
      <c r="E129" s="267">
        <v>37934</v>
      </c>
    </row>
    <row r="130" spans="1:5">
      <c r="A130" s="190" t="s">
        <v>678</v>
      </c>
      <c r="B130" s="263">
        <v>8174</v>
      </c>
      <c r="C130" s="112">
        <v>8174</v>
      </c>
      <c r="D130" s="95"/>
      <c r="E130" s="96"/>
    </row>
    <row r="131" spans="1:5">
      <c r="A131" s="190" t="s">
        <v>1816</v>
      </c>
      <c r="B131" s="267">
        <v>40105</v>
      </c>
      <c r="C131" s="112">
        <v>421864</v>
      </c>
      <c r="D131" s="112">
        <v>427656</v>
      </c>
      <c r="E131" s="267">
        <v>34313</v>
      </c>
    </row>
    <row r="132" spans="1:5">
      <c r="A132" s="15" t="s">
        <v>679</v>
      </c>
      <c r="B132" s="263">
        <v>42419</v>
      </c>
      <c r="C132" s="112">
        <v>42419</v>
      </c>
      <c r="D132" s="95"/>
      <c r="E132" s="96"/>
    </row>
    <row r="133" spans="1:5">
      <c r="A133" s="190" t="s">
        <v>1817</v>
      </c>
      <c r="B133" s="263">
        <v>4938</v>
      </c>
      <c r="C133" s="112">
        <v>151285</v>
      </c>
      <c r="D133" s="112">
        <v>143400</v>
      </c>
      <c r="E133" s="267">
        <v>2947</v>
      </c>
    </row>
    <row r="134" spans="1:5">
      <c r="A134" s="190" t="s">
        <v>1027</v>
      </c>
      <c r="B134" s="263">
        <v>3225</v>
      </c>
      <c r="C134" s="95"/>
      <c r="D134" s="112">
        <v>6000</v>
      </c>
      <c r="E134" s="263">
        <v>9225</v>
      </c>
    </row>
    <row r="135" spans="1:5">
      <c r="A135" s="15" t="s">
        <v>681</v>
      </c>
      <c r="B135" s="263">
        <v>2083</v>
      </c>
      <c r="C135" s="112">
        <v>2083</v>
      </c>
      <c r="D135" s="95"/>
      <c r="E135" s="96"/>
    </row>
    <row r="136" spans="1:5">
      <c r="A136" s="190" t="s">
        <v>1818</v>
      </c>
      <c r="B136" s="267">
        <v>55210</v>
      </c>
      <c r="C136" s="95"/>
      <c r="D136" s="112">
        <v>55210</v>
      </c>
      <c r="E136" s="96"/>
    </row>
    <row r="137" spans="1:5">
      <c r="A137" s="15" t="s">
        <v>1989</v>
      </c>
      <c r="B137" s="96"/>
      <c r="C137" s="112">
        <v>6000</v>
      </c>
      <c r="D137" s="112">
        <v>6000</v>
      </c>
      <c r="E137" s="96"/>
    </row>
    <row r="138" spans="1:5">
      <c r="A138" s="15" t="s">
        <v>1819</v>
      </c>
      <c r="B138" s="263">
        <v>1651</v>
      </c>
      <c r="C138" s="112">
        <v>17000</v>
      </c>
      <c r="D138" s="112">
        <v>15349</v>
      </c>
      <c r="E138" s="96"/>
    </row>
    <row r="139" spans="1:5">
      <c r="A139" s="190" t="s">
        <v>1820</v>
      </c>
      <c r="B139" s="263">
        <v>800</v>
      </c>
      <c r="C139" s="112">
        <v>800</v>
      </c>
      <c r="D139" s="95"/>
      <c r="E139" s="96"/>
    </row>
    <row r="140" spans="1:5">
      <c r="A140" s="190" t="s">
        <v>1277</v>
      </c>
      <c r="B140" s="263">
        <v>13000</v>
      </c>
      <c r="C140" s="112">
        <v>13000</v>
      </c>
      <c r="D140" s="95"/>
      <c r="E140" s="96"/>
    </row>
    <row r="141" spans="1:5">
      <c r="A141" s="190" t="s">
        <v>695</v>
      </c>
      <c r="B141" s="96"/>
      <c r="C141" s="112">
        <v>19750</v>
      </c>
      <c r="D141" s="112">
        <v>19750</v>
      </c>
      <c r="E141" s="96"/>
    </row>
    <row r="142" spans="1:5">
      <c r="A142" s="190" t="s">
        <v>696</v>
      </c>
      <c r="B142" s="267">
        <v>101667</v>
      </c>
      <c r="C142" s="112">
        <v>40620</v>
      </c>
      <c r="D142" s="112">
        <v>153322</v>
      </c>
      <c r="E142" s="263">
        <v>11035</v>
      </c>
    </row>
    <row r="143" spans="1:5">
      <c r="A143" s="190" t="s">
        <v>1822</v>
      </c>
      <c r="B143" s="267">
        <v>9250</v>
      </c>
      <c r="C143" s="112">
        <v>1450</v>
      </c>
      <c r="D143" s="112">
        <v>10700</v>
      </c>
      <c r="E143" s="96"/>
    </row>
    <row r="144" spans="1:5">
      <c r="A144" s="190" t="s">
        <v>1467</v>
      </c>
      <c r="B144" s="267">
        <v>1000</v>
      </c>
      <c r="C144" s="95"/>
      <c r="D144" s="112">
        <v>3090</v>
      </c>
      <c r="E144" s="263">
        <v>2090</v>
      </c>
    </row>
    <row r="145" spans="1:5">
      <c r="A145" s="190" t="s">
        <v>1992</v>
      </c>
      <c r="B145" s="96"/>
      <c r="C145" s="95"/>
      <c r="D145" s="112">
        <v>1600</v>
      </c>
      <c r="E145" s="263">
        <v>1600</v>
      </c>
    </row>
    <row r="146" spans="1:5">
      <c r="A146" s="190" t="s">
        <v>697</v>
      </c>
      <c r="B146" s="267">
        <v>127518</v>
      </c>
      <c r="C146" s="112">
        <v>336525</v>
      </c>
      <c r="D146" s="112">
        <v>419028</v>
      </c>
      <c r="E146" s="267">
        <v>45015</v>
      </c>
    </row>
    <row r="147" spans="1:5">
      <c r="A147" s="190" t="s">
        <v>1823</v>
      </c>
      <c r="B147" s="267">
        <v>5250</v>
      </c>
      <c r="C147" s="95"/>
      <c r="D147" s="112">
        <v>5250</v>
      </c>
      <c r="E147" s="96"/>
    </row>
    <row r="148" spans="1:5">
      <c r="A148" s="190" t="s">
        <v>699</v>
      </c>
      <c r="B148" s="263">
        <v>3696</v>
      </c>
      <c r="C148" s="112">
        <v>3696</v>
      </c>
      <c r="D148" s="95"/>
      <c r="E148" s="96"/>
    </row>
    <row r="149" spans="1:5">
      <c r="A149" s="15" t="s">
        <v>700</v>
      </c>
      <c r="B149" s="267">
        <v>129822</v>
      </c>
      <c r="C149" s="112">
        <v>236850</v>
      </c>
      <c r="D149" s="112">
        <v>409655</v>
      </c>
      <c r="E149" s="263">
        <v>42983</v>
      </c>
    </row>
    <row r="150" spans="1:5">
      <c r="A150" s="190" t="s">
        <v>1993</v>
      </c>
      <c r="B150" s="96"/>
      <c r="C150" s="95"/>
      <c r="D150" s="112">
        <v>3800</v>
      </c>
      <c r="E150" s="263">
        <v>3800</v>
      </c>
    </row>
    <row r="151" spans="1:5">
      <c r="A151" s="190" t="s">
        <v>1275</v>
      </c>
      <c r="B151" s="263">
        <v>5500</v>
      </c>
      <c r="C151" s="112">
        <v>5500</v>
      </c>
      <c r="D151" s="95"/>
      <c r="E151" s="96"/>
    </row>
    <row r="152" spans="1:5">
      <c r="A152" s="190" t="s">
        <v>1461</v>
      </c>
      <c r="B152" s="263">
        <v>147</v>
      </c>
      <c r="C152" s="112">
        <v>147</v>
      </c>
      <c r="D152" s="95"/>
      <c r="E152" s="96"/>
    </row>
    <row r="153" spans="1:5">
      <c r="A153" s="248" t="s">
        <v>1274</v>
      </c>
      <c r="B153" s="268">
        <v>403963</v>
      </c>
      <c r="C153" s="93">
        <v>5362875</v>
      </c>
      <c r="D153" s="93">
        <v>5179309</v>
      </c>
      <c r="E153" s="268">
        <v>220397</v>
      </c>
    </row>
    <row r="154" spans="1:5">
      <c r="A154" s="15" t="s">
        <v>1824</v>
      </c>
      <c r="B154" s="96"/>
      <c r="C154" s="112">
        <v>418000</v>
      </c>
      <c r="D154" s="112">
        <v>418000</v>
      </c>
      <c r="E154" s="96"/>
    </row>
    <row r="155" spans="1:5">
      <c r="A155" s="15" t="s">
        <v>1995</v>
      </c>
      <c r="B155" s="96"/>
      <c r="C155" s="112">
        <v>37500</v>
      </c>
      <c r="D155" s="112">
        <v>37500</v>
      </c>
      <c r="E155" s="96"/>
    </row>
    <row r="156" spans="1:5">
      <c r="A156" s="190" t="s">
        <v>1825</v>
      </c>
      <c r="B156" s="263">
        <v>15462</v>
      </c>
      <c r="C156" s="112">
        <v>15462</v>
      </c>
      <c r="D156" s="95"/>
      <c r="E156" s="96"/>
    </row>
    <row r="157" spans="1:5">
      <c r="A157" s="15" t="s">
        <v>1826</v>
      </c>
      <c r="B157" s="96"/>
      <c r="C157" s="112">
        <v>8600</v>
      </c>
      <c r="D157" s="112">
        <v>8600</v>
      </c>
      <c r="E157" s="96"/>
    </row>
    <row r="158" spans="1:5">
      <c r="A158" s="190" t="s">
        <v>1999</v>
      </c>
      <c r="B158" s="96"/>
      <c r="C158" s="112">
        <v>292000</v>
      </c>
      <c r="D158" s="112">
        <v>292000</v>
      </c>
      <c r="E158" s="96"/>
    </row>
    <row r="159" spans="1:5">
      <c r="A159" s="15" t="s">
        <v>2000</v>
      </c>
      <c r="B159" s="96"/>
      <c r="C159" s="112">
        <v>21000</v>
      </c>
      <c r="D159" s="112">
        <v>21000</v>
      </c>
      <c r="E159" s="96"/>
    </row>
    <row r="160" spans="1:5">
      <c r="A160" s="190" t="s">
        <v>1471</v>
      </c>
      <c r="B160" s="263">
        <v>685</v>
      </c>
      <c r="C160" s="112">
        <v>685</v>
      </c>
      <c r="D160" s="95"/>
      <c r="E160" s="96"/>
    </row>
    <row r="161" spans="1:5">
      <c r="A161" s="190" t="s">
        <v>709</v>
      </c>
      <c r="B161" s="263">
        <v>31224</v>
      </c>
      <c r="C161" s="95"/>
      <c r="D161" s="112">
        <v>21000</v>
      </c>
      <c r="E161" s="263">
        <v>52224</v>
      </c>
    </row>
    <row r="162" spans="1:5">
      <c r="A162" s="190" t="s">
        <v>2001</v>
      </c>
      <c r="B162" s="96"/>
      <c r="C162" s="112">
        <v>36000</v>
      </c>
      <c r="D162" s="112">
        <v>36000</v>
      </c>
      <c r="E162" s="96"/>
    </row>
    <row r="163" spans="1:5">
      <c r="A163" s="15" t="s">
        <v>1827</v>
      </c>
      <c r="B163" s="96"/>
      <c r="C163" s="112">
        <v>14100</v>
      </c>
      <c r="D163" s="112">
        <v>14100</v>
      </c>
      <c r="E163" s="96"/>
    </row>
    <row r="164" spans="1:5">
      <c r="A164" s="15" t="s">
        <v>1474</v>
      </c>
      <c r="B164" s="263">
        <v>7500</v>
      </c>
      <c r="C164" s="112">
        <v>7500</v>
      </c>
      <c r="D164" s="95"/>
      <c r="E164" s="96"/>
    </row>
    <row r="165" spans="1:5">
      <c r="A165" s="190" t="s">
        <v>2002</v>
      </c>
      <c r="B165" s="263">
        <v>105850</v>
      </c>
      <c r="C165" s="112">
        <v>897160</v>
      </c>
      <c r="D165" s="112">
        <v>836510</v>
      </c>
      <c r="E165" s="263">
        <v>45200</v>
      </c>
    </row>
    <row r="166" spans="1:5">
      <c r="A166" s="15" t="s">
        <v>1828</v>
      </c>
      <c r="B166" s="263">
        <v>64400</v>
      </c>
      <c r="C166" s="112">
        <v>64400</v>
      </c>
      <c r="D166" s="95"/>
      <c r="E166" s="96"/>
    </row>
    <row r="167" spans="1:5">
      <c r="A167" s="190" t="s">
        <v>1829</v>
      </c>
      <c r="B167" s="263">
        <v>14300</v>
      </c>
      <c r="C167" s="112">
        <v>14300</v>
      </c>
      <c r="D167" s="95"/>
      <c r="E167" s="96"/>
    </row>
    <row r="168" spans="1:5">
      <c r="A168" s="190" t="s">
        <v>1830</v>
      </c>
      <c r="B168" s="96"/>
      <c r="C168" s="112">
        <v>205500</v>
      </c>
      <c r="D168" s="112">
        <v>205500</v>
      </c>
      <c r="E168" s="96"/>
    </row>
    <row r="169" spans="1:5">
      <c r="A169" s="15" t="s">
        <v>711</v>
      </c>
      <c r="B169" s="263">
        <v>10324</v>
      </c>
      <c r="C169" s="112">
        <v>10324</v>
      </c>
      <c r="D169" s="95"/>
      <c r="E169" s="96"/>
    </row>
    <row r="170" spans="1:5">
      <c r="A170" s="190" t="s">
        <v>1831</v>
      </c>
      <c r="B170" s="263">
        <v>978</v>
      </c>
      <c r="C170" s="112">
        <v>59500</v>
      </c>
      <c r="D170" s="112">
        <v>63763</v>
      </c>
      <c r="E170" s="263">
        <v>5241</v>
      </c>
    </row>
    <row r="171" spans="1:5">
      <c r="A171" s="15" t="s">
        <v>2003</v>
      </c>
      <c r="B171" s="96"/>
      <c r="C171" s="112">
        <v>76300</v>
      </c>
      <c r="D171" s="112">
        <v>76300</v>
      </c>
      <c r="E171" s="96"/>
    </row>
    <row r="172" spans="1:5">
      <c r="A172" s="15" t="s">
        <v>2008</v>
      </c>
      <c r="B172" s="96"/>
      <c r="C172" s="112">
        <v>132000</v>
      </c>
      <c r="D172" s="112">
        <v>132000</v>
      </c>
      <c r="E172" s="96"/>
    </row>
    <row r="173" spans="1:5">
      <c r="A173" s="15" t="s">
        <v>1832</v>
      </c>
      <c r="B173" s="96"/>
      <c r="C173" s="112">
        <v>36000</v>
      </c>
      <c r="D173" s="112">
        <v>36000</v>
      </c>
      <c r="E173" s="96"/>
    </row>
    <row r="174" spans="1:5">
      <c r="A174" s="190" t="s">
        <v>1271</v>
      </c>
      <c r="B174" s="263">
        <v>33800</v>
      </c>
      <c r="C174" s="112">
        <v>33800</v>
      </c>
      <c r="D174" s="95"/>
      <c r="E174" s="96"/>
    </row>
    <row r="175" spans="1:5">
      <c r="A175" s="190" t="s">
        <v>1833</v>
      </c>
      <c r="B175" s="263">
        <v>29000</v>
      </c>
      <c r="C175" s="112">
        <v>50500</v>
      </c>
      <c r="D175" s="112">
        <v>21500</v>
      </c>
      <c r="E175" s="96"/>
    </row>
    <row r="176" spans="1:5">
      <c r="A176" s="190" t="s">
        <v>1834</v>
      </c>
      <c r="B176" s="263">
        <v>4300</v>
      </c>
      <c r="C176" s="112">
        <v>991304</v>
      </c>
      <c r="D176" s="112">
        <v>991046</v>
      </c>
      <c r="E176" s="263">
        <v>4042</v>
      </c>
    </row>
    <row r="177" spans="1:5">
      <c r="A177" s="190" t="s">
        <v>1835</v>
      </c>
      <c r="B177" s="96"/>
      <c r="C177" s="112">
        <v>244000</v>
      </c>
      <c r="D177" s="112">
        <v>244000</v>
      </c>
      <c r="E177" s="96"/>
    </row>
    <row r="178" spans="1:5">
      <c r="A178" s="190" t="s">
        <v>2004</v>
      </c>
      <c r="B178" s="96"/>
      <c r="C178" s="112">
        <v>18000</v>
      </c>
      <c r="D178" s="112">
        <v>18000</v>
      </c>
      <c r="E178" s="96"/>
    </row>
    <row r="179" spans="1:5">
      <c r="A179" s="190" t="s">
        <v>2009</v>
      </c>
      <c r="B179" s="96"/>
      <c r="C179" s="112">
        <v>18000</v>
      </c>
      <c r="D179" s="112">
        <v>18000</v>
      </c>
      <c r="E179" s="96"/>
    </row>
    <row r="180" spans="1:5">
      <c r="A180" s="190" t="s">
        <v>1837</v>
      </c>
      <c r="B180" s="96"/>
      <c r="C180" s="112">
        <v>514500</v>
      </c>
      <c r="D180" s="112">
        <v>514500</v>
      </c>
      <c r="E180" s="96"/>
    </row>
    <row r="181" spans="1:5">
      <c r="A181" s="15" t="s">
        <v>718</v>
      </c>
      <c r="B181" s="263">
        <v>37500</v>
      </c>
      <c r="C181" s="112">
        <v>37500</v>
      </c>
      <c r="D181" s="95"/>
      <c r="E181" s="96"/>
    </row>
    <row r="182" spans="1:5">
      <c r="A182" s="190" t="s">
        <v>2010</v>
      </c>
      <c r="B182" s="96"/>
      <c r="C182" s="112">
        <v>76500</v>
      </c>
      <c r="D182" s="112">
        <v>76500</v>
      </c>
      <c r="E182" s="96"/>
    </row>
    <row r="183" spans="1:5">
      <c r="A183" s="190" t="s">
        <v>1270</v>
      </c>
      <c r="B183" s="263">
        <v>20000</v>
      </c>
      <c r="C183" s="112">
        <v>878400</v>
      </c>
      <c r="D183" s="112">
        <v>966590</v>
      </c>
      <c r="E183" s="263">
        <v>108190</v>
      </c>
    </row>
    <row r="184" spans="1:5">
      <c r="A184" s="15" t="s">
        <v>2105</v>
      </c>
      <c r="B184" s="96"/>
      <c r="C184" s="112">
        <v>125400</v>
      </c>
      <c r="D184" s="112">
        <v>125400</v>
      </c>
      <c r="E184" s="96"/>
    </row>
    <row r="185" spans="1:5">
      <c r="A185" s="190" t="s">
        <v>720</v>
      </c>
      <c r="B185" s="263">
        <v>27040</v>
      </c>
      <c r="C185" s="112">
        <v>27040</v>
      </c>
      <c r="D185" s="95"/>
      <c r="E185" s="96"/>
    </row>
    <row r="186" spans="1:5">
      <c r="A186" s="190" t="s">
        <v>721</v>
      </c>
      <c r="B186" s="96"/>
      <c r="C186" s="95"/>
      <c r="D186" s="112">
        <v>5500</v>
      </c>
      <c r="E186" s="263">
        <v>5500</v>
      </c>
    </row>
    <row r="187" spans="1:5">
      <c r="A187" s="190" t="s">
        <v>1838</v>
      </c>
      <c r="B187" s="263">
        <v>1600</v>
      </c>
      <c r="C187" s="112">
        <v>1600</v>
      </c>
      <c r="D187" s="95"/>
      <c r="E187" s="96"/>
    </row>
    <row r="188" spans="1:5">
      <c r="A188" s="1" t="s">
        <v>39</v>
      </c>
      <c r="B188" s="270">
        <v>57034</v>
      </c>
      <c r="C188" s="108"/>
      <c r="D188" s="108"/>
      <c r="E188" s="270">
        <v>57034</v>
      </c>
    </row>
    <row r="189" spans="1:5">
      <c r="A189" s="13" t="s">
        <v>1266</v>
      </c>
      <c r="B189" s="267">
        <v>57034</v>
      </c>
      <c r="C189" s="95"/>
      <c r="D189" s="95"/>
      <c r="E189" s="267">
        <v>57034</v>
      </c>
    </row>
    <row r="190" spans="1:5">
      <c r="A190" s="1" t="s">
        <v>96</v>
      </c>
      <c r="B190" s="270">
        <v>25000</v>
      </c>
      <c r="C190" s="108"/>
      <c r="D190" s="108"/>
      <c r="E190" s="270">
        <v>25000</v>
      </c>
    </row>
    <row r="191" spans="1:5">
      <c r="A191" s="14" t="s">
        <v>97</v>
      </c>
      <c r="B191" s="271">
        <v>25000</v>
      </c>
      <c r="C191" s="111"/>
      <c r="D191" s="111"/>
      <c r="E191" s="271">
        <v>25000</v>
      </c>
    </row>
    <row r="192" spans="1:5">
      <c r="A192" s="15" t="s">
        <v>141</v>
      </c>
      <c r="B192" s="198">
        <v>25000</v>
      </c>
      <c r="C192" s="96"/>
      <c r="D192" s="96"/>
      <c r="E192" s="198">
        <v>25000</v>
      </c>
    </row>
    <row r="193" spans="1:5">
      <c r="A193" s="1" t="s">
        <v>100</v>
      </c>
      <c r="B193" s="264">
        <v>202265605.84999999</v>
      </c>
      <c r="C193" s="93">
        <v>31297520.800000001</v>
      </c>
      <c r="D193" s="93">
        <v>62704629</v>
      </c>
      <c r="E193" s="264">
        <v>233672714.05000001</v>
      </c>
    </row>
    <row r="194" spans="1:5">
      <c r="A194" s="13" t="s">
        <v>823</v>
      </c>
      <c r="B194" s="263">
        <v>2</v>
      </c>
      <c r="C194" s="95"/>
      <c r="D194" s="95"/>
      <c r="E194" s="263">
        <v>2</v>
      </c>
    </row>
    <row r="195" spans="1:5">
      <c r="A195" s="13" t="s">
        <v>1503</v>
      </c>
      <c r="B195" s="267">
        <v>13064</v>
      </c>
      <c r="C195" s="112">
        <v>37600</v>
      </c>
      <c r="D195" s="112">
        <v>50664</v>
      </c>
      <c r="E195" s="96"/>
    </row>
    <row r="196" spans="1:5">
      <c r="A196" s="13" t="s">
        <v>1839</v>
      </c>
      <c r="B196" s="267">
        <v>41401</v>
      </c>
      <c r="C196" s="112">
        <v>14809872.5</v>
      </c>
      <c r="D196" s="112">
        <v>14809337.5</v>
      </c>
      <c r="E196" s="267">
        <v>41936</v>
      </c>
    </row>
    <row r="197" spans="1:5">
      <c r="A197" s="13" t="s">
        <v>826</v>
      </c>
      <c r="B197" s="267">
        <v>115961.4</v>
      </c>
      <c r="C197" s="112">
        <v>3321590</v>
      </c>
      <c r="D197" s="112">
        <v>3437551.4</v>
      </c>
      <c r="E197" s="96"/>
    </row>
    <row r="198" spans="1:5">
      <c r="A198" s="13" t="s">
        <v>1505</v>
      </c>
      <c r="B198" s="267">
        <v>5875</v>
      </c>
      <c r="C198" s="95"/>
      <c r="D198" s="95"/>
      <c r="E198" s="267">
        <v>5875</v>
      </c>
    </row>
    <row r="199" spans="1:5">
      <c r="A199" s="13" t="s">
        <v>833</v>
      </c>
      <c r="B199" s="267">
        <v>6924</v>
      </c>
      <c r="C199" s="95"/>
      <c r="D199" s="95"/>
      <c r="E199" s="267">
        <v>6924</v>
      </c>
    </row>
    <row r="200" spans="1:5">
      <c r="A200" s="13" t="s">
        <v>1506</v>
      </c>
      <c r="B200" s="263">
        <v>41010</v>
      </c>
      <c r="C200" s="95"/>
      <c r="D200" s="95"/>
      <c r="E200" s="263">
        <v>41010</v>
      </c>
    </row>
    <row r="201" spans="1:5">
      <c r="A201" s="13" t="s">
        <v>1511</v>
      </c>
      <c r="B201" s="267">
        <v>3184</v>
      </c>
      <c r="C201" s="112">
        <v>6897</v>
      </c>
      <c r="D201" s="112">
        <v>10081</v>
      </c>
      <c r="E201" s="96"/>
    </row>
    <row r="202" spans="1:5">
      <c r="A202" s="13" t="s">
        <v>2046</v>
      </c>
      <c r="B202" s="96"/>
      <c r="C202" s="112">
        <v>1231453</v>
      </c>
      <c r="D202" s="112">
        <v>1229642</v>
      </c>
      <c r="E202" s="267">
        <v>1811</v>
      </c>
    </row>
    <row r="203" spans="1:5">
      <c r="A203" s="13" t="s">
        <v>1840</v>
      </c>
      <c r="B203" s="267">
        <v>59732</v>
      </c>
      <c r="C203" s="112">
        <v>385074</v>
      </c>
      <c r="D203" s="112">
        <v>444806</v>
      </c>
      <c r="E203" s="96"/>
    </row>
    <row r="204" spans="1:5">
      <c r="A204" s="13" t="s">
        <v>1841</v>
      </c>
      <c r="B204" s="267">
        <v>138542</v>
      </c>
      <c r="C204" s="112">
        <v>9219605.3000000007</v>
      </c>
      <c r="D204" s="112">
        <v>9334779.3000000007</v>
      </c>
      <c r="E204" s="267">
        <v>23368</v>
      </c>
    </row>
    <row r="205" spans="1:5">
      <c r="A205" s="13" t="s">
        <v>1516</v>
      </c>
      <c r="B205" s="263">
        <v>60</v>
      </c>
      <c r="C205" s="112">
        <v>11540</v>
      </c>
      <c r="D205" s="112">
        <v>11540</v>
      </c>
      <c r="E205" s="263">
        <v>60</v>
      </c>
    </row>
    <row r="206" spans="1:5">
      <c r="A206" s="13" t="s">
        <v>1234</v>
      </c>
      <c r="B206" s="267">
        <v>3752</v>
      </c>
      <c r="C206" s="95"/>
      <c r="D206" s="95"/>
      <c r="E206" s="267">
        <v>3752</v>
      </c>
    </row>
    <row r="207" spans="1:5">
      <c r="A207" s="13" t="s">
        <v>2050</v>
      </c>
      <c r="B207" s="96"/>
      <c r="C207" s="112">
        <v>1902885</v>
      </c>
      <c r="D207" s="112">
        <v>1902885</v>
      </c>
      <c r="E207" s="96"/>
    </row>
    <row r="208" spans="1:5">
      <c r="A208" s="13" t="s">
        <v>1517</v>
      </c>
      <c r="B208" s="267">
        <v>40392</v>
      </c>
      <c r="C208" s="112">
        <v>281988</v>
      </c>
      <c r="D208" s="112">
        <v>292608</v>
      </c>
      <c r="E208" s="267">
        <v>29772</v>
      </c>
    </row>
    <row r="209" spans="1:5">
      <c r="A209" s="13" t="s">
        <v>1240</v>
      </c>
      <c r="B209" s="267">
        <v>15054</v>
      </c>
      <c r="C209" s="95"/>
      <c r="D209" s="95"/>
      <c r="E209" s="267">
        <v>15054</v>
      </c>
    </row>
    <row r="210" spans="1:5">
      <c r="A210" s="13" t="s">
        <v>856</v>
      </c>
      <c r="B210" s="263">
        <v>1779544</v>
      </c>
      <c r="C210" s="95"/>
      <c r="D210" s="112">
        <v>1902885</v>
      </c>
      <c r="E210" s="263">
        <v>3682429</v>
      </c>
    </row>
    <row r="211" spans="1:5">
      <c r="A211" s="13" t="s">
        <v>857</v>
      </c>
      <c r="B211" s="263">
        <v>135104849</v>
      </c>
      <c r="C211" s="112">
        <v>30888</v>
      </c>
      <c r="D211" s="112">
        <v>20878558</v>
      </c>
      <c r="E211" s="263">
        <v>155952519</v>
      </c>
    </row>
    <row r="212" spans="1:5">
      <c r="A212" s="13" t="s">
        <v>858</v>
      </c>
      <c r="B212" s="263">
        <v>65961193.450000003</v>
      </c>
      <c r="C212" s="112">
        <v>58128</v>
      </c>
      <c r="D212" s="112">
        <v>8394429.8000000007</v>
      </c>
      <c r="E212" s="263">
        <v>74297495.25</v>
      </c>
    </row>
    <row r="213" spans="1:5">
      <c r="A213" s="13" t="s">
        <v>1528</v>
      </c>
      <c r="B213" s="267">
        <v>4862</v>
      </c>
      <c r="C213" s="95"/>
      <c r="D213" s="112">
        <v>4862</v>
      </c>
      <c r="E213" s="96"/>
    </row>
    <row r="214" spans="1:5">
      <c r="A214" s="13" t="s">
        <v>1237</v>
      </c>
      <c r="B214" s="267">
        <v>69540</v>
      </c>
      <c r="C214" s="95"/>
      <c r="D214" s="95"/>
      <c r="E214" s="267">
        <v>69540</v>
      </c>
    </row>
    <row r="215" spans="1:5">
      <c r="A215" s="13" t="s">
        <v>863</v>
      </c>
      <c r="B215" s="267">
        <v>6023</v>
      </c>
      <c r="C215" s="95"/>
      <c r="D215" s="95"/>
      <c r="E215" s="267">
        <v>6023</v>
      </c>
    </row>
    <row r="216" spans="1:5">
      <c r="A216" s="13" t="s">
        <v>1089</v>
      </c>
      <c r="B216" s="267">
        <v>40029.199999999997</v>
      </c>
      <c r="C216" s="95"/>
      <c r="D216" s="95"/>
      <c r="E216" s="267">
        <v>40029.199999999997</v>
      </c>
    </row>
    <row r="217" spans="1:5">
      <c r="A217" s="13" t="s">
        <v>1236</v>
      </c>
      <c r="B217" s="267">
        <v>38444</v>
      </c>
      <c r="C217" s="95"/>
      <c r="D217" s="95"/>
      <c r="E217" s="267">
        <v>38444</v>
      </c>
    </row>
    <row r="218" spans="1:5">
      <c r="A218" s="13" t="s">
        <v>1530</v>
      </c>
      <c r="B218" s="267">
        <v>18273</v>
      </c>
      <c r="C218" s="95"/>
      <c r="D218" s="95"/>
      <c r="E218" s="267">
        <v>18273</v>
      </c>
    </row>
    <row r="219" spans="1:5">
      <c r="A219" s="1" t="s">
        <v>104</v>
      </c>
      <c r="B219" s="109"/>
      <c r="C219" s="93">
        <v>19130205.600000001</v>
      </c>
      <c r="D219" s="93">
        <v>7500</v>
      </c>
      <c r="E219" s="270">
        <v>19122705.600000001</v>
      </c>
    </row>
    <row r="220" spans="1:5">
      <c r="A220" s="13" t="s">
        <v>115</v>
      </c>
      <c r="B220" s="96"/>
      <c r="C220" s="112">
        <v>135500</v>
      </c>
      <c r="D220" s="95"/>
      <c r="E220" s="267">
        <v>135500</v>
      </c>
    </row>
    <row r="221" spans="1:5">
      <c r="A221" s="13" t="s">
        <v>116</v>
      </c>
      <c r="B221" s="96"/>
      <c r="C221" s="112">
        <v>516310</v>
      </c>
      <c r="D221" s="95"/>
      <c r="E221" s="267">
        <v>516310</v>
      </c>
    </row>
    <row r="222" spans="1:5">
      <c r="A222" s="13" t="s">
        <v>117</v>
      </c>
      <c r="B222" s="96"/>
      <c r="C222" s="112">
        <v>51800</v>
      </c>
      <c r="D222" s="95"/>
      <c r="E222" s="267">
        <v>51800</v>
      </c>
    </row>
    <row r="223" spans="1:5">
      <c r="A223" s="13" t="s">
        <v>118</v>
      </c>
      <c r="B223" s="96"/>
      <c r="C223" s="112">
        <v>30200</v>
      </c>
      <c r="D223" s="95"/>
      <c r="E223" s="267">
        <v>30200</v>
      </c>
    </row>
    <row r="224" spans="1:5">
      <c r="A224" s="13" t="s">
        <v>119</v>
      </c>
      <c r="B224" s="96"/>
      <c r="C224" s="112">
        <v>1562353</v>
      </c>
      <c r="D224" s="95"/>
      <c r="E224" s="267">
        <v>1562353</v>
      </c>
    </row>
    <row r="225" spans="1:5">
      <c r="A225" s="13" t="s">
        <v>120</v>
      </c>
      <c r="B225" s="96"/>
      <c r="C225" s="112">
        <v>2085260</v>
      </c>
      <c r="D225" s="95"/>
      <c r="E225" s="267">
        <v>2085260</v>
      </c>
    </row>
    <row r="226" spans="1:5">
      <c r="A226" s="13" t="s">
        <v>1231</v>
      </c>
      <c r="B226" s="96"/>
      <c r="C226" s="112">
        <v>240780</v>
      </c>
      <c r="D226" s="95"/>
      <c r="E226" s="267">
        <v>240780</v>
      </c>
    </row>
    <row r="227" spans="1:5">
      <c r="A227" s="13" t="s">
        <v>1230</v>
      </c>
      <c r="B227" s="96"/>
      <c r="C227" s="112">
        <v>1052808</v>
      </c>
      <c r="D227" s="95"/>
      <c r="E227" s="267">
        <v>1052808</v>
      </c>
    </row>
    <row r="228" spans="1:5">
      <c r="A228" s="13" t="s">
        <v>1228</v>
      </c>
      <c r="B228" s="96"/>
      <c r="C228" s="112">
        <v>359334</v>
      </c>
      <c r="D228" s="95"/>
      <c r="E228" s="267">
        <v>359334</v>
      </c>
    </row>
    <row r="229" spans="1:5">
      <c r="A229" s="13" t="s">
        <v>1227</v>
      </c>
      <c r="B229" s="96"/>
      <c r="C229" s="112">
        <v>67002.600000000006</v>
      </c>
      <c r="D229" s="95"/>
      <c r="E229" s="267">
        <v>67002.600000000006</v>
      </c>
    </row>
    <row r="230" spans="1:5">
      <c r="A230" s="13" t="s">
        <v>121</v>
      </c>
      <c r="B230" s="96"/>
      <c r="C230" s="112">
        <v>744858</v>
      </c>
      <c r="D230" s="112">
        <v>7500</v>
      </c>
      <c r="E230" s="267">
        <v>737358</v>
      </c>
    </row>
    <row r="231" spans="1:5">
      <c r="A231" s="13" t="s">
        <v>1226</v>
      </c>
      <c r="B231" s="96"/>
      <c r="C231" s="112">
        <v>442202</v>
      </c>
      <c r="D231" s="95"/>
      <c r="E231" s="267">
        <v>442202</v>
      </c>
    </row>
    <row r="232" spans="1:5">
      <c r="A232" s="16" t="s">
        <v>112</v>
      </c>
      <c r="B232" s="96"/>
      <c r="C232" s="112">
        <v>1161700</v>
      </c>
      <c r="D232" s="95"/>
      <c r="E232" s="267">
        <v>1161700</v>
      </c>
    </row>
    <row r="233" spans="1:5">
      <c r="A233" s="16" t="s">
        <v>122</v>
      </c>
      <c r="B233" s="96"/>
      <c r="C233" s="112">
        <v>2918446</v>
      </c>
      <c r="D233" s="95"/>
      <c r="E233" s="267">
        <v>2918446</v>
      </c>
    </row>
    <row r="234" spans="1:5">
      <c r="A234" s="13" t="s">
        <v>1846</v>
      </c>
      <c r="B234" s="96"/>
      <c r="C234" s="112">
        <v>258435</v>
      </c>
      <c r="D234" s="95"/>
      <c r="E234" s="267">
        <v>258435</v>
      </c>
    </row>
    <row r="235" spans="1:5">
      <c r="A235" s="13" t="s">
        <v>123</v>
      </c>
      <c r="B235" s="96"/>
      <c r="C235" s="112">
        <v>4203699</v>
      </c>
      <c r="D235" s="95"/>
      <c r="E235" s="267">
        <v>4203699</v>
      </c>
    </row>
    <row r="236" spans="1:5">
      <c r="A236" s="16" t="s">
        <v>1842</v>
      </c>
      <c r="B236" s="96"/>
      <c r="C236" s="112">
        <v>1477983</v>
      </c>
      <c r="D236" s="95"/>
      <c r="E236" s="267">
        <v>1477983</v>
      </c>
    </row>
    <row r="237" spans="1:5">
      <c r="A237" s="13" t="s">
        <v>124</v>
      </c>
      <c r="B237" s="96"/>
      <c r="C237" s="112">
        <v>54227</v>
      </c>
      <c r="D237" s="95"/>
      <c r="E237" s="267">
        <v>54227</v>
      </c>
    </row>
    <row r="238" spans="1:5">
      <c r="A238" s="13" t="s">
        <v>890</v>
      </c>
      <c r="B238" s="96"/>
      <c r="C238" s="112">
        <v>4700</v>
      </c>
      <c r="D238" s="95"/>
      <c r="E238" s="267">
        <v>4700</v>
      </c>
    </row>
    <row r="239" spans="1:5">
      <c r="A239" s="13" t="s">
        <v>1843</v>
      </c>
      <c r="B239" s="96"/>
      <c r="C239" s="112">
        <v>1762608</v>
      </c>
      <c r="D239" s="95"/>
      <c r="E239" s="267">
        <v>1762608</v>
      </c>
    </row>
    <row r="240" spans="1:5">
      <c r="A240" s="1" t="s">
        <v>160</v>
      </c>
      <c r="B240" s="109"/>
      <c r="C240" s="93">
        <v>14569053.6</v>
      </c>
      <c r="D240" s="93">
        <v>305250</v>
      </c>
      <c r="E240" s="270">
        <v>14263803.6</v>
      </c>
    </row>
    <row r="241" spans="1:5">
      <c r="A241" s="14" t="s">
        <v>161</v>
      </c>
      <c r="B241" s="111"/>
      <c r="C241" s="110">
        <v>14295340</v>
      </c>
      <c r="D241" s="110">
        <v>305250</v>
      </c>
      <c r="E241" s="271">
        <v>13990090</v>
      </c>
    </row>
    <row r="242" spans="1:5">
      <c r="A242" s="15" t="s">
        <v>1317</v>
      </c>
      <c r="B242" s="95"/>
      <c r="C242" s="104">
        <v>2278502</v>
      </c>
      <c r="D242" s="96"/>
      <c r="E242" s="198">
        <v>2278502</v>
      </c>
    </row>
    <row r="243" spans="1:5">
      <c r="A243" s="15" t="s">
        <v>173</v>
      </c>
      <c r="B243" s="95"/>
      <c r="C243" s="104">
        <v>1023372</v>
      </c>
      <c r="D243" s="104">
        <v>5250</v>
      </c>
      <c r="E243" s="198">
        <v>1018122</v>
      </c>
    </row>
    <row r="244" spans="1:5">
      <c r="A244" s="15" t="s">
        <v>174</v>
      </c>
      <c r="B244" s="95"/>
      <c r="C244" s="104">
        <v>697353</v>
      </c>
      <c r="D244" s="96"/>
      <c r="E244" s="198">
        <v>697353</v>
      </c>
    </row>
    <row r="245" spans="1:5">
      <c r="A245" s="15" t="s">
        <v>1318</v>
      </c>
      <c r="B245" s="95"/>
      <c r="C245" s="104">
        <v>439878</v>
      </c>
      <c r="D245" s="104">
        <v>300000</v>
      </c>
      <c r="E245" s="198">
        <v>139878</v>
      </c>
    </row>
    <row r="246" spans="1:5">
      <c r="A246" s="17" t="s">
        <v>1319</v>
      </c>
      <c r="B246" s="95"/>
      <c r="C246" s="104">
        <v>106474</v>
      </c>
      <c r="D246" s="96"/>
      <c r="E246" s="198">
        <v>106474</v>
      </c>
    </row>
    <row r="247" spans="1:5">
      <c r="A247" s="17" t="s">
        <v>1320</v>
      </c>
      <c r="B247" s="95"/>
      <c r="C247" s="104">
        <v>453503</v>
      </c>
      <c r="D247" s="96"/>
      <c r="E247" s="198">
        <v>453503</v>
      </c>
    </row>
    <row r="248" spans="1:5">
      <c r="A248" s="15" t="s">
        <v>175</v>
      </c>
      <c r="B248" s="95"/>
      <c r="C248" s="104">
        <v>5694153</v>
      </c>
      <c r="D248" s="96"/>
      <c r="E248" s="198">
        <v>5694153</v>
      </c>
    </row>
    <row r="249" spans="1:5">
      <c r="A249" s="17" t="s">
        <v>176</v>
      </c>
      <c r="B249" s="95"/>
      <c r="C249" s="104">
        <v>80792</v>
      </c>
      <c r="D249" s="96"/>
      <c r="E249" s="198">
        <v>80792</v>
      </c>
    </row>
    <row r="250" spans="1:5">
      <c r="A250" s="17" t="s">
        <v>177</v>
      </c>
      <c r="B250" s="95"/>
      <c r="C250" s="104">
        <v>516602</v>
      </c>
      <c r="D250" s="96"/>
      <c r="E250" s="198">
        <v>516602</v>
      </c>
    </row>
    <row r="251" spans="1:5">
      <c r="A251" s="17" t="s">
        <v>1322</v>
      </c>
      <c r="B251" s="95"/>
      <c r="C251" s="104">
        <v>883540</v>
      </c>
      <c r="D251" s="96"/>
      <c r="E251" s="198">
        <v>883540</v>
      </c>
    </row>
    <row r="252" spans="1:5">
      <c r="A252" s="17" t="s">
        <v>165</v>
      </c>
      <c r="B252" s="95"/>
      <c r="C252" s="104">
        <v>270960</v>
      </c>
      <c r="D252" s="96"/>
      <c r="E252" s="198">
        <v>270960</v>
      </c>
    </row>
    <row r="253" spans="1:5">
      <c r="A253" s="15" t="s">
        <v>205</v>
      </c>
      <c r="B253" s="95"/>
      <c r="C253" s="104">
        <v>1850211</v>
      </c>
      <c r="D253" s="96"/>
      <c r="E253" s="198">
        <v>1850211</v>
      </c>
    </row>
    <row r="254" spans="1:5">
      <c r="A254" s="14" t="s">
        <v>178</v>
      </c>
      <c r="B254" s="114"/>
      <c r="C254" s="106">
        <v>273713.59999999998</v>
      </c>
      <c r="D254" s="114"/>
      <c r="E254" s="272">
        <v>273713.59999999998</v>
      </c>
    </row>
    <row r="255" spans="1:5">
      <c r="A255" s="15" t="s">
        <v>1307</v>
      </c>
      <c r="B255" s="95"/>
      <c r="C255" s="104">
        <v>35052</v>
      </c>
      <c r="D255" s="96"/>
      <c r="E255" s="198">
        <v>35052</v>
      </c>
    </row>
    <row r="256" spans="1:5">
      <c r="A256" s="15" t="s">
        <v>188</v>
      </c>
      <c r="B256" s="95"/>
      <c r="C256" s="104">
        <v>47680</v>
      </c>
      <c r="D256" s="96"/>
      <c r="E256" s="198">
        <v>47680</v>
      </c>
    </row>
    <row r="257" spans="1:5">
      <c r="A257" s="15" t="s">
        <v>1308</v>
      </c>
      <c r="B257" s="95"/>
      <c r="C257" s="104">
        <v>8400</v>
      </c>
      <c r="D257" s="96"/>
      <c r="E257" s="198">
        <v>8400</v>
      </c>
    </row>
    <row r="258" spans="1:5">
      <c r="A258" s="15" t="s">
        <v>1306</v>
      </c>
      <c r="B258" s="95"/>
      <c r="C258" s="104">
        <v>126400</v>
      </c>
      <c r="D258" s="96"/>
      <c r="E258" s="198">
        <v>126400</v>
      </c>
    </row>
    <row r="259" spans="1:5">
      <c r="A259" s="15" t="s">
        <v>1309</v>
      </c>
      <c r="B259" s="95"/>
      <c r="C259" s="104">
        <v>16650</v>
      </c>
      <c r="D259" s="96"/>
      <c r="E259" s="198">
        <v>16650</v>
      </c>
    </row>
    <row r="260" spans="1:5">
      <c r="A260" s="15" t="s">
        <v>185</v>
      </c>
      <c r="B260" s="95"/>
      <c r="C260" s="104">
        <v>4600</v>
      </c>
      <c r="D260" s="96"/>
      <c r="E260" s="198">
        <v>4600</v>
      </c>
    </row>
    <row r="261" spans="1:5">
      <c r="A261" s="15" t="s">
        <v>1314</v>
      </c>
      <c r="B261" s="95"/>
      <c r="C261" s="104">
        <v>34931.599999999999</v>
      </c>
      <c r="D261" s="96"/>
      <c r="E261" s="198">
        <v>34931.599999999999</v>
      </c>
    </row>
    <row r="262" spans="1:5">
      <c r="A262" s="1" t="s">
        <v>192</v>
      </c>
      <c r="B262" s="109"/>
      <c r="C262" s="93">
        <v>318390</v>
      </c>
      <c r="D262" s="108"/>
      <c r="E262" s="270">
        <v>318390</v>
      </c>
    </row>
    <row r="263" spans="1:5">
      <c r="A263" s="13" t="s">
        <v>212</v>
      </c>
      <c r="B263" s="96"/>
      <c r="C263" s="112">
        <v>23548</v>
      </c>
      <c r="D263" s="95"/>
      <c r="E263" s="267">
        <v>23548</v>
      </c>
    </row>
    <row r="264" spans="1:5">
      <c r="A264" s="13" t="s">
        <v>1218</v>
      </c>
      <c r="B264" s="96"/>
      <c r="C264" s="112">
        <v>85054</v>
      </c>
      <c r="D264" s="95"/>
      <c r="E264" s="267">
        <v>85054</v>
      </c>
    </row>
    <row r="265" spans="1:5">
      <c r="A265" s="13" t="s">
        <v>201</v>
      </c>
      <c r="B265" s="96"/>
      <c r="C265" s="112">
        <v>37831</v>
      </c>
      <c r="D265" s="95"/>
      <c r="E265" s="267">
        <v>37831</v>
      </c>
    </row>
    <row r="266" spans="1:5">
      <c r="A266" s="13" t="s">
        <v>1217</v>
      </c>
      <c r="B266" s="96"/>
      <c r="C266" s="112">
        <v>35262</v>
      </c>
      <c r="D266" s="95"/>
      <c r="E266" s="267">
        <v>35262</v>
      </c>
    </row>
    <row r="267" spans="1:5">
      <c r="A267" s="13" t="s">
        <v>203</v>
      </c>
      <c r="B267" s="96"/>
      <c r="C267" s="112">
        <v>44646</v>
      </c>
      <c r="D267" s="95"/>
      <c r="E267" s="267">
        <v>44646</v>
      </c>
    </row>
    <row r="268" spans="1:5">
      <c r="A268" s="13" t="s">
        <v>213</v>
      </c>
      <c r="B268" s="96"/>
      <c r="C268" s="112">
        <v>4658</v>
      </c>
      <c r="D268" s="95"/>
      <c r="E268" s="267">
        <v>4658</v>
      </c>
    </row>
    <row r="269" spans="1:5">
      <c r="A269" s="13" t="s">
        <v>1215</v>
      </c>
      <c r="B269" s="96"/>
      <c r="C269" s="112">
        <v>13375</v>
      </c>
      <c r="D269" s="95"/>
      <c r="E269" s="267">
        <v>13375</v>
      </c>
    </row>
    <row r="270" spans="1:5">
      <c r="A270" s="13" t="s">
        <v>77</v>
      </c>
      <c r="B270" s="96"/>
      <c r="C270" s="112">
        <v>1544</v>
      </c>
      <c r="D270" s="95"/>
      <c r="E270" s="267">
        <v>1544</v>
      </c>
    </row>
    <row r="271" spans="1:5">
      <c r="A271" s="13" t="s">
        <v>1214</v>
      </c>
      <c r="B271" s="96"/>
      <c r="C271" s="112">
        <v>65392</v>
      </c>
      <c r="D271" s="95"/>
      <c r="E271" s="267">
        <v>65392</v>
      </c>
    </row>
    <row r="272" spans="1:5">
      <c r="A272" s="13" t="s">
        <v>1212</v>
      </c>
      <c r="B272" s="96"/>
      <c r="C272" s="112">
        <v>7080</v>
      </c>
      <c r="D272" s="95"/>
      <c r="E272" s="267">
        <v>7080</v>
      </c>
    </row>
    <row r="273" spans="1:5">
      <c r="A273" s="2" t="s">
        <v>74</v>
      </c>
      <c r="B273" s="198">
        <v>201203933.38</v>
      </c>
      <c r="C273" s="96"/>
      <c r="D273" s="96"/>
      <c r="E273" s="198">
        <v>201203933.38</v>
      </c>
    </row>
    <row r="274" spans="1:5">
      <c r="A274" s="19" t="s">
        <v>75</v>
      </c>
      <c r="B274" s="102"/>
      <c r="C274" s="201">
        <v>94023716</v>
      </c>
      <c r="D274" s="201">
        <v>94023716</v>
      </c>
      <c r="E274" s="102"/>
    </row>
  </sheetData>
  <mergeCells count="6">
    <mergeCell ref="C6:D6"/>
    <mergeCell ref="A1:C1"/>
    <mergeCell ref="A2:C2"/>
    <mergeCell ref="A3:C3"/>
    <mergeCell ref="B4:E4"/>
    <mergeCell ref="B5:E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629"/>
  <sheetViews>
    <sheetView topLeftCell="A88" workbookViewId="0">
      <selection activeCell="G108" sqref="G108"/>
    </sheetView>
  </sheetViews>
  <sheetFormatPr defaultColWidth="8.5546875" defaultRowHeight="14.4"/>
  <cols>
    <col min="1" max="1" width="48.5546875" bestFit="1" customWidth="1"/>
    <col min="2" max="2" width="14.44140625" bestFit="1" customWidth="1"/>
    <col min="3" max="4" width="12.5546875" bestFit="1" customWidth="1"/>
    <col min="5" max="5" width="14.44140625" bestFit="1" customWidth="1"/>
  </cols>
  <sheetData>
    <row r="1" spans="1:11" ht="15.6">
      <c r="A1" s="2699" t="s">
        <v>1661</v>
      </c>
      <c r="B1" s="2699"/>
      <c r="C1" s="2699"/>
      <c r="D1" s="195"/>
      <c r="E1" s="195"/>
    </row>
    <row r="2" spans="1:11">
      <c r="A2" s="2700" t="s">
        <v>1662</v>
      </c>
      <c r="B2" s="2700"/>
      <c r="C2" s="2700"/>
      <c r="D2" s="195"/>
      <c r="E2" s="195"/>
    </row>
    <row r="3" spans="1:11">
      <c r="A3" s="2700" t="s">
        <v>1663</v>
      </c>
      <c r="B3" s="2700"/>
      <c r="C3" s="2700"/>
      <c r="D3" s="195"/>
      <c r="E3" s="195"/>
    </row>
    <row r="4" spans="1:11">
      <c r="A4" s="2700" t="s">
        <v>1664</v>
      </c>
      <c r="B4" s="2700"/>
      <c r="C4" s="2700"/>
      <c r="D4" s="195"/>
      <c r="E4" s="195"/>
    </row>
    <row r="5" spans="1:11">
      <c r="A5" s="2701" t="s">
        <v>1665</v>
      </c>
      <c r="B5" s="2701"/>
      <c r="C5" s="2701"/>
      <c r="D5" s="195"/>
      <c r="E5" s="195"/>
    </row>
    <row r="6" spans="1:11" ht="15.6">
      <c r="A6" s="2702" t="s">
        <v>81</v>
      </c>
      <c r="B6" s="2702"/>
      <c r="C6" s="2702"/>
      <c r="D6" s="195"/>
      <c r="E6" s="195"/>
    </row>
    <row r="7" spans="1:11">
      <c r="A7" s="2700" t="s">
        <v>1886</v>
      </c>
      <c r="B7" s="2700"/>
      <c r="C7" s="2700"/>
      <c r="D7" s="195"/>
      <c r="E7" s="195"/>
    </row>
    <row r="8" spans="1:11" ht="14.85" customHeight="1">
      <c r="A8" s="10" t="s">
        <v>82</v>
      </c>
      <c r="B8" s="2911" t="s">
        <v>1667</v>
      </c>
      <c r="C8" s="2908"/>
      <c r="D8" s="2908"/>
      <c r="E8" s="2908"/>
    </row>
    <row r="9" spans="1:11" ht="14.85" customHeight="1">
      <c r="A9" s="11" t="s">
        <v>1</v>
      </c>
      <c r="B9" s="2706" t="s">
        <v>1886</v>
      </c>
      <c r="C9" s="2707"/>
      <c r="D9" s="2707"/>
      <c r="E9" s="2707"/>
    </row>
    <row r="10" spans="1:11">
      <c r="A10" s="11" t="s">
        <v>82</v>
      </c>
      <c r="B10" s="196" t="s">
        <v>1331</v>
      </c>
      <c r="C10" s="2708" t="s">
        <v>1332</v>
      </c>
      <c r="D10" s="2709"/>
      <c r="E10" s="196" t="s">
        <v>1333</v>
      </c>
      <c r="G10" s="10" t="s">
        <v>82</v>
      </c>
      <c r="H10" s="2911" t="s">
        <v>1785</v>
      </c>
      <c r="I10" s="2908"/>
      <c r="J10" s="2908"/>
      <c r="K10" s="2908"/>
    </row>
    <row r="11" spans="1:11" ht="14.85" customHeight="1">
      <c r="A11" s="12" t="s">
        <v>82</v>
      </c>
      <c r="B11" s="197" t="s">
        <v>1196</v>
      </c>
      <c r="C11" s="101" t="s">
        <v>66</v>
      </c>
      <c r="D11" s="101" t="s">
        <v>67</v>
      </c>
      <c r="E11" s="197" t="s">
        <v>1196</v>
      </c>
      <c r="G11" s="11" t="s">
        <v>1</v>
      </c>
      <c r="H11" s="2706" t="s">
        <v>1886</v>
      </c>
      <c r="I11" s="2707"/>
      <c r="J11" s="2707"/>
      <c r="K11" s="2707"/>
    </row>
    <row r="12" spans="1:11" ht="14.85" customHeight="1">
      <c r="A12" s="1" t="s">
        <v>84</v>
      </c>
      <c r="B12" s="262">
        <v>7147460</v>
      </c>
      <c r="C12" s="113"/>
      <c r="D12" s="113"/>
      <c r="E12" s="262">
        <v>7147460</v>
      </c>
      <c r="G12" s="11" t="s">
        <v>82</v>
      </c>
      <c r="H12" s="196" t="s">
        <v>1331</v>
      </c>
      <c r="I12" s="2708" t="s">
        <v>1332</v>
      </c>
      <c r="J12" s="2709"/>
      <c r="K12" s="196" t="s">
        <v>1333</v>
      </c>
    </row>
    <row r="13" spans="1:11">
      <c r="A13" s="13" t="s">
        <v>85</v>
      </c>
      <c r="B13" s="263">
        <v>7147460</v>
      </c>
      <c r="C13" s="95"/>
      <c r="D13" s="95"/>
      <c r="E13" s="263">
        <v>7147460</v>
      </c>
      <c r="G13" s="12" t="s">
        <v>82</v>
      </c>
      <c r="H13" s="197" t="s">
        <v>1196</v>
      </c>
      <c r="I13" s="101" t="s">
        <v>66</v>
      </c>
      <c r="J13" s="101" t="s">
        <v>67</v>
      </c>
      <c r="K13" s="197" t="s">
        <v>1196</v>
      </c>
    </row>
    <row r="14" spans="1:11">
      <c r="A14" s="1" t="s">
        <v>86</v>
      </c>
      <c r="B14" s="264">
        <v>14733245.199999999</v>
      </c>
      <c r="C14" s="93">
        <v>155013615.69999999</v>
      </c>
      <c r="D14" s="93">
        <v>142265478.69999999</v>
      </c>
      <c r="E14" s="264">
        <v>1985108.2</v>
      </c>
      <c r="G14" s="1" t="s">
        <v>86</v>
      </c>
      <c r="H14" s="279">
        <v>979638.47</v>
      </c>
      <c r="I14" s="107">
        <v>28708546</v>
      </c>
      <c r="J14" s="107">
        <v>31006337</v>
      </c>
      <c r="K14" s="262">
        <v>1318152.53</v>
      </c>
    </row>
    <row r="15" spans="1:11">
      <c r="A15" s="14" t="s">
        <v>89</v>
      </c>
      <c r="B15" s="265">
        <v>6192186.0599999996</v>
      </c>
      <c r="C15" s="110">
        <v>136162162.69999999</v>
      </c>
      <c r="D15" s="110">
        <v>135802998.69999999</v>
      </c>
      <c r="E15" s="265">
        <v>5833022.0599999996</v>
      </c>
      <c r="G15" s="14" t="s">
        <v>89</v>
      </c>
      <c r="H15" s="271">
        <v>979638.47</v>
      </c>
      <c r="I15" s="110">
        <v>28708546</v>
      </c>
      <c r="J15" s="110">
        <v>31006337</v>
      </c>
      <c r="K15" s="265">
        <v>1318152.53</v>
      </c>
    </row>
    <row r="16" spans="1:11">
      <c r="A16" s="248" t="s">
        <v>1295</v>
      </c>
      <c r="B16" s="266">
        <v>3324098.93</v>
      </c>
      <c r="C16" s="107">
        <v>44744937</v>
      </c>
      <c r="D16" s="107">
        <v>44851334</v>
      </c>
      <c r="E16" s="266">
        <v>3430495.93</v>
      </c>
      <c r="G16" s="248" t="s">
        <v>1295</v>
      </c>
      <c r="H16" s="266">
        <v>50312</v>
      </c>
      <c r="I16" s="107">
        <v>398566</v>
      </c>
      <c r="J16" s="107">
        <v>511204</v>
      </c>
      <c r="K16" s="266">
        <v>162950</v>
      </c>
    </row>
    <row r="17" spans="1:11">
      <c r="A17" s="190" t="s">
        <v>1668</v>
      </c>
      <c r="B17" s="263">
        <v>16</v>
      </c>
      <c r="C17" s="112">
        <v>16</v>
      </c>
      <c r="D17" s="95"/>
      <c r="E17" s="96"/>
      <c r="G17" s="190" t="s">
        <v>558</v>
      </c>
      <c r="H17" s="263">
        <v>4202</v>
      </c>
      <c r="I17" s="112">
        <v>4202</v>
      </c>
      <c r="J17" s="95"/>
      <c r="K17" s="96"/>
    </row>
    <row r="18" spans="1:11">
      <c r="A18" s="190" t="s">
        <v>557</v>
      </c>
      <c r="B18" s="263">
        <v>468288.93</v>
      </c>
      <c r="C18" s="112">
        <v>250000</v>
      </c>
      <c r="D18" s="112">
        <v>720000</v>
      </c>
      <c r="E18" s="263">
        <v>938288.93</v>
      </c>
      <c r="G18" s="190" t="s">
        <v>969</v>
      </c>
      <c r="H18" s="263">
        <v>5439</v>
      </c>
      <c r="I18" s="112">
        <v>126400</v>
      </c>
      <c r="J18" s="112">
        <v>265158</v>
      </c>
      <c r="K18" s="263">
        <v>144197</v>
      </c>
    </row>
    <row r="19" spans="1:11">
      <c r="A19" s="190" t="s">
        <v>1889</v>
      </c>
      <c r="B19" s="96"/>
      <c r="C19" s="112">
        <v>313698</v>
      </c>
      <c r="D19" s="112">
        <v>325852</v>
      </c>
      <c r="E19" s="263">
        <v>12154</v>
      </c>
      <c r="G19" s="190" t="s">
        <v>1380</v>
      </c>
      <c r="H19" s="263">
        <v>1330</v>
      </c>
      <c r="I19" s="112">
        <v>1330</v>
      </c>
      <c r="J19" s="95"/>
      <c r="K19" s="96"/>
    </row>
    <row r="20" spans="1:11">
      <c r="A20" s="191" t="s">
        <v>1294</v>
      </c>
      <c r="B20" s="96"/>
      <c r="C20" s="112">
        <v>22000</v>
      </c>
      <c r="D20" s="112">
        <v>30000</v>
      </c>
      <c r="E20" s="263">
        <v>8000</v>
      </c>
      <c r="G20" s="190" t="s">
        <v>1381</v>
      </c>
      <c r="H20" s="96"/>
      <c r="I20" s="112">
        <v>184500</v>
      </c>
      <c r="J20" s="112">
        <v>188345</v>
      </c>
      <c r="K20" s="263">
        <v>3845</v>
      </c>
    </row>
    <row r="21" spans="1:11">
      <c r="A21" s="190" t="s">
        <v>1890</v>
      </c>
      <c r="B21" s="96"/>
      <c r="C21" s="112">
        <v>620691</v>
      </c>
      <c r="D21" s="112">
        <v>620691</v>
      </c>
      <c r="E21" s="96"/>
      <c r="G21" s="190" t="s">
        <v>1786</v>
      </c>
      <c r="H21" s="96"/>
      <c r="I21" s="112">
        <v>10080</v>
      </c>
      <c r="J21" s="112">
        <v>10080</v>
      </c>
      <c r="K21" s="96"/>
    </row>
    <row r="22" spans="1:11">
      <c r="A22" s="190" t="s">
        <v>1891</v>
      </c>
      <c r="B22" s="96"/>
      <c r="C22" s="112">
        <v>66594</v>
      </c>
      <c r="D22" s="112">
        <v>66594</v>
      </c>
      <c r="E22" s="96"/>
      <c r="G22" s="15" t="s">
        <v>1900</v>
      </c>
      <c r="H22" s="263">
        <v>1550</v>
      </c>
      <c r="I22" s="112">
        <v>1550</v>
      </c>
      <c r="J22" s="95"/>
      <c r="K22" s="96"/>
    </row>
    <row r="23" spans="1:11">
      <c r="A23" s="15" t="s">
        <v>1669</v>
      </c>
      <c r="B23" s="263">
        <v>900</v>
      </c>
      <c r="C23" s="112">
        <v>900</v>
      </c>
      <c r="D23" s="95"/>
      <c r="E23" s="96"/>
      <c r="G23" s="15" t="s">
        <v>68</v>
      </c>
      <c r="H23" s="263">
        <v>22484</v>
      </c>
      <c r="I23" s="112">
        <v>34267</v>
      </c>
      <c r="J23" s="112">
        <v>26691</v>
      </c>
      <c r="K23" s="263">
        <v>14908</v>
      </c>
    </row>
    <row r="24" spans="1:11">
      <c r="A24" s="190" t="s">
        <v>1892</v>
      </c>
      <c r="B24" s="96"/>
      <c r="C24" s="112">
        <v>530516</v>
      </c>
      <c r="D24" s="112">
        <v>30471</v>
      </c>
      <c r="E24" s="267">
        <v>500045</v>
      </c>
      <c r="G24" s="190" t="s">
        <v>1787</v>
      </c>
      <c r="H24" s="263">
        <v>12103</v>
      </c>
      <c r="I24" s="112">
        <v>12103</v>
      </c>
      <c r="J24" s="95"/>
      <c r="K24" s="96"/>
    </row>
    <row r="25" spans="1:11">
      <c r="A25" s="190" t="s">
        <v>1378</v>
      </c>
      <c r="B25" s="263">
        <v>24150</v>
      </c>
      <c r="C25" s="112">
        <v>24150</v>
      </c>
      <c r="D25" s="95"/>
      <c r="E25" s="96"/>
      <c r="G25" s="190" t="s">
        <v>1384</v>
      </c>
      <c r="H25" s="263">
        <v>3204</v>
      </c>
      <c r="I25" s="112">
        <v>24134</v>
      </c>
      <c r="J25" s="112">
        <v>20930</v>
      </c>
      <c r="K25" s="96"/>
    </row>
    <row r="26" spans="1:11">
      <c r="A26" s="191" t="s">
        <v>1379</v>
      </c>
      <c r="B26" s="263">
        <v>46383</v>
      </c>
      <c r="C26" s="112">
        <v>46383</v>
      </c>
      <c r="D26" s="95"/>
      <c r="E26" s="96"/>
      <c r="G26" s="248" t="s">
        <v>1291</v>
      </c>
      <c r="H26" s="268">
        <v>1185360.53</v>
      </c>
      <c r="I26" s="93">
        <v>14635334</v>
      </c>
      <c r="J26" s="93">
        <v>14043231</v>
      </c>
      <c r="K26" s="268">
        <v>593257.53</v>
      </c>
    </row>
    <row r="27" spans="1:11">
      <c r="A27" s="15" t="s">
        <v>559</v>
      </c>
      <c r="B27" s="263">
        <v>12864</v>
      </c>
      <c r="C27" s="112">
        <v>12864</v>
      </c>
      <c r="D27" s="95"/>
      <c r="E27" s="96"/>
      <c r="G27" s="190" t="s">
        <v>1290</v>
      </c>
      <c r="H27" s="263">
        <v>330050</v>
      </c>
      <c r="I27" s="112">
        <v>1582892</v>
      </c>
      <c r="J27" s="112">
        <v>1398395</v>
      </c>
      <c r="K27" s="263">
        <v>145553</v>
      </c>
    </row>
    <row r="28" spans="1:11">
      <c r="A28" s="190" t="s">
        <v>1670</v>
      </c>
      <c r="B28" s="267">
        <v>47780</v>
      </c>
      <c r="C28" s="112">
        <v>159154</v>
      </c>
      <c r="D28" s="112">
        <v>206934</v>
      </c>
      <c r="E28" s="96"/>
      <c r="G28" s="190" t="s">
        <v>1907</v>
      </c>
      <c r="H28" s="96"/>
      <c r="I28" s="112">
        <v>240000</v>
      </c>
      <c r="J28" s="95"/>
      <c r="K28" s="267">
        <v>240000</v>
      </c>
    </row>
    <row r="29" spans="1:11">
      <c r="A29" s="190" t="s">
        <v>1893</v>
      </c>
      <c r="B29" s="96"/>
      <c r="C29" s="112">
        <v>189680</v>
      </c>
      <c r="D29" s="112">
        <v>89680</v>
      </c>
      <c r="E29" s="267">
        <v>100000</v>
      </c>
      <c r="G29" s="190" t="s">
        <v>1969</v>
      </c>
      <c r="H29" s="96"/>
      <c r="I29" s="112">
        <v>320028</v>
      </c>
      <c r="J29" s="112">
        <v>440382</v>
      </c>
      <c r="K29" s="263">
        <v>120354</v>
      </c>
    </row>
    <row r="30" spans="1:11">
      <c r="A30" s="15" t="s">
        <v>560</v>
      </c>
      <c r="B30" s="263">
        <v>182380</v>
      </c>
      <c r="C30" s="112">
        <v>182380</v>
      </c>
      <c r="D30" s="95"/>
      <c r="E30" s="96"/>
      <c r="G30" s="15" t="s">
        <v>574</v>
      </c>
      <c r="H30" s="263">
        <v>45656</v>
      </c>
      <c r="I30" s="112">
        <v>45656</v>
      </c>
      <c r="J30" s="95"/>
      <c r="K30" s="96"/>
    </row>
    <row r="31" spans="1:11">
      <c r="A31" s="15" t="s">
        <v>1671</v>
      </c>
      <c r="B31" s="263">
        <v>35000</v>
      </c>
      <c r="C31" s="112">
        <v>35000</v>
      </c>
      <c r="D31" s="95"/>
      <c r="E31" s="96"/>
      <c r="G31" s="190" t="s">
        <v>1391</v>
      </c>
      <c r="H31" s="263">
        <v>94274</v>
      </c>
      <c r="I31" s="112">
        <v>1727951</v>
      </c>
      <c r="J31" s="112">
        <v>1641287</v>
      </c>
      <c r="K31" s="263">
        <v>7610</v>
      </c>
    </row>
    <row r="32" spans="1:11">
      <c r="A32" s="13" t="s">
        <v>561</v>
      </c>
      <c r="B32" s="263">
        <v>252786</v>
      </c>
      <c r="C32" s="112">
        <v>252786</v>
      </c>
      <c r="D32" s="95"/>
      <c r="E32" s="96"/>
      <c r="G32" s="190" t="s">
        <v>1788</v>
      </c>
      <c r="H32" s="267">
        <v>36000</v>
      </c>
      <c r="I32" s="112">
        <v>1848400</v>
      </c>
      <c r="J32" s="112">
        <v>1847150</v>
      </c>
      <c r="K32" s="267">
        <v>37250</v>
      </c>
    </row>
    <row r="33" spans="1:11">
      <c r="A33" s="190" t="s">
        <v>1293</v>
      </c>
      <c r="B33" s="263">
        <v>17000</v>
      </c>
      <c r="C33" s="112">
        <v>17000</v>
      </c>
      <c r="D33" s="95"/>
      <c r="E33" s="96"/>
      <c r="G33" s="190" t="s">
        <v>1394</v>
      </c>
      <c r="H33" s="263">
        <v>16800</v>
      </c>
      <c r="I33" s="112">
        <v>16800</v>
      </c>
      <c r="J33" s="95"/>
      <c r="K33" s="96"/>
    </row>
    <row r="34" spans="1:11">
      <c r="A34" s="17" t="s">
        <v>563</v>
      </c>
      <c r="B34" s="263">
        <v>111200</v>
      </c>
      <c r="C34" s="112">
        <v>234500</v>
      </c>
      <c r="D34" s="112">
        <v>145000</v>
      </c>
      <c r="E34" s="263">
        <v>21700</v>
      </c>
      <c r="G34" s="190" t="s">
        <v>1914</v>
      </c>
      <c r="H34" s="263">
        <v>200</v>
      </c>
      <c r="I34" s="112">
        <v>284735</v>
      </c>
      <c r="J34" s="112">
        <v>284535</v>
      </c>
      <c r="K34" s="96"/>
    </row>
    <row r="35" spans="1:11">
      <c r="A35" s="190" t="s">
        <v>1894</v>
      </c>
      <c r="B35" s="96"/>
      <c r="C35" s="112">
        <v>57500</v>
      </c>
      <c r="D35" s="112">
        <v>57500</v>
      </c>
      <c r="E35" s="96"/>
      <c r="G35" s="190" t="s">
        <v>1790</v>
      </c>
      <c r="H35" s="263">
        <v>71000</v>
      </c>
      <c r="I35" s="112">
        <v>1263800</v>
      </c>
      <c r="J35" s="112">
        <v>1161700</v>
      </c>
      <c r="K35" s="267">
        <v>31100</v>
      </c>
    </row>
    <row r="36" spans="1:11">
      <c r="A36" s="15" t="s">
        <v>1895</v>
      </c>
      <c r="B36" s="96"/>
      <c r="C36" s="112">
        <v>22050</v>
      </c>
      <c r="D36" s="112">
        <v>22050</v>
      </c>
      <c r="E36" s="96"/>
      <c r="G36" s="190" t="s">
        <v>1791</v>
      </c>
      <c r="H36" s="96"/>
      <c r="I36" s="112">
        <v>332407</v>
      </c>
      <c r="J36" s="112">
        <v>332407</v>
      </c>
      <c r="K36" s="96"/>
    </row>
    <row r="37" spans="1:11">
      <c r="A37" s="190" t="s">
        <v>1292</v>
      </c>
      <c r="B37" s="267">
        <v>450000</v>
      </c>
      <c r="C37" s="112">
        <v>75000</v>
      </c>
      <c r="D37" s="95"/>
      <c r="E37" s="267">
        <v>525000</v>
      </c>
      <c r="G37" s="190" t="s">
        <v>1792</v>
      </c>
      <c r="H37" s="263">
        <v>66513</v>
      </c>
      <c r="I37" s="112">
        <v>324948</v>
      </c>
      <c r="J37" s="112">
        <v>258435</v>
      </c>
      <c r="K37" s="96"/>
    </row>
    <row r="38" spans="1:11">
      <c r="A38" s="191" t="s">
        <v>564</v>
      </c>
      <c r="B38" s="263">
        <v>404615</v>
      </c>
      <c r="C38" s="112">
        <v>3883968</v>
      </c>
      <c r="D38" s="112">
        <v>3780000</v>
      </c>
      <c r="E38" s="263">
        <v>300647</v>
      </c>
      <c r="G38" s="190" t="s">
        <v>1793</v>
      </c>
      <c r="H38" s="96"/>
      <c r="I38" s="112">
        <v>1259515</v>
      </c>
      <c r="J38" s="112">
        <v>1341303</v>
      </c>
      <c r="K38" s="263">
        <v>81788</v>
      </c>
    </row>
    <row r="39" spans="1:11">
      <c r="A39" s="190" t="s">
        <v>1896</v>
      </c>
      <c r="B39" s="96"/>
      <c r="C39" s="112">
        <v>20962</v>
      </c>
      <c r="D39" s="112">
        <v>20962</v>
      </c>
      <c r="E39" s="96"/>
      <c r="G39" s="15" t="s">
        <v>1918</v>
      </c>
      <c r="H39" s="96"/>
      <c r="I39" s="112">
        <v>21465</v>
      </c>
      <c r="J39" s="112">
        <v>21465</v>
      </c>
      <c r="K39" s="96"/>
    </row>
    <row r="40" spans="1:11">
      <c r="A40" s="15" t="s">
        <v>565</v>
      </c>
      <c r="B40" s="263">
        <v>340410</v>
      </c>
      <c r="C40" s="112">
        <v>4650339</v>
      </c>
      <c r="D40" s="112">
        <v>4703022</v>
      </c>
      <c r="E40" s="263">
        <v>393093</v>
      </c>
      <c r="G40" s="190" t="s">
        <v>257</v>
      </c>
      <c r="H40" s="263">
        <v>9450</v>
      </c>
      <c r="I40" s="112">
        <v>9450</v>
      </c>
      <c r="J40" s="95"/>
      <c r="K40" s="96"/>
    </row>
    <row r="41" spans="1:11">
      <c r="A41" s="15" t="s">
        <v>566</v>
      </c>
      <c r="B41" s="263">
        <v>19833</v>
      </c>
      <c r="C41" s="112">
        <v>77736</v>
      </c>
      <c r="D41" s="112">
        <v>67827</v>
      </c>
      <c r="E41" s="263">
        <v>9924</v>
      </c>
      <c r="G41" s="15" t="s">
        <v>1923</v>
      </c>
      <c r="H41" s="96"/>
      <c r="I41" s="112">
        <v>119175</v>
      </c>
      <c r="J41" s="112">
        <v>119175</v>
      </c>
      <c r="K41" s="96"/>
    </row>
    <row r="42" spans="1:11">
      <c r="A42" s="190" t="s">
        <v>972</v>
      </c>
      <c r="B42" s="263">
        <v>20000</v>
      </c>
      <c r="C42" s="112">
        <v>20000</v>
      </c>
      <c r="D42" s="95"/>
      <c r="E42" s="96"/>
      <c r="G42" s="190" t="s">
        <v>1924</v>
      </c>
      <c r="H42" s="267">
        <v>3740</v>
      </c>
      <c r="I42" s="95"/>
      <c r="J42" s="112">
        <v>3740</v>
      </c>
      <c r="K42" s="96"/>
    </row>
    <row r="43" spans="1:11">
      <c r="A43" s="190" t="s">
        <v>1672</v>
      </c>
      <c r="B43" s="267">
        <v>300000</v>
      </c>
      <c r="C43" s="112">
        <v>298500</v>
      </c>
      <c r="D43" s="112">
        <v>598500</v>
      </c>
      <c r="E43" s="96"/>
      <c r="G43" s="190" t="s">
        <v>1400</v>
      </c>
      <c r="H43" s="263">
        <v>230</v>
      </c>
      <c r="I43" s="112">
        <v>230</v>
      </c>
      <c r="J43" s="95"/>
      <c r="K43" s="96"/>
    </row>
    <row r="44" spans="1:11">
      <c r="A44" s="15" t="s">
        <v>567</v>
      </c>
      <c r="B44" s="263">
        <v>48834</v>
      </c>
      <c r="C44" s="112">
        <v>537271</v>
      </c>
      <c r="D44" s="112">
        <v>595780</v>
      </c>
      <c r="E44" s="263">
        <v>107343</v>
      </c>
      <c r="G44" s="190" t="s">
        <v>584</v>
      </c>
      <c r="H44" s="263">
        <v>60100</v>
      </c>
      <c r="I44" s="112">
        <v>60100</v>
      </c>
      <c r="J44" s="95"/>
      <c r="K44" s="96"/>
    </row>
    <row r="45" spans="1:11">
      <c r="A45" s="190" t="s">
        <v>1897</v>
      </c>
      <c r="B45" s="96"/>
      <c r="C45" s="112">
        <v>23687</v>
      </c>
      <c r="D45" s="112">
        <v>23687</v>
      </c>
      <c r="E45" s="96"/>
      <c r="G45" s="15" t="s">
        <v>1401</v>
      </c>
      <c r="H45" s="263">
        <v>5400</v>
      </c>
      <c r="I45" s="112">
        <v>5400</v>
      </c>
      <c r="J45" s="95"/>
      <c r="K45" s="96"/>
    </row>
    <row r="46" spans="1:11">
      <c r="A46" s="190" t="s">
        <v>568</v>
      </c>
      <c r="B46" s="267">
        <v>38738</v>
      </c>
      <c r="C46" s="95"/>
      <c r="D46" s="112">
        <v>38738</v>
      </c>
      <c r="E46" s="96"/>
      <c r="G46" s="15" t="s">
        <v>586</v>
      </c>
      <c r="H46" s="263">
        <v>2460</v>
      </c>
      <c r="I46" s="112">
        <v>2460</v>
      </c>
      <c r="J46" s="95"/>
      <c r="K46" s="96"/>
    </row>
    <row r="47" spans="1:11">
      <c r="A47" s="190" t="s">
        <v>569</v>
      </c>
      <c r="B47" s="263">
        <v>1835922</v>
      </c>
      <c r="C47" s="112">
        <v>29909377</v>
      </c>
      <c r="D47" s="112">
        <v>30270445</v>
      </c>
      <c r="E47" s="263">
        <v>2196990</v>
      </c>
      <c r="G47" s="190" t="s">
        <v>1684</v>
      </c>
      <c r="H47" s="96"/>
      <c r="I47" s="112">
        <v>130500</v>
      </c>
      <c r="J47" s="112">
        <v>130500</v>
      </c>
      <c r="K47" s="96"/>
    </row>
    <row r="48" spans="1:11">
      <c r="A48" s="15" t="s">
        <v>1898</v>
      </c>
      <c r="B48" s="96"/>
      <c r="C48" s="112">
        <v>15694</v>
      </c>
      <c r="D48" s="112">
        <v>15694</v>
      </c>
      <c r="E48" s="96"/>
      <c r="G48" s="190" t="s">
        <v>1794</v>
      </c>
      <c r="H48" s="96"/>
      <c r="I48" s="112">
        <v>7500</v>
      </c>
      <c r="J48" s="112">
        <v>7500</v>
      </c>
      <c r="K48" s="96"/>
    </row>
    <row r="49" spans="1:11">
      <c r="A49" s="15" t="s">
        <v>1673</v>
      </c>
      <c r="B49" s="263">
        <v>19815</v>
      </c>
      <c r="C49" s="112">
        <v>19815</v>
      </c>
      <c r="D49" s="95"/>
      <c r="E49" s="96"/>
      <c r="G49" s="13" t="s">
        <v>587</v>
      </c>
      <c r="H49" s="263">
        <v>40733.53</v>
      </c>
      <c r="I49" s="112">
        <v>2386614</v>
      </c>
      <c r="J49" s="112">
        <v>2385631</v>
      </c>
      <c r="K49" s="263">
        <v>39750.53</v>
      </c>
    </row>
    <row r="50" spans="1:11">
      <c r="A50" s="190" t="s">
        <v>570</v>
      </c>
      <c r="B50" s="263">
        <v>5700</v>
      </c>
      <c r="C50" s="112">
        <v>5700</v>
      </c>
      <c r="D50" s="95"/>
      <c r="E50" s="96"/>
      <c r="G50" s="15" t="s">
        <v>985</v>
      </c>
      <c r="H50" s="263">
        <v>18900</v>
      </c>
      <c r="I50" s="112">
        <v>18900</v>
      </c>
      <c r="J50" s="95"/>
      <c r="K50" s="96"/>
    </row>
    <row r="51" spans="1:11">
      <c r="A51" s="190" t="s">
        <v>1382</v>
      </c>
      <c r="B51" s="267">
        <v>13000</v>
      </c>
      <c r="C51" s="112">
        <v>70000</v>
      </c>
      <c r="D51" s="112">
        <v>83000</v>
      </c>
      <c r="E51" s="96"/>
      <c r="G51" s="15" t="s">
        <v>1795</v>
      </c>
      <c r="H51" s="96"/>
      <c r="I51" s="112">
        <v>563990</v>
      </c>
      <c r="J51" s="112">
        <v>584800</v>
      </c>
      <c r="K51" s="263">
        <v>20810</v>
      </c>
    </row>
    <row r="52" spans="1:11">
      <c r="A52" s="190" t="s">
        <v>571</v>
      </c>
      <c r="B52" s="96"/>
      <c r="C52" s="112">
        <v>5251</v>
      </c>
      <c r="D52" s="112">
        <v>5251</v>
      </c>
      <c r="E52" s="96"/>
      <c r="G52" s="190" t="s">
        <v>590</v>
      </c>
      <c r="H52" s="263">
        <v>42700</v>
      </c>
      <c r="I52" s="112">
        <v>42700</v>
      </c>
      <c r="J52" s="95"/>
      <c r="K52" s="96"/>
    </row>
    <row r="53" spans="1:11">
      <c r="A53" s="190" t="s">
        <v>1383</v>
      </c>
      <c r="B53" s="267">
        <v>39620</v>
      </c>
      <c r="C53" s="112">
        <v>353314</v>
      </c>
      <c r="D53" s="112">
        <v>433194</v>
      </c>
      <c r="E53" s="263">
        <v>40260</v>
      </c>
      <c r="G53" s="190" t="s">
        <v>593</v>
      </c>
      <c r="H53" s="263">
        <v>165</v>
      </c>
      <c r="I53" s="112">
        <v>165</v>
      </c>
      <c r="J53" s="95"/>
      <c r="K53" s="96"/>
    </row>
    <row r="54" spans="1:11">
      <c r="A54" s="190" t="s">
        <v>1899</v>
      </c>
      <c r="B54" s="96"/>
      <c r="C54" s="112">
        <v>28290</v>
      </c>
      <c r="D54" s="112">
        <v>28290</v>
      </c>
      <c r="E54" s="96"/>
      <c r="G54" s="190" t="s">
        <v>1796</v>
      </c>
      <c r="H54" s="96"/>
      <c r="I54" s="112">
        <v>27989</v>
      </c>
      <c r="J54" s="112">
        <v>27989</v>
      </c>
      <c r="K54" s="96"/>
    </row>
    <row r="55" spans="1:11">
      <c r="A55" s="15" t="s">
        <v>1901</v>
      </c>
      <c r="B55" s="96"/>
      <c r="C55" s="112">
        <v>92000</v>
      </c>
      <c r="D55" s="112">
        <v>92000</v>
      </c>
      <c r="E55" s="96"/>
      <c r="G55" s="190" t="s">
        <v>1406</v>
      </c>
      <c r="H55" s="263">
        <v>2560</v>
      </c>
      <c r="I55" s="112">
        <v>2560</v>
      </c>
      <c r="J55" s="95"/>
      <c r="K55" s="96"/>
    </row>
    <row r="56" spans="1:11">
      <c r="A56" s="15" t="s">
        <v>1902</v>
      </c>
      <c r="B56" s="96"/>
      <c r="C56" s="112">
        <v>25700</v>
      </c>
      <c r="D56" s="112">
        <v>25700</v>
      </c>
      <c r="E56" s="96"/>
      <c r="G56" s="15" t="s">
        <v>1940</v>
      </c>
      <c r="H56" s="96"/>
      <c r="I56" s="112">
        <v>858330</v>
      </c>
      <c r="J56" s="112">
        <v>873825</v>
      </c>
      <c r="K56" s="263">
        <v>15495</v>
      </c>
    </row>
    <row r="57" spans="1:11">
      <c r="A57" s="15" t="s">
        <v>68</v>
      </c>
      <c r="B57" s="263">
        <v>367140</v>
      </c>
      <c r="C57" s="112">
        <v>1387853</v>
      </c>
      <c r="D57" s="112">
        <v>1547854</v>
      </c>
      <c r="E57" s="263">
        <v>527141</v>
      </c>
      <c r="G57" s="17" t="s">
        <v>1797</v>
      </c>
      <c r="H57" s="263">
        <v>9086</v>
      </c>
      <c r="I57" s="112">
        <v>9086</v>
      </c>
      <c r="J57" s="95"/>
      <c r="K57" s="96"/>
    </row>
    <row r="58" spans="1:11">
      <c r="A58" s="15" t="s">
        <v>1903</v>
      </c>
      <c r="B58" s="96"/>
      <c r="C58" s="112">
        <v>6844</v>
      </c>
      <c r="D58" s="112">
        <v>6844</v>
      </c>
      <c r="E58" s="96"/>
      <c r="G58" s="15" t="s">
        <v>1798</v>
      </c>
      <c r="H58" s="267">
        <v>610</v>
      </c>
      <c r="I58" s="95"/>
      <c r="J58" s="112">
        <v>610</v>
      </c>
      <c r="K58" s="96"/>
    </row>
    <row r="59" spans="1:11">
      <c r="A59" s="15" t="s">
        <v>573</v>
      </c>
      <c r="B59" s="96"/>
      <c r="C59" s="112">
        <v>199774</v>
      </c>
      <c r="D59" s="112">
        <v>199774</v>
      </c>
      <c r="E59" s="96"/>
      <c r="G59" s="190" t="s">
        <v>1692</v>
      </c>
      <c r="H59" s="263">
        <v>2</v>
      </c>
      <c r="I59" s="112">
        <v>304248</v>
      </c>
      <c r="J59" s="112">
        <v>339376</v>
      </c>
      <c r="K59" s="263">
        <v>35130</v>
      </c>
    </row>
    <row r="60" spans="1:11">
      <c r="A60" s="248" t="s">
        <v>1291</v>
      </c>
      <c r="B60" s="268">
        <v>1360621.95</v>
      </c>
      <c r="C60" s="93">
        <v>44038816.850000001</v>
      </c>
      <c r="D60" s="93">
        <v>45007031.5</v>
      </c>
      <c r="E60" s="268">
        <v>2328836.6</v>
      </c>
      <c r="G60" s="190" t="s">
        <v>1799</v>
      </c>
      <c r="H60" s="267">
        <v>1400</v>
      </c>
      <c r="I60" s="95"/>
      <c r="J60" s="112">
        <v>1400</v>
      </c>
      <c r="K60" s="96"/>
    </row>
    <row r="61" spans="1:11">
      <c r="A61" s="190" t="s">
        <v>1290</v>
      </c>
      <c r="B61" s="267">
        <v>601</v>
      </c>
      <c r="C61" s="112">
        <v>507303</v>
      </c>
      <c r="D61" s="112">
        <v>560339</v>
      </c>
      <c r="E61" s="263">
        <v>52435</v>
      </c>
      <c r="G61" s="190" t="s">
        <v>1409</v>
      </c>
      <c r="H61" s="263">
        <v>3505</v>
      </c>
      <c r="I61" s="112">
        <v>3505</v>
      </c>
      <c r="J61" s="95"/>
      <c r="K61" s="96"/>
    </row>
    <row r="62" spans="1:11">
      <c r="A62" s="190" t="s">
        <v>1289</v>
      </c>
      <c r="B62" s="263">
        <v>43181</v>
      </c>
      <c r="C62" s="112">
        <v>178386</v>
      </c>
      <c r="D62" s="112">
        <v>214584</v>
      </c>
      <c r="E62" s="263">
        <v>79379</v>
      </c>
      <c r="G62" s="190" t="s">
        <v>1800</v>
      </c>
      <c r="H62" s="263">
        <v>14820</v>
      </c>
      <c r="I62" s="112">
        <v>14820</v>
      </c>
      <c r="J62" s="95"/>
      <c r="K62" s="96"/>
    </row>
    <row r="63" spans="1:11">
      <c r="A63" s="190" t="s">
        <v>1385</v>
      </c>
      <c r="B63" s="263">
        <v>16283.5</v>
      </c>
      <c r="C63" s="112">
        <v>982515</v>
      </c>
      <c r="D63" s="112">
        <v>1040453.5</v>
      </c>
      <c r="E63" s="263">
        <v>74222</v>
      </c>
      <c r="G63" s="190" t="s">
        <v>598</v>
      </c>
      <c r="H63" s="263">
        <v>2875</v>
      </c>
      <c r="I63" s="112">
        <v>2875</v>
      </c>
      <c r="J63" s="95"/>
      <c r="K63" s="96"/>
    </row>
    <row r="64" spans="1:11">
      <c r="A64" s="15" t="s">
        <v>1906</v>
      </c>
      <c r="B64" s="96"/>
      <c r="C64" s="112">
        <v>4576338</v>
      </c>
      <c r="D64" s="112">
        <v>4576338</v>
      </c>
      <c r="E64" s="96"/>
      <c r="G64" s="15" t="s">
        <v>599</v>
      </c>
      <c r="H64" s="263">
        <v>14100</v>
      </c>
      <c r="I64" s="112">
        <v>8400</v>
      </c>
      <c r="J64" s="95"/>
      <c r="K64" s="263">
        <v>5700</v>
      </c>
    </row>
    <row r="65" spans="1:11">
      <c r="A65" s="190" t="s">
        <v>1674</v>
      </c>
      <c r="B65" s="263">
        <v>54253</v>
      </c>
      <c r="C65" s="112">
        <v>154513</v>
      </c>
      <c r="D65" s="112">
        <v>100260</v>
      </c>
      <c r="E65" s="96"/>
      <c r="G65" s="190" t="s">
        <v>600</v>
      </c>
      <c r="H65" s="267">
        <v>105236</v>
      </c>
      <c r="I65" s="112">
        <v>171600</v>
      </c>
      <c r="J65" s="112">
        <v>171600</v>
      </c>
      <c r="K65" s="267">
        <v>105236</v>
      </c>
    </row>
    <row r="66" spans="1:11">
      <c r="A66" s="190" t="s">
        <v>1969</v>
      </c>
      <c r="B66" s="96"/>
      <c r="C66" s="112">
        <v>175173</v>
      </c>
      <c r="D66" s="112">
        <v>228823</v>
      </c>
      <c r="E66" s="263">
        <v>53650</v>
      </c>
      <c r="G66" s="15" t="s">
        <v>1953</v>
      </c>
      <c r="H66" s="96"/>
      <c r="I66" s="112">
        <v>64650</v>
      </c>
      <c r="J66" s="112">
        <v>64650</v>
      </c>
      <c r="K66" s="96"/>
    </row>
    <row r="67" spans="1:11">
      <c r="A67" s="190" t="s">
        <v>1908</v>
      </c>
      <c r="B67" s="96"/>
      <c r="C67" s="112">
        <v>31152</v>
      </c>
      <c r="D67" s="112">
        <v>31152</v>
      </c>
      <c r="E67" s="96"/>
      <c r="G67" s="190" t="s">
        <v>601</v>
      </c>
      <c r="H67" s="263">
        <v>6585</v>
      </c>
      <c r="I67" s="112">
        <v>6585</v>
      </c>
      <c r="J67" s="95"/>
      <c r="K67" s="96"/>
    </row>
    <row r="68" spans="1:11">
      <c r="A68" s="190" t="s">
        <v>1909</v>
      </c>
      <c r="B68" s="96"/>
      <c r="C68" s="112">
        <v>5196819</v>
      </c>
      <c r="D68" s="112">
        <v>5196819</v>
      </c>
      <c r="E68" s="96"/>
      <c r="G68" s="15" t="s">
        <v>1801</v>
      </c>
      <c r="H68" s="96"/>
      <c r="I68" s="112">
        <v>8570</v>
      </c>
      <c r="J68" s="112">
        <v>8570</v>
      </c>
      <c r="K68" s="96"/>
    </row>
    <row r="69" spans="1:11">
      <c r="A69" s="15" t="s">
        <v>1388</v>
      </c>
      <c r="B69" s="263">
        <v>21898</v>
      </c>
      <c r="C69" s="112">
        <v>21898</v>
      </c>
      <c r="D69" s="95"/>
      <c r="E69" s="96"/>
      <c r="G69" s="190" t="s">
        <v>1802</v>
      </c>
      <c r="H69" s="96"/>
      <c r="I69" s="112">
        <v>9180</v>
      </c>
      <c r="J69" s="112">
        <v>9180</v>
      </c>
      <c r="K69" s="96"/>
    </row>
    <row r="70" spans="1:11">
      <c r="A70" s="190" t="s">
        <v>1675</v>
      </c>
      <c r="B70" s="267">
        <v>1742</v>
      </c>
      <c r="C70" s="112">
        <v>147100</v>
      </c>
      <c r="D70" s="112">
        <v>148842</v>
      </c>
      <c r="E70" s="96"/>
      <c r="G70" s="190" t="s">
        <v>1836</v>
      </c>
      <c r="H70" s="96"/>
      <c r="I70" s="112">
        <v>9635</v>
      </c>
      <c r="J70" s="112">
        <v>9635</v>
      </c>
      <c r="K70" s="96"/>
    </row>
    <row r="71" spans="1:11">
      <c r="A71" s="15" t="s">
        <v>1389</v>
      </c>
      <c r="B71" s="263">
        <v>12126</v>
      </c>
      <c r="C71" s="112">
        <v>12126</v>
      </c>
      <c r="D71" s="95"/>
      <c r="E71" s="96"/>
      <c r="G71" s="190" t="s">
        <v>1416</v>
      </c>
      <c r="H71" s="263">
        <v>108</v>
      </c>
      <c r="I71" s="112">
        <v>108</v>
      </c>
      <c r="J71" s="95"/>
      <c r="K71" s="96"/>
    </row>
    <row r="72" spans="1:11">
      <c r="A72" s="190" t="s">
        <v>1676</v>
      </c>
      <c r="B72" s="267">
        <v>6</v>
      </c>
      <c r="C72" s="95"/>
      <c r="D72" s="112">
        <v>6</v>
      </c>
      <c r="E72" s="96"/>
      <c r="G72" s="190" t="s">
        <v>1417</v>
      </c>
      <c r="H72" s="263">
        <v>3400</v>
      </c>
      <c r="I72" s="112">
        <v>3400</v>
      </c>
      <c r="J72" s="95"/>
      <c r="K72" s="96"/>
    </row>
    <row r="73" spans="1:11">
      <c r="A73" s="15" t="s">
        <v>1910</v>
      </c>
      <c r="B73" s="96"/>
      <c r="C73" s="112">
        <v>937399</v>
      </c>
      <c r="D73" s="112">
        <v>928000</v>
      </c>
      <c r="E73" s="267">
        <v>9399</v>
      </c>
      <c r="G73" s="190" t="s">
        <v>603</v>
      </c>
      <c r="H73" s="267">
        <v>83013</v>
      </c>
      <c r="I73" s="112">
        <v>159916</v>
      </c>
      <c r="J73" s="112">
        <v>244888</v>
      </c>
      <c r="K73" s="263">
        <v>1959</v>
      </c>
    </row>
    <row r="74" spans="1:11">
      <c r="A74" s="190" t="s">
        <v>1911</v>
      </c>
      <c r="B74" s="96"/>
      <c r="C74" s="112">
        <v>851771</v>
      </c>
      <c r="D74" s="112">
        <v>844044</v>
      </c>
      <c r="E74" s="267">
        <v>7727</v>
      </c>
      <c r="G74" s="190" t="s">
        <v>604</v>
      </c>
      <c r="H74" s="96"/>
      <c r="I74" s="112">
        <v>13720</v>
      </c>
      <c r="J74" s="112">
        <v>18750</v>
      </c>
      <c r="K74" s="263">
        <v>5030</v>
      </c>
    </row>
    <row r="75" spans="1:11">
      <c r="A75" s="190" t="s">
        <v>1677</v>
      </c>
      <c r="B75" s="263">
        <v>7290</v>
      </c>
      <c r="C75" s="112">
        <v>7290</v>
      </c>
      <c r="D75" s="95"/>
      <c r="E75" s="96"/>
      <c r="G75" s="190" t="s">
        <v>605</v>
      </c>
      <c r="H75" s="263">
        <v>566851</v>
      </c>
      <c r="I75" s="95"/>
      <c r="J75" s="95"/>
      <c r="K75" s="263">
        <v>566851</v>
      </c>
    </row>
    <row r="76" spans="1:11">
      <c r="A76" s="190" t="s">
        <v>1390</v>
      </c>
      <c r="B76" s="263">
        <v>23209</v>
      </c>
      <c r="C76" s="112">
        <v>2487293</v>
      </c>
      <c r="D76" s="112">
        <v>2850157</v>
      </c>
      <c r="E76" s="263">
        <v>386073</v>
      </c>
      <c r="G76" s="190" t="s">
        <v>1959</v>
      </c>
      <c r="H76" s="96"/>
      <c r="I76" s="112">
        <v>185000</v>
      </c>
      <c r="J76" s="112">
        <v>100450</v>
      </c>
      <c r="K76" s="267">
        <v>84550</v>
      </c>
    </row>
    <row r="77" spans="1:11">
      <c r="A77" s="190" t="s">
        <v>1912</v>
      </c>
      <c r="B77" s="96"/>
      <c r="C77" s="112">
        <v>53709</v>
      </c>
      <c r="D77" s="112">
        <v>76837</v>
      </c>
      <c r="E77" s="263">
        <v>23128</v>
      </c>
      <c r="G77" s="190" t="s">
        <v>1803</v>
      </c>
      <c r="H77" s="267">
        <v>14400</v>
      </c>
      <c r="I77" s="95"/>
      <c r="J77" s="112">
        <v>14400</v>
      </c>
      <c r="K77" s="96"/>
    </row>
    <row r="78" spans="1:11">
      <c r="A78" s="190" t="s">
        <v>577</v>
      </c>
      <c r="B78" s="96"/>
      <c r="C78" s="112">
        <v>156940</v>
      </c>
      <c r="D78" s="112">
        <v>156940</v>
      </c>
      <c r="E78" s="96"/>
      <c r="G78" s="190" t="s">
        <v>607</v>
      </c>
      <c r="H78" s="263">
        <v>1237</v>
      </c>
      <c r="I78" s="112">
        <v>1237</v>
      </c>
      <c r="J78" s="95"/>
      <c r="K78" s="96"/>
    </row>
    <row r="79" spans="1:11">
      <c r="A79" s="15" t="s">
        <v>1678</v>
      </c>
      <c r="B79" s="263">
        <v>150683</v>
      </c>
      <c r="C79" s="112">
        <v>186483</v>
      </c>
      <c r="D79" s="112">
        <v>35800</v>
      </c>
      <c r="E79" s="96"/>
      <c r="G79" s="15" t="s">
        <v>1804</v>
      </c>
      <c r="H79" s="267">
        <v>1</v>
      </c>
      <c r="I79" s="112">
        <v>144859</v>
      </c>
      <c r="J79" s="112">
        <v>190223</v>
      </c>
      <c r="K79" s="263">
        <v>45363</v>
      </c>
    </row>
    <row r="80" spans="1:11">
      <c r="A80" s="190" t="s">
        <v>1392</v>
      </c>
      <c r="B80" s="263">
        <v>31643</v>
      </c>
      <c r="C80" s="112">
        <v>31643</v>
      </c>
      <c r="D80" s="95"/>
      <c r="E80" s="96"/>
      <c r="G80" s="190" t="s">
        <v>609</v>
      </c>
      <c r="H80" s="96"/>
      <c r="I80" s="112">
        <v>9280</v>
      </c>
      <c r="J80" s="112">
        <v>9280</v>
      </c>
      <c r="K80" s="96"/>
    </row>
    <row r="81" spans="1:11">
      <c r="A81" s="190" t="s">
        <v>1913</v>
      </c>
      <c r="B81" s="96"/>
      <c r="C81" s="112">
        <v>277200</v>
      </c>
      <c r="D81" s="112">
        <v>277200</v>
      </c>
      <c r="E81" s="96"/>
      <c r="G81" s="248" t="s">
        <v>1284</v>
      </c>
      <c r="H81" s="269">
        <v>2619274</v>
      </c>
      <c r="I81" s="93">
        <v>8311771</v>
      </c>
      <c r="J81" s="93">
        <v>11272593</v>
      </c>
      <c r="K81" s="268">
        <v>341548</v>
      </c>
    </row>
    <row r="82" spans="1:11">
      <c r="A82" s="190" t="s">
        <v>578</v>
      </c>
      <c r="B82" s="263">
        <v>107676</v>
      </c>
      <c r="C82" s="95"/>
      <c r="D82" s="95"/>
      <c r="E82" s="263">
        <v>107676</v>
      </c>
      <c r="G82" s="190" t="s">
        <v>1283</v>
      </c>
      <c r="H82" s="267">
        <v>363995</v>
      </c>
      <c r="I82" s="112">
        <v>183626</v>
      </c>
      <c r="J82" s="112">
        <v>547621</v>
      </c>
      <c r="K82" s="96"/>
    </row>
    <row r="83" spans="1:11">
      <c r="A83" s="15" t="s">
        <v>1393</v>
      </c>
      <c r="B83" s="263">
        <v>70388</v>
      </c>
      <c r="C83" s="112">
        <v>70388</v>
      </c>
      <c r="D83" s="95"/>
      <c r="E83" s="96"/>
      <c r="G83" s="15" t="s">
        <v>612</v>
      </c>
      <c r="H83" s="263">
        <v>3520</v>
      </c>
      <c r="I83" s="112">
        <v>3520</v>
      </c>
      <c r="J83" s="95"/>
      <c r="K83" s="96"/>
    </row>
    <row r="84" spans="1:11">
      <c r="A84" s="190" t="s">
        <v>1915</v>
      </c>
      <c r="B84" s="96"/>
      <c r="C84" s="112">
        <v>334200</v>
      </c>
      <c r="D84" s="112">
        <v>334200</v>
      </c>
      <c r="E84" s="96"/>
      <c r="G84" s="15" t="s">
        <v>613</v>
      </c>
      <c r="H84" s="263">
        <v>12347</v>
      </c>
      <c r="I84" s="112">
        <v>12347</v>
      </c>
      <c r="J84" s="95"/>
      <c r="K84" s="96"/>
    </row>
    <row r="85" spans="1:11">
      <c r="A85" s="190" t="s">
        <v>1679</v>
      </c>
      <c r="B85" s="267">
        <v>188443</v>
      </c>
      <c r="C85" s="112">
        <v>3717624</v>
      </c>
      <c r="D85" s="112">
        <v>3877425</v>
      </c>
      <c r="E85" s="267">
        <v>28642</v>
      </c>
      <c r="G85" s="190" t="s">
        <v>1805</v>
      </c>
      <c r="H85" s="263">
        <v>76927</v>
      </c>
      <c r="I85" s="112">
        <v>50000</v>
      </c>
      <c r="J85" s="95"/>
      <c r="K85" s="263">
        <v>26927</v>
      </c>
    </row>
    <row r="86" spans="1:11">
      <c r="A86" s="15" t="s">
        <v>1916</v>
      </c>
      <c r="B86" s="96"/>
      <c r="C86" s="112">
        <v>187026</v>
      </c>
      <c r="D86" s="112">
        <v>187026</v>
      </c>
      <c r="E86" s="96"/>
      <c r="G86" s="190" t="s">
        <v>1806</v>
      </c>
      <c r="H86" s="96"/>
      <c r="I86" s="112">
        <v>208000</v>
      </c>
      <c r="J86" s="112">
        <v>208000</v>
      </c>
      <c r="K86" s="96"/>
    </row>
    <row r="87" spans="1:11">
      <c r="A87" s="15" t="s">
        <v>579</v>
      </c>
      <c r="B87" s="263">
        <v>75523</v>
      </c>
      <c r="C87" s="112">
        <v>293722</v>
      </c>
      <c r="D87" s="112">
        <v>264462</v>
      </c>
      <c r="E87" s="263">
        <v>46263</v>
      </c>
      <c r="G87" s="15" t="s">
        <v>618</v>
      </c>
      <c r="H87" s="267">
        <v>22114</v>
      </c>
      <c r="I87" s="112">
        <v>98421</v>
      </c>
      <c r="J87" s="112">
        <v>132983</v>
      </c>
      <c r="K87" s="263">
        <v>12448</v>
      </c>
    </row>
    <row r="88" spans="1:11">
      <c r="A88" s="190" t="s">
        <v>580</v>
      </c>
      <c r="B88" s="96"/>
      <c r="C88" s="112">
        <v>22420</v>
      </c>
      <c r="D88" s="112">
        <v>22420</v>
      </c>
      <c r="E88" s="96"/>
      <c r="G88" s="15" t="s">
        <v>619</v>
      </c>
      <c r="H88" s="267">
        <v>6860</v>
      </c>
      <c r="I88" s="112">
        <v>331</v>
      </c>
      <c r="J88" s="112">
        <v>7191</v>
      </c>
      <c r="K88" s="96"/>
    </row>
    <row r="89" spans="1:11">
      <c r="A89" s="190" t="s">
        <v>1917</v>
      </c>
      <c r="B89" s="96"/>
      <c r="C89" s="112">
        <v>130000</v>
      </c>
      <c r="D89" s="112">
        <v>317186</v>
      </c>
      <c r="E89" s="263">
        <v>187186</v>
      </c>
      <c r="G89" s="15" t="s">
        <v>621</v>
      </c>
      <c r="H89" s="263">
        <v>58914</v>
      </c>
      <c r="I89" s="112">
        <v>619121</v>
      </c>
      <c r="J89" s="112">
        <v>625270</v>
      </c>
      <c r="K89" s="263">
        <v>65063</v>
      </c>
    </row>
    <row r="90" spans="1:11">
      <c r="A90" s="190" t="s">
        <v>581</v>
      </c>
      <c r="B90" s="263">
        <v>28452</v>
      </c>
      <c r="C90" s="112">
        <v>78505</v>
      </c>
      <c r="D90" s="112">
        <v>50053</v>
      </c>
      <c r="E90" s="96"/>
      <c r="G90" s="190" t="s">
        <v>1007</v>
      </c>
      <c r="H90" s="263">
        <v>100</v>
      </c>
      <c r="I90" s="112">
        <v>100</v>
      </c>
      <c r="J90" s="95"/>
      <c r="K90" s="96"/>
    </row>
    <row r="91" spans="1:11">
      <c r="A91" s="190" t="s">
        <v>1395</v>
      </c>
      <c r="B91" s="267">
        <v>64600</v>
      </c>
      <c r="C91" s="95"/>
      <c r="D91" s="112">
        <v>64600</v>
      </c>
      <c r="E91" s="96"/>
      <c r="G91" s="190" t="s">
        <v>1009</v>
      </c>
      <c r="H91" s="263">
        <v>6714</v>
      </c>
      <c r="I91" s="112">
        <v>9714</v>
      </c>
      <c r="J91" s="112">
        <v>3000</v>
      </c>
      <c r="K91" s="96"/>
    </row>
    <row r="92" spans="1:11">
      <c r="A92" s="15" t="s">
        <v>1396</v>
      </c>
      <c r="B92" s="263">
        <v>25218</v>
      </c>
      <c r="C92" s="112">
        <v>762364</v>
      </c>
      <c r="D92" s="112">
        <v>737146</v>
      </c>
      <c r="E92" s="96"/>
      <c r="G92" s="15" t="s">
        <v>1281</v>
      </c>
      <c r="H92" s="267">
        <v>36025</v>
      </c>
      <c r="I92" s="112">
        <v>88850</v>
      </c>
      <c r="J92" s="112">
        <v>130660</v>
      </c>
      <c r="K92" s="263">
        <v>5785</v>
      </c>
    </row>
    <row r="93" spans="1:11">
      <c r="A93" s="190" t="s">
        <v>1397</v>
      </c>
      <c r="B93" s="263">
        <v>5205</v>
      </c>
      <c r="C93" s="112">
        <v>5205</v>
      </c>
      <c r="D93" s="95"/>
      <c r="E93" s="96"/>
      <c r="G93" s="15" t="s">
        <v>1845</v>
      </c>
      <c r="H93" s="267">
        <v>5000</v>
      </c>
      <c r="I93" s="95"/>
      <c r="J93" s="112">
        <v>5000</v>
      </c>
      <c r="K93" s="96"/>
    </row>
    <row r="94" spans="1:11">
      <c r="A94" s="15" t="s">
        <v>1398</v>
      </c>
      <c r="B94" s="267">
        <v>2807</v>
      </c>
      <c r="C94" s="112">
        <v>208549</v>
      </c>
      <c r="D94" s="112">
        <v>211356</v>
      </c>
      <c r="E94" s="96"/>
      <c r="G94" s="15" t="s">
        <v>1011</v>
      </c>
      <c r="H94" s="267">
        <v>58917</v>
      </c>
      <c r="I94" s="112">
        <v>10700</v>
      </c>
      <c r="J94" s="112">
        <v>98395</v>
      </c>
      <c r="K94" s="263">
        <v>28778</v>
      </c>
    </row>
    <row r="95" spans="1:11">
      <c r="A95" s="15" t="s">
        <v>259</v>
      </c>
      <c r="B95" s="263">
        <v>842755.5</v>
      </c>
      <c r="C95" s="112">
        <v>1288513</v>
      </c>
      <c r="D95" s="112">
        <v>1200036</v>
      </c>
      <c r="E95" s="263">
        <v>754278.5</v>
      </c>
      <c r="G95" s="15" t="s">
        <v>1012</v>
      </c>
      <c r="H95" s="263">
        <v>14685</v>
      </c>
      <c r="I95" s="112">
        <v>14685</v>
      </c>
      <c r="J95" s="95"/>
      <c r="K95" s="96"/>
    </row>
    <row r="96" spans="1:11">
      <c r="A96" s="190" t="s">
        <v>1919</v>
      </c>
      <c r="B96" s="96"/>
      <c r="C96" s="112">
        <v>309042</v>
      </c>
      <c r="D96" s="112">
        <v>309042</v>
      </c>
      <c r="E96" s="96"/>
      <c r="G96" s="190" t="s">
        <v>1974</v>
      </c>
      <c r="H96" s="96"/>
      <c r="I96" s="112">
        <v>1625</v>
      </c>
      <c r="J96" s="112">
        <v>1625</v>
      </c>
      <c r="K96" s="96"/>
    </row>
    <row r="97" spans="1:11">
      <c r="A97" s="190" t="s">
        <v>1920</v>
      </c>
      <c r="B97" s="96"/>
      <c r="C97" s="112">
        <v>664327</v>
      </c>
      <c r="D97" s="112">
        <v>664627</v>
      </c>
      <c r="E97" s="263">
        <v>300</v>
      </c>
      <c r="G97" s="190" t="s">
        <v>1807</v>
      </c>
      <c r="H97" s="263">
        <v>1042</v>
      </c>
      <c r="I97" s="112">
        <v>1042</v>
      </c>
      <c r="J97" s="95"/>
      <c r="K97" s="96"/>
    </row>
    <row r="98" spans="1:11">
      <c r="A98" s="190" t="s">
        <v>257</v>
      </c>
      <c r="B98" s="263">
        <v>234051.5</v>
      </c>
      <c r="C98" s="112">
        <v>1287662</v>
      </c>
      <c r="D98" s="112">
        <v>1521715</v>
      </c>
      <c r="E98" s="263">
        <v>468104.5</v>
      </c>
      <c r="G98" s="15" t="s">
        <v>635</v>
      </c>
      <c r="H98" s="96"/>
      <c r="I98" s="112">
        <v>454681</v>
      </c>
      <c r="J98" s="112">
        <v>482772</v>
      </c>
      <c r="K98" s="263">
        <v>28091</v>
      </c>
    </row>
    <row r="99" spans="1:11">
      <c r="A99" s="190" t="s">
        <v>1921</v>
      </c>
      <c r="B99" s="96"/>
      <c r="C99" s="112">
        <v>959399</v>
      </c>
      <c r="D99" s="112">
        <v>959399</v>
      </c>
      <c r="E99" s="96"/>
      <c r="G99" s="190" t="s">
        <v>1975</v>
      </c>
      <c r="H99" s="263">
        <v>6100</v>
      </c>
      <c r="I99" s="112">
        <v>6100</v>
      </c>
      <c r="J99" s="95"/>
      <c r="K99" s="96"/>
    </row>
    <row r="100" spans="1:11">
      <c r="A100" s="15" t="s">
        <v>1922</v>
      </c>
      <c r="B100" s="96"/>
      <c r="C100" s="112">
        <v>118696</v>
      </c>
      <c r="D100" s="112">
        <v>118696</v>
      </c>
      <c r="E100" s="96"/>
      <c r="G100" s="190" t="s">
        <v>1808</v>
      </c>
      <c r="H100" s="263">
        <v>1800</v>
      </c>
      <c r="I100" s="112">
        <v>1800</v>
      </c>
      <c r="J100" s="95"/>
      <c r="K100" s="96"/>
    </row>
    <row r="101" spans="1:11">
      <c r="A101" s="190" t="s">
        <v>1399</v>
      </c>
      <c r="B101" s="263">
        <v>1794</v>
      </c>
      <c r="C101" s="112">
        <v>1794</v>
      </c>
      <c r="D101" s="95"/>
      <c r="E101" s="96"/>
      <c r="G101" s="190" t="s">
        <v>1439</v>
      </c>
      <c r="H101" s="263">
        <v>5250</v>
      </c>
      <c r="I101" s="112">
        <v>5250</v>
      </c>
      <c r="J101" s="95"/>
      <c r="K101" s="96"/>
    </row>
    <row r="102" spans="1:11">
      <c r="A102" s="15" t="s">
        <v>1287</v>
      </c>
      <c r="B102" s="263">
        <v>26111</v>
      </c>
      <c r="C102" s="112">
        <v>26111</v>
      </c>
      <c r="D102" s="95"/>
      <c r="E102" s="96"/>
      <c r="G102" s="190" t="s">
        <v>1440</v>
      </c>
      <c r="H102" s="267">
        <v>21840</v>
      </c>
      <c r="I102" s="95"/>
      <c r="J102" s="112">
        <v>5250</v>
      </c>
      <c r="K102" s="267">
        <v>16590</v>
      </c>
    </row>
    <row r="103" spans="1:11">
      <c r="A103" s="15" t="s">
        <v>1680</v>
      </c>
      <c r="B103" s="263">
        <v>51</v>
      </c>
      <c r="C103" s="112">
        <v>147846</v>
      </c>
      <c r="D103" s="112">
        <v>147795</v>
      </c>
      <c r="E103" s="96"/>
      <c r="G103" s="15" t="s">
        <v>1976</v>
      </c>
      <c r="H103" s="96"/>
      <c r="I103" s="112">
        <v>40000</v>
      </c>
      <c r="J103" s="112">
        <v>42857</v>
      </c>
      <c r="K103" s="263">
        <v>2857</v>
      </c>
    </row>
    <row r="104" spans="1:11">
      <c r="A104" s="190" t="s">
        <v>1925</v>
      </c>
      <c r="B104" s="96"/>
      <c r="C104" s="112">
        <v>114400</v>
      </c>
      <c r="D104" s="112">
        <v>114400</v>
      </c>
      <c r="E104" s="96"/>
      <c r="G104" s="190" t="s">
        <v>1809</v>
      </c>
      <c r="H104" s="267">
        <v>10143</v>
      </c>
      <c r="I104" s="95"/>
      <c r="J104" s="112">
        <v>10143</v>
      </c>
      <c r="K104" s="96"/>
    </row>
    <row r="105" spans="1:11">
      <c r="A105" s="190" t="s">
        <v>1926</v>
      </c>
      <c r="B105" s="96"/>
      <c r="C105" s="112">
        <v>60451</v>
      </c>
      <c r="D105" s="112">
        <v>60451</v>
      </c>
      <c r="E105" s="96"/>
      <c r="G105" s="190" t="s">
        <v>649</v>
      </c>
      <c r="H105" s="267">
        <v>674335</v>
      </c>
      <c r="I105" s="112">
        <v>1089353</v>
      </c>
      <c r="J105" s="112">
        <v>1782133</v>
      </c>
      <c r="K105" s="263">
        <v>18445</v>
      </c>
    </row>
    <row r="106" spans="1:11">
      <c r="A106" s="190" t="s">
        <v>1927</v>
      </c>
      <c r="B106" s="96"/>
      <c r="C106" s="112">
        <v>104194</v>
      </c>
      <c r="D106" s="112">
        <v>104194</v>
      </c>
      <c r="E106" s="96"/>
      <c r="G106" s="15" t="s">
        <v>650</v>
      </c>
      <c r="H106" s="267">
        <v>4512</v>
      </c>
      <c r="I106" s="112">
        <v>487772</v>
      </c>
      <c r="J106" s="112">
        <v>628163</v>
      </c>
      <c r="K106" s="263">
        <v>135879</v>
      </c>
    </row>
    <row r="107" spans="1:11">
      <c r="A107" s="15" t="s">
        <v>1681</v>
      </c>
      <c r="B107" s="263">
        <v>106</v>
      </c>
      <c r="C107" s="112">
        <v>106</v>
      </c>
      <c r="D107" s="95"/>
      <c r="E107" s="96"/>
      <c r="G107" s="190" t="s">
        <v>1442</v>
      </c>
      <c r="H107" s="263">
        <v>62175</v>
      </c>
      <c r="I107" s="112">
        <v>62175</v>
      </c>
      <c r="J107" s="95"/>
      <c r="K107" s="96"/>
    </row>
    <row r="108" spans="1:11">
      <c r="A108" s="190" t="s">
        <v>1928</v>
      </c>
      <c r="B108" s="96"/>
      <c r="C108" s="112">
        <v>350000</v>
      </c>
      <c r="D108" s="112">
        <v>429364</v>
      </c>
      <c r="E108" s="263">
        <v>79364</v>
      </c>
      <c r="G108" s="190" t="s">
        <v>1017</v>
      </c>
      <c r="H108" s="267">
        <v>27418</v>
      </c>
      <c r="I108" s="112">
        <v>329285</v>
      </c>
      <c r="J108" s="112">
        <v>391599</v>
      </c>
      <c r="K108" s="263">
        <v>34896</v>
      </c>
    </row>
    <row r="109" spans="1:11">
      <c r="A109" s="190" t="s">
        <v>1929</v>
      </c>
      <c r="B109" s="96"/>
      <c r="C109" s="112">
        <v>7110</v>
      </c>
      <c r="D109" s="112">
        <v>7110</v>
      </c>
      <c r="E109" s="96"/>
      <c r="G109" s="15" t="s">
        <v>653</v>
      </c>
      <c r="H109" s="267">
        <v>1270</v>
      </c>
      <c r="I109" s="95"/>
      <c r="J109" s="112">
        <v>1270</v>
      </c>
      <c r="K109" s="96"/>
    </row>
    <row r="110" spans="1:11">
      <c r="A110" s="190" t="s">
        <v>1682</v>
      </c>
      <c r="B110" s="263">
        <v>31120</v>
      </c>
      <c r="C110" s="112">
        <v>48112</v>
      </c>
      <c r="D110" s="112">
        <v>16992</v>
      </c>
      <c r="E110" s="96"/>
      <c r="G110" s="15" t="s">
        <v>1810</v>
      </c>
      <c r="H110" s="96"/>
      <c r="I110" s="112">
        <v>1100</v>
      </c>
      <c r="J110" s="112">
        <v>1100</v>
      </c>
      <c r="K110" s="96"/>
    </row>
    <row r="111" spans="1:11">
      <c r="A111" s="190" t="s">
        <v>2106</v>
      </c>
      <c r="B111" s="96"/>
      <c r="C111" s="112">
        <v>70800</v>
      </c>
      <c r="D111" s="112">
        <v>74045</v>
      </c>
      <c r="E111" s="263">
        <v>3245</v>
      </c>
      <c r="G111" s="15" t="s">
        <v>656</v>
      </c>
      <c r="H111" s="267">
        <v>516</v>
      </c>
      <c r="I111" s="112">
        <v>462290</v>
      </c>
      <c r="J111" s="112">
        <v>406827</v>
      </c>
      <c r="K111" s="267">
        <v>55979</v>
      </c>
    </row>
    <row r="112" spans="1:11">
      <c r="A112" s="15" t="s">
        <v>1683</v>
      </c>
      <c r="B112" s="263">
        <v>7110</v>
      </c>
      <c r="C112" s="112">
        <v>8195</v>
      </c>
      <c r="D112" s="112">
        <v>1085</v>
      </c>
      <c r="E112" s="96"/>
      <c r="G112" s="190" t="s">
        <v>1443</v>
      </c>
      <c r="H112" s="263">
        <v>2000</v>
      </c>
      <c r="I112" s="112">
        <v>2000</v>
      </c>
      <c r="J112" s="95"/>
      <c r="K112" s="96"/>
    </row>
    <row r="113" spans="1:11">
      <c r="A113" s="15" t="s">
        <v>586</v>
      </c>
      <c r="B113" s="267">
        <v>11210</v>
      </c>
      <c r="C113" s="112">
        <v>8492</v>
      </c>
      <c r="D113" s="112">
        <v>18527</v>
      </c>
      <c r="E113" s="267">
        <v>1175</v>
      </c>
      <c r="G113" s="190" t="s">
        <v>1444</v>
      </c>
      <c r="H113" s="267">
        <v>25006</v>
      </c>
      <c r="I113" s="112">
        <v>35350</v>
      </c>
      <c r="J113" s="112">
        <v>60356</v>
      </c>
      <c r="K113" s="96"/>
    </row>
    <row r="114" spans="1:11">
      <c r="A114" s="190" t="s">
        <v>1684</v>
      </c>
      <c r="B114" s="263">
        <v>5000</v>
      </c>
      <c r="C114" s="112">
        <v>5000</v>
      </c>
      <c r="D114" s="95"/>
      <c r="E114" s="96"/>
      <c r="G114" s="15" t="s">
        <v>657</v>
      </c>
      <c r="H114" s="263">
        <v>10392</v>
      </c>
      <c r="I114" s="112">
        <v>10392</v>
      </c>
      <c r="J114" s="95"/>
      <c r="K114" s="96"/>
    </row>
    <row r="115" spans="1:11">
      <c r="A115" s="15" t="s">
        <v>1685</v>
      </c>
      <c r="B115" s="263">
        <v>805</v>
      </c>
      <c r="C115" s="112">
        <v>805</v>
      </c>
      <c r="D115" s="95"/>
      <c r="E115" s="96"/>
      <c r="G115" s="15" t="s">
        <v>1979</v>
      </c>
      <c r="H115" s="263">
        <v>120</v>
      </c>
      <c r="I115" s="112">
        <v>120</v>
      </c>
      <c r="J115" s="95"/>
      <c r="K115" s="96"/>
    </row>
    <row r="116" spans="1:11">
      <c r="A116" s="15" t="s">
        <v>1686</v>
      </c>
      <c r="B116" s="267">
        <v>93562</v>
      </c>
      <c r="C116" s="112">
        <v>1777787</v>
      </c>
      <c r="D116" s="112">
        <v>1871349</v>
      </c>
      <c r="E116" s="96"/>
      <c r="G116" s="15" t="s">
        <v>659</v>
      </c>
      <c r="H116" s="263">
        <v>23973</v>
      </c>
      <c r="I116" s="112">
        <v>23973</v>
      </c>
      <c r="J116" s="95"/>
      <c r="K116" s="96"/>
    </row>
    <row r="117" spans="1:11">
      <c r="A117" s="190" t="s">
        <v>1931</v>
      </c>
      <c r="B117" s="96"/>
      <c r="C117" s="112">
        <v>188210</v>
      </c>
      <c r="D117" s="112">
        <v>188210</v>
      </c>
      <c r="E117" s="96"/>
      <c r="G117" s="190" t="s">
        <v>1811</v>
      </c>
      <c r="H117" s="263">
        <v>17797</v>
      </c>
      <c r="I117" s="112">
        <v>17797</v>
      </c>
      <c r="J117" s="95"/>
      <c r="K117" s="96"/>
    </row>
    <row r="118" spans="1:11">
      <c r="A118" s="17" t="s">
        <v>1932</v>
      </c>
      <c r="B118" s="96"/>
      <c r="C118" s="112">
        <v>253700</v>
      </c>
      <c r="D118" s="112">
        <v>253700</v>
      </c>
      <c r="E118" s="96"/>
      <c r="G118" s="190" t="s">
        <v>1980</v>
      </c>
      <c r="H118" s="96"/>
      <c r="I118" s="112">
        <v>87800</v>
      </c>
      <c r="J118" s="112">
        <v>61331</v>
      </c>
      <c r="K118" s="267">
        <v>26469</v>
      </c>
    </row>
    <row r="119" spans="1:11">
      <c r="A119" s="15" t="s">
        <v>1687</v>
      </c>
      <c r="B119" s="267">
        <v>69795</v>
      </c>
      <c r="C119" s="95"/>
      <c r="D119" s="112">
        <v>69795</v>
      </c>
      <c r="E119" s="96"/>
      <c r="G119" s="190" t="s">
        <v>1448</v>
      </c>
      <c r="H119" s="267">
        <v>109263</v>
      </c>
      <c r="I119" s="112">
        <v>36343</v>
      </c>
      <c r="J119" s="112">
        <v>145606</v>
      </c>
      <c r="K119" s="96"/>
    </row>
    <row r="120" spans="1:11">
      <c r="A120" s="190" t="s">
        <v>1688</v>
      </c>
      <c r="B120" s="263">
        <v>1210</v>
      </c>
      <c r="C120" s="112">
        <v>1210</v>
      </c>
      <c r="D120" s="95"/>
      <c r="E120" s="96"/>
      <c r="G120" s="15" t="s">
        <v>1176</v>
      </c>
      <c r="H120" s="263">
        <v>3199</v>
      </c>
      <c r="I120" s="112">
        <v>98645</v>
      </c>
      <c r="J120" s="112">
        <v>106640</v>
      </c>
      <c r="K120" s="263">
        <v>11194</v>
      </c>
    </row>
    <row r="121" spans="1:11">
      <c r="A121" s="13" t="s">
        <v>587</v>
      </c>
      <c r="B121" s="263">
        <v>209065.35</v>
      </c>
      <c r="C121" s="112">
        <v>189917</v>
      </c>
      <c r="D121" s="95"/>
      <c r="E121" s="263">
        <v>19148.349999999999</v>
      </c>
      <c r="G121" s="15" t="s">
        <v>664</v>
      </c>
      <c r="H121" s="263">
        <v>11426</v>
      </c>
      <c r="I121" s="112">
        <v>11426</v>
      </c>
      <c r="J121" s="95"/>
      <c r="K121" s="96"/>
    </row>
    <row r="122" spans="1:11">
      <c r="A122" s="15" t="s">
        <v>1403</v>
      </c>
      <c r="B122" s="263">
        <v>4753</v>
      </c>
      <c r="C122" s="112">
        <v>4753</v>
      </c>
      <c r="D122" s="95"/>
      <c r="E122" s="96"/>
      <c r="G122" s="190" t="s">
        <v>1812</v>
      </c>
      <c r="H122" s="263">
        <v>6068</v>
      </c>
      <c r="I122" s="112">
        <v>6068</v>
      </c>
      <c r="J122" s="95"/>
      <c r="K122" s="96"/>
    </row>
    <row r="123" spans="1:11">
      <c r="A123" s="190" t="s">
        <v>1404</v>
      </c>
      <c r="B123" s="263">
        <v>45</v>
      </c>
      <c r="C123" s="112">
        <v>45</v>
      </c>
      <c r="D123" s="95"/>
      <c r="E123" s="96"/>
      <c r="G123" s="190" t="s">
        <v>665</v>
      </c>
      <c r="H123" s="267">
        <v>82856</v>
      </c>
      <c r="I123" s="112">
        <v>88725</v>
      </c>
      <c r="J123" s="112">
        <v>205523</v>
      </c>
      <c r="K123" s="263">
        <v>33942</v>
      </c>
    </row>
    <row r="124" spans="1:11">
      <c r="A124" s="15" t="s">
        <v>1933</v>
      </c>
      <c r="B124" s="96"/>
      <c r="C124" s="112">
        <v>48400</v>
      </c>
      <c r="D124" s="112">
        <v>46200</v>
      </c>
      <c r="E124" s="267">
        <v>2200</v>
      </c>
      <c r="G124" s="190" t="s">
        <v>1981</v>
      </c>
      <c r="H124" s="267">
        <v>42132</v>
      </c>
      <c r="I124" s="112">
        <v>153670</v>
      </c>
      <c r="J124" s="112">
        <v>212520</v>
      </c>
      <c r="K124" s="263">
        <v>16718</v>
      </c>
    </row>
    <row r="125" spans="1:11">
      <c r="A125" s="15" t="s">
        <v>1934</v>
      </c>
      <c r="B125" s="96"/>
      <c r="C125" s="112">
        <v>358720</v>
      </c>
      <c r="D125" s="112">
        <v>358720</v>
      </c>
      <c r="E125" s="96"/>
      <c r="G125" s="190" t="s">
        <v>1813</v>
      </c>
      <c r="H125" s="267">
        <v>9780</v>
      </c>
      <c r="I125" s="112">
        <v>16700</v>
      </c>
      <c r="J125" s="112">
        <v>26480</v>
      </c>
      <c r="K125" s="96"/>
    </row>
    <row r="126" spans="1:11">
      <c r="A126" s="190" t="s">
        <v>258</v>
      </c>
      <c r="B126" s="263">
        <v>196558</v>
      </c>
      <c r="C126" s="95"/>
      <c r="D126" s="95"/>
      <c r="E126" s="263">
        <v>196558</v>
      </c>
      <c r="G126" s="15" t="s">
        <v>1449</v>
      </c>
      <c r="H126" s="267">
        <v>951838</v>
      </c>
      <c r="I126" s="112">
        <v>110208</v>
      </c>
      <c r="J126" s="112">
        <v>1074585</v>
      </c>
      <c r="K126" s="263">
        <v>12539</v>
      </c>
    </row>
    <row r="127" spans="1:11">
      <c r="A127" s="15" t="s">
        <v>1935</v>
      </c>
      <c r="B127" s="96"/>
      <c r="C127" s="112">
        <v>519200</v>
      </c>
      <c r="D127" s="112">
        <v>519200</v>
      </c>
      <c r="E127" s="96"/>
      <c r="G127" s="190" t="s">
        <v>1450</v>
      </c>
      <c r="H127" s="263">
        <v>100000</v>
      </c>
      <c r="I127" s="112">
        <v>100000</v>
      </c>
      <c r="J127" s="95"/>
      <c r="K127" s="96"/>
    </row>
    <row r="128" spans="1:11">
      <c r="A128" s="15" t="s">
        <v>1689</v>
      </c>
      <c r="B128" s="263">
        <v>5250</v>
      </c>
      <c r="C128" s="112">
        <v>5250</v>
      </c>
      <c r="D128" s="95"/>
      <c r="E128" s="96"/>
      <c r="G128" s="15" t="s">
        <v>1984</v>
      </c>
      <c r="H128" s="267">
        <v>70159</v>
      </c>
      <c r="I128" s="112">
        <v>598051</v>
      </c>
      <c r="J128" s="112">
        <v>743651</v>
      </c>
      <c r="K128" s="263">
        <v>75441</v>
      </c>
    </row>
    <row r="129" spans="1:11">
      <c r="A129" s="15" t="s">
        <v>1936</v>
      </c>
      <c r="B129" s="96"/>
      <c r="C129" s="112">
        <v>479080</v>
      </c>
      <c r="D129" s="112">
        <v>482280</v>
      </c>
      <c r="E129" s="263">
        <v>3200</v>
      </c>
      <c r="G129" s="15" t="s">
        <v>1814</v>
      </c>
      <c r="H129" s="267">
        <v>7577</v>
      </c>
      <c r="I129" s="112">
        <v>16000</v>
      </c>
      <c r="J129" s="112">
        <v>10000</v>
      </c>
      <c r="K129" s="267">
        <v>13577</v>
      </c>
    </row>
    <row r="130" spans="1:11">
      <c r="A130" s="15" t="s">
        <v>1937</v>
      </c>
      <c r="B130" s="96"/>
      <c r="C130" s="112">
        <v>590070</v>
      </c>
      <c r="D130" s="112">
        <v>590070</v>
      </c>
      <c r="E130" s="96"/>
      <c r="G130" s="15" t="s">
        <v>1452</v>
      </c>
      <c r="H130" s="267">
        <v>1780</v>
      </c>
      <c r="I130" s="95"/>
      <c r="J130" s="112">
        <v>1780</v>
      </c>
      <c r="K130" s="96"/>
    </row>
    <row r="131" spans="1:11">
      <c r="A131" s="190" t="s">
        <v>592</v>
      </c>
      <c r="B131" s="96"/>
      <c r="C131" s="112">
        <v>7450</v>
      </c>
      <c r="D131" s="112">
        <v>7450</v>
      </c>
      <c r="E131" s="96"/>
      <c r="G131" s="190" t="s">
        <v>672</v>
      </c>
      <c r="H131" s="263">
        <v>16895</v>
      </c>
      <c r="I131" s="112">
        <v>16895</v>
      </c>
      <c r="J131" s="95"/>
      <c r="K131" s="96"/>
    </row>
    <row r="132" spans="1:11">
      <c r="A132" s="190" t="s">
        <v>1938</v>
      </c>
      <c r="B132" s="96"/>
      <c r="C132" s="112">
        <v>678500</v>
      </c>
      <c r="D132" s="112">
        <v>678500</v>
      </c>
      <c r="E132" s="96"/>
      <c r="G132" s="15" t="s">
        <v>673</v>
      </c>
      <c r="H132" s="263">
        <v>8364</v>
      </c>
      <c r="I132" s="112">
        <v>8364</v>
      </c>
      <c r="J132" s="95"/>
      <c r="K132" s="96"/>
    </row>
    <row r="133" spans="1:11">
      <c r="A133" s="190" t="s">
        <v>1405</v>
      </c>
      <c r="B133" s="267">
        <v>2750</v>
      </c>
      <c r="C133" s="95"/>
      <c r="D133" s="112">
        <v>2750</v>
      </c>
      <c r="E133" s="96"/>
      <c r="G133" s="190" t="s">
        <v>1455</v>
      </c>
      <c r="H133" s="267">
        <v>33082</v>
      </c>
      <c r="I133" s="112">
        <v>789630</v>
      </c>
      <c r="J133" s="112">
        <v>816148</v>
      </c>
      <c r="K133" s="267">
        <v>6564</v>
      </c>
    </row>
    <row r="134" spans="1:11">
      <c r="A134" s="15" t="s">
        <v>1690</v>
      </c>
      <c r="B134" s="267">
        <v>849</v>
      </c>
      <c r="C134" s="95"/>
      <c r="D134" s="112">
        <v>849</v>
      </c>
      <c r="E134" s="96"/>
      <c r="G134" s="15" t="s">
        <v>1815</v>
      </c>
      <c r="H134" s="263">
        <v>200</v>
      </c>
      <c r="I134" s="95"/>
      <c r="J134" s="112">
        <v>1000</v>
      </c>
      <c r="K134" s="263">
        <v>1200</v>
      </c>
    </row>
    <row r="135" spans="1:11">
      <c r="A135" s="190" t="s">
        <v>1939</v>
      </c>
      <c r="B135" s="96"/>
      <c r="C135" s="112">
        <v>193630</v>
      </c>
      <c r="D135" s="112">
        <v>193630</v>
      </c>
      <c r="E135" s="96"/>
      <c r="G135" s="15" t="s">
        <v>677</v>
      </c>
      <c r="H135" s="267">
        <v>118675</v>
      </c>
      <c r="I135" s="112">
        <v>534563</v>
      </c>
      <c r="J135" s="112">
        <v>615304</v>
      </c>
      <c r="K135" s="267">
        <v>37934</v>
      </c>
    </row>
    <row r="136" spans="1:11">
      <c r="A136" s="190" t="s">
        <v>1691</v>
      </c>
      <c r="B136" s="263">
        <v>645</v>
      </c>
      <c r="C136" s="112">
        <v>656282</v>
      </c>
      <c r="D136" s="112">
        <v>714036</v>
      </c>
      <c r="E136" s="263">
        <v>58399</v>
      </c>
      <c r="G136" s="190" t="s">
        <v>678</v>
      </c>
      <c r="H136" s="263">
        <v>8174</v>
      </c>
      <c r="I136" s="112">
        <v>8174</v>
      </c>
      <c r="J136" s="95"/>
      <c r="K136" s="96"/>
    </row>
    <row r="137" spans="1:11">
      <c r="A137" s="190" t="s">
        <v>1941</v>
      </c>
      <c r="B137" s="96"/>
      <c r="C137" s="112">
        <v>3481</v>
      </c>
      <c r="D137" s="112">
        <v>3481</v>
      </c>
      <c r="E137" s="96"/>
      <c r="G137" s="190" t="s">
        <v>1816</v>
      </c>
      <c r="H137" s="267">
        <v>40105</v>
      </c>
      <c r="I137" s="112">
        <v>421864</v>
      </c>
      <c r="J137" s="112">
        <v>427656</v>
      </c>
      <c r="K137" s="267">
        <v>34313</v>
      </c>
    </row>
    <row r="138" spans="1:11">
      <c r="A138" s="15" t="s">
        <v>1942</v>
      </c>
      <c r="B138" s="96"/>
      <c r="C138" s="112">
        <v>3169162</v>
      </c>
      <c r="D138" s="112">
        <v>3169162</v>
      </c>
      <c r="E138" s="96"/>
      <c r="G138" s="15" t="s">
        <v>679</v>
      </c>
      <c r="H138" s="263">
        <v>42419</v>
      </c>
      <c r="I138" s="112">
        <v>42419</v>
      </c>
      <c r="J138" s="95"/>
      <c r="K138" s="96"/>
    </row>
    <row r="139" spans="1:11">
      <c r="A139" s="190" t="s">
        <v>1943</v>
      </c>
      <c r="B139" s="96"/>
      <c r="C139" s="112">
        <v>92269</v>
      </c>
      <c r="D139" s="112">
        <v>92269</v>
      </c>
      <c r="E139" s="96"/>
      <c r="G139" s="190" t="s">
        <v>1817</v>
      </c>
      <c r="H139" s="263">
        <v>4938</v>
      </c>
      <c r="I139" s="112">
        <v>151285</v>
      </c>
      <c r="J139" s="112">
        <v>143400</v>
      </c>
      <c r="K139" s="267">
        <v>2947</v>
      </c>
    </row>
    <row r="140" spans="1:11">
      <c r="A140" s="190" t="s">
        <v>1944</v>
      </c>
      <c r="B140" s="96"/>
      <c r="C140" s="112">
        <v>15375</v>
      </c>
      <c r="D140" s="112">
        <v>45819</v>
      </c>
      <c r="E140" s="263">
        <v>30444</v>
      </c>
      <c r="G140" s="190" t="s">
        <v>1027</v>
      </c>
      <c r="H140" s="263">
        <v>3225</v>
      </c>
      <c r="I140" s="95"/>
      <c r="J140" s="112">
        <v>6000</v>
      </c>
      <c r="K140" s="263">
        <v>9225</v>
      </c>
    </row>
    <row r="141" spans="1:11">
      <c r="A141" s="15" t="s">
        <v>1945</v>
      </c>
      <c r="B141" s="96"/>
      <c r="C141" s="112">
        <v>57250</v>
      </c>
      <c r="D141" s="112">
        <v>114578</v>
      </c>
      <c r="E141" s="263">
        <v>57328</v>
      </c>
      <c r="G141" s="15" t="s">
        <v>681</v>
      </c>
      <c r="H141" s="263">
        <v>2083</v>
      </c>
      <c r="I141" s="112">
        <v>2083</v>
      </c>
      <c r="J141" s="95"/>
      <c r="K141" s="96"/>
    </row>
    <row r="142" spans="1:11">
      <c r="A142" s="190" t="s">
        <v>1692</v>
      </c>
      <c r="B142" s="263">
        <v>10801</v>
      </c>
      <c r="C142" s="112">
        <v>129053</v>
      </c>
      <c r="D142" s="112">
        <v>140478</v>
      </c>
      <c r="E142" s="263">
        <v>22226</v>
      </c>
      <c r="G142" s="190" t="s">
        <v>1818</v>
      </c>
      <c r="H142" s="267">
        <v>55210</v>
      </c>
      <c r="I142" s="95"/>
      <c r="J142" s="112">
        <v>55210</v>
      </c>
      <c r="K142" s="96"/>
    </row>
    <row r="143" spans="1:11">
      <c r="A143" s="190" t="s">
        <v>1693</v>
      </c>
      <c r="B143" s="263">
        <v>1032.5</v>
      </c>
      <c r="C143" s="112">
        <v>438292</v>
      </c>
      <c r="D143" s="112">
        <v>430392.8</v>
      </c>
      <c r="E143" s="267">
        <v>6866.7</v>
      </c>
      <c r="G143" s="15" t="s">
        <v>1989</v>
      </c>
      <c r="H143" s="96"/>
      <c r="I143" s="112">
        <v>6000</v>
      </c>
      <c r="J143" s="112">
        <v>6000</v>
      </c>
      <c r="K143" s="96"/>
    </row>
    <row r="144" spans="1:11">
      <c r="A144" s="190" t="s">
        <v>1408</v>
      </c>
      <c r="B144" s="267">
        <v>2977</v>
      </c>
      <c r="C144" s="95"/>
      <c r="D144" s="112">
        <v>2977</v>
      </c>
      <c r="E144" s="96"/>
      <c r="G144" s="15" t="s">
        <v>1819</v>
      </c>
      <c r="H144" s="263">
        <v>1651</v>
      </c>
      <c r="I144" s="112">
        <v>17000</v>
      </c>
      <c r="J144" s="112">
        <v>15349</v>
      </c>
      <c r="K144" s="96"/>
    </row>
    <row r="145" spans="1:11">
      <c r="A145" s="190" t="s">
        <v>1946</v>
      </c>
      <c r="B145" s="96"/>
      <c r="C145" s="112">
        <v>557400</v>
      </c>
      <c r="D145" s="112">
        <v>550400</v>
      </c>
      <c r="E145" s="267">
        <v>7000</v>
      </c>
      <c r="G145" s="190" t="s">
        <v>1820</v>
      </c>
      <c r="H145" s="263">
        <v>800</v>
      </c>
      <c r="I145" s="112">
        <v>800</v>
      </c>
      <c r="J145" s="95"/>
      <c r="K145" s="96"/>
    </row>
    <row r="146" spans="1:11">
      <c r="A146" s="190" t="s">
        <v>596</v>
      </c>
      <c r="B146" s="96"/>
      <c r="C146" s="112">
        <v>11995</v>
      </c>
      <c r="D146" s="112">
        <v>23870</v>
      </c>
      <c r="E146" s="263">
        <v>11875</v>
      </c>
      <c r="G146" s="190" t="s">
        <v>1277</v>
      </c>
      <c r="H146" s="263">
        <v>13000</v>
      </c>
      <c r="I146" s="112">
        <v>13000</v>
      </c>
      <c r="J146" s="95"/>
      <c r="K146" s="96"/>
    </row>
    <row r="147" spans="1:11">
      <c r="A147" s="190" t="s">
        <v>1947</v>
      </c>
      <c r="B147" s="96"/>
      <c r="C147" s="112">
        <v>93886</v>
      </c>
      <c r="D147" s="112">
        <v>94179</v>
      </c>
      <c r="E147" s="263">
        <v>293</v>
      </c>
      <c r="G147" s="190" t="s">
        <v>695</v>
      </c>
      <c r="H147" s="96"/>
      <c r="I147" s="112">
        <v>19750</v>
      </c>
      <c r="J147" s="112">
        <v>19750</v>
      </c>
      <c r="K147" s="96"/>
    </row>
    <row r="148" spans="1:11">
      <c r="A148" s="190" t="s">
        <v>1948</v>
      </c>
      <c r="B148" s="96"/>
      <c r="C148" s="112">
        <v>119700</v>
      </c>
      <c r="D148" s="112">
        <v>119700</v>
      </c>
      <c r="E148" s="96"/>
      <c r="G148" s="190" t="s">
        <v>696</v>
      </c>
      <c r="H148" s="267">
        <v>101667</v>
      </c>
      <c r="I148" s="112">
        <v>40620</v>
      </c>
      <c r="J148" s="112">
        <v>153322</v>
      </c>
      <c r="K148" s="263">
        <v>11035</v>
      </c>
    </row>
    <row r="149" spans="1:11">
      <c r="A149" s="190" t="s">
        <v>597</v>
      </c>
      <c r="B149" s="263">
        <v>3140</v>
      </c>
      <c r="C149" s="112">
        <v>3140</v>
      </c>
      <c r="D149" s="95"/>
      <c r="E149" s="96"/>
      <c r="G149" s="190" t="s">
        <v>1822</v>
      </c>
      <c r="H149" s="267">
        <v>9250</v>
      </c>
      <c r="I149" s="112">
        <v>1450</v>
      </c>
      <c r="J149" s="112">
        <v>10700</v>
      </c>
      <c r="K149" s="96"/>
    </row>
    <row r="150" spans="1:11">
      <c r="A150" s="190" t="s">
        <v>1949</v>
      </c>
      <c r="B150" s="96"/>
      <c r="C150" s="112">
        <v>2700</v>
      </c>
      <c r="D150" s="112">
        <v>2700</v>
      </c>
      <c r="E150" s="96"/>
      <c r="G150" s="190" t="s">
        <v>1467</v>
      </c>
      <c r="H150" s="267">
        <v>1000</v>
      </c>
      <c r="I150" s="95"/>
      <c r="J150" s="112">
        <v>3090</v>
      </c>
      <c r="K150" s="263">
        <v>2090</v>
      </c>
    </row>
    <row r="151" spans="1:11">
      <c r="A151" s="15" t="s">
        <v>599</v>
      </c>
      <c r="B151" s="263">
        <v>4960</v>
      </c>
      <c r="C151" s="112">
        <v>4960</v>
      </c>
      <c r="D151" s="95"/>
      <c r="E151" s="96"/>
      <c r="G151" s="190" t="s">
        <v>1992</v>
      </c>
      <c r="H151" s="96"/>
      <c r="I151" s="95"/>
      <c r="J151" s="112">
        <v>1600</v>
      </c>
      <c r="K151" s="263">
        <v>1600</v>
      </c>
    </row>
    <row r="152" spans="1:11">
      <c r="A152" s="190" t="s">
        <v>1950</v>
      </c>
      <c r="B152" s="96"/>
      <c r="C152" s="112">
        <v>11210</v>
      </c>
      <c r="D152" s="112">
        <v>11210</v>
      </c>
      <c r="E152" s="96"/>
      <c r="G152" s="190" t="s">
        <v>697</v>
      </c>
      <c r="H152" s="267">
        <v>127518</v>
      </c>
      <c r="I152" s="112">
        <v>336525</v>
      </c>
      <c r="J152" s="112">
        <v>419028</v>
      </c>
      <c r="K152" s="267">
        <v>45015</v>
      </c>
    </row>
    <row r="153" spans="1:11">
      <c r="A153" s="190" t="s">
        <v>1951</v>
      </c>
      <c r="B153" s="96"/>
      <c r="C153" s="112">
        <v>7316</v>
      </c>
      <c r="D153" s="112">
        <v>7316</v>
      </c>
      <c r="E153" s="96"/>
      <c r="G153" s="190" t="s">
        <v>1823</v>
      </c>
      <c r="H153" s="267">
        <v>5250</v>
      </c>
      <c r="I153" s="95"/>
      <c r="J153" s="112">
        <v>5250</v>
      </c>
      <c r="K153" s="96"/>
    </row>
    <row r="154" spans="1:11">
      <c r="A154" s="190" t="s">
        <v>1952</v>
      </c>
      <c r="B154" s="96"/>
      <c r="C154" s="112">
        <v>542800</v>
      </c>
      <c r="D154" s="112">
        <v>542800</v>
      </c>
      <c r="E154" s="96"/>
      <c r="G154" s="190" t="s">
        <v>699</v>
      </c>
      <c r="H154" s="263">
        <v>3696</v>
      </c>
      <c r="I154" s="112">
        <v>3696</v>
      </c>
      <c r="J154" s="95"/>
      <c r="K154" s="96"/>
    </row>
    <row r="155" spans="1:11">
      <c r="A155" s="15" t="s">
        <v>994</v>
      </c>
      <c r="B155" s="263">
        <v>15159</v>
      </c>
      <c r="C155" s="112">
        <v>15159</v>
      </c>
      <c r="D155" s="95"/>
      <c r="E155" s="96"/>
      <c r="G155" s="15" t="s">
        <v>700</v>
      </c>
      <c r="H155" s="267">
        <v>129822</v>
      </c>
      <c r="I155" s="112">
        <v>236850</v>
      </c>
      <c r="J155" s="112">
        <v>409655</v>
      </c>
      <c r="K155" s="263">
        <v>42983</v>
      </c>
    </row>
    <row r="156" spans="1:11">
      <c r="A156" s="190" t="s">
        <v>1694</v>
      </c>
      <c r="B156" s="263">
        <v>68204</v>
      </c>
      <c r="C156" s="112">
        <v>68204</v>
      </c>
      <c r="D156" s="95"/>
      <c r="E156" s="96"/>
      <c r="G156" s="190" t="s">
        <v>1993</v>
      </c>
      <c r="H156" s="96"/>
      <c r="I156" s="95"/>
      <c r="J156" s="112">
        <v>3800</v>
      </c>
      <c r="K156" s="263">
        <v>3800</v>
      </c>
    </row>
    <row r="157" spans="1:11">
      <c r="A157" s="190" t="s">
        <v>1411</v>
      </c>
      <c r="B157" s="267">
        <v>22633</v>
      </c>
      <c r="C157" s="95"/>
      <c r="D157" s="112">
        <v>22633</v>
      </c>
      <c r="E157" s="96"/>
      <c r="G157" s="190" t="s">
        <v>1275</v>
      </c>
      <c r="H157" s="263">
        <v>5500</v>
      </c>
      <c r="I157" s="112">
        <v>5500</v>
      </c>
      <c r="J157" s="95"/>
      <c r="K157" s="96"/>
    </row>
    <row r="158" spans="1:11">
      <c r="A158" s="190" t="s">
        <v>1695</v>
      </c>
      <c r="B158" s="263">
        <v>1</v>
      </c>
      <c r="C158" s="112">
        <v>1</v>
      </c>
      <c r="D158" s="95"/>
      <c r="E158" s="96"/>
      <c r="G158" s="190" t="s">
        <v>1461</v>
      </c>
      <c r="H158" s="263">
        <v>147</v>
      </c>
      <c r="I158" s="112">
        <v>147</v>
      </c>
      <c r="J158" s="95"/>
      <c r="K158" s="96"/>
    </row>
    <row r="159" spans="1:11">
      <c r="A159" s="190" t="s">
        <v>1954</v>
      </c>
      <c r="B159" s="96"/>
      <c r="C159" s="112">
        <v>14274</v>
      </c>
      <c r="D159" s="112">
        <v>23134</v>
      </c>
      <c r="E159" s="263">
        <v>8860</v>
      </c>
      <c r="G159" s="248" t="s">
        <v>1274</v>
      </c>
      <c r="H159" s="268">
        <v>403963</v>
      </c>
      <c r="I159" s="93">
        <v>5362875</v>
      </c>
      <c r="J159" s="93">
        <v>5179309</v>
      </c>
      <c r="K159" s="268">
        <v>220397</v>
      </c>
    </row>
    <row r="160" spans="1:11">
      <c r="A160" s="190" t="s">
        <v>1696</v>
      </c>
      <c r="B160" s="263">
        <v>0.6</v>
      </c>
      <c r="C160" s="112">
        <v>68000</v>
      </c>
      <c r="D160" s="112">
        <v>67999.399999999994</v>
      </c>
      <c r="E160" s="96"/>
      <c r="G160" s="15" t="s">
        <v>1824</v>
      </c>
      <c r="H160" s="96"/>
      <c r="I160" s="112">
        <v>418000</v>
      </c>
      <c r="J160" s="112">
        <v>418000</v>
      </c>
      <c r="K160" s="96"/>
    </row>
    <row r="161" spans="1:11">
      <c r="A161" s="190" t="s">
        <v>1412</v>
      </c>
      <c r="B161" s="96"/>
      <c r="C161" s="112">
        <v>285560</v>
      </c>
      <c r="D161" s="112">
        <v>285560</v>
      </c>
      <c r="E161" s="96"/>
      <c r="G161" s="15" t="s">
        <v>1995</v>
      </c>
      <c r="H161" s="96"/>
      <c r="I161" s="112">
        <v>37500</v>
      </c>
      <c r="J161" s="112">
        <v>37500</v>
      </c>
      <c r="K161" s="96"/>
    </row>
    <row r="162" spans="1:11">
      <c r="A162" s="190" t="s">
        <v>1697</v>
      </c>
      <c r="B162" s="263">
        <v>6</v>
      </c>
      <c r="C162" s="112">
        <v>6</v>
      </c>
      <c r="D162" s="95"/>
      <c r="E162" s="96"/>
      <c r="G162" s="190" t="s">
        <v>1825</v>
      </c>
      <c r="H162" s="263">
        <v>15462</v>
      </c>
      <c r="I162" s="112">
        <v>15462</v>
      </c>
      <c r="J162" s="95"/>
      <c r="K162" s="96"/>
    </row>
    <row r="163" spans="1:11">
      <c r="A163" s="190" t="s">
        <v>1955</v>
      </c>
      <c r="B163" s="96"/>
      <c r="C163" s="112">
        <v>428310</v>
      </c>
      <c r="D163" s="112">
        <v>428310</v>
      </c>
      <c r="E163" s="96"/>
      <c r="G163" s="15" t="s">
        <v>1826</v>
      </c>
      <c r="H163" s="96"/>
      <c r="I163" s="112">
        <v>8600</v>
      </c>
      <c r="J163" s="112">
        <v>8600</v>
      </c>
      <c r="K163" s="96"/>
    </row>
    <row r="164" spans="1:11">
      <c r="A164" s="191" t="s">
        <v>1956</v>
      </c>
      <c r="B164" s="96"/>
      <c r="C164" s="112">
        <v>8024</v>
      </c>
      <c r="D164" s="112">
        <v>8024</v>
      </c>
      <c r="E164" s="96"/>
      <c r="G164" s="190" t="s">
        <v>1999</v>
      </c>
      <c r="H164" s="96"/>
      <c r="I164" s="112">
        <v>292000</v>
      </c>
      <c r="J164" s="112">
        <v>292000</v>
      </c>
      <c r="K164" s="96"/>
    </row>
    <row r="165" spans="1:11">
      <c r="A165" s="190" t="s">
        <v>1413</v>
      </c>
      <c r="B165" s="263">
        <v>1</v>
      </c>
      <c r="C165" s="112">
        <v>91981</v>
      </c>
      <c r="D165" s="112">
        <v>103191</v>
      </c>
      <c r="E165" s="263">
        <v>11211</v>
      </c>
      <c r="G165" s="15" t="s">
        <v>2000</v>
      </c>
      <c r="H165" s="96"/>
      <c r="I165" s="112">
        <v>21000</v>
      </c>
      <c r="J165" s="112">
        <v>21000</v>
      </c>
      <c r="K165" s="96"/>
    </row>
    <row r="166" spans="1:11">
      <c r="A166" s="190" t="s">
        <v>1957</v>
      </c>
      <c r="B166" s="96"/>
      <c r="C166" s="112">
        <v>907185</v>
      </c>
      <c r="D166" s="112">
        <v>907185</v>
      </c>
      <c r="E166" s="96"/>
      <c r="G166" s="190" t="s">
        <v>1471</v>
      </c>
      <c r="H166" s="263">
        <v>685</v>
      </c>
      <c r="I166" s="112">
        <v>685</v>
      </c>
      <c r="J166" s="95"/>
      <c r="K166" s="96"/>
    </row>
    <row r="167" spans="1:11">
      <c r="A167" s="190" t="s">
        <v>1958</v>
      </c>
      <c r="B167" s="96"/>
      <c r="C167" s="112">
        <v>66965</v>
      </c>
      <c r="D167" s="112">
        <v>66965</v>
      </c>
      <c r="E167" s="96"/>
      <c r="G167" s="190" t="s">
        <v>709</v>
      </c>
      <c r="H167" s="263">
        <v>31224</v>
      </c>
      <c r="I167" s="95"/>
      <c r="J167" s="112">
        <v>21000</v>
      </c>
      <c r="K167" s="263">
        <v>52224</v>
      </c>
    </row>
    <row r="168" spans="1:11">
      <c r="A168" s="190" t="s">
        <v>605</v>
      </c>
      <c r="B168" s="267">
        <v>612518</v>
      </c>
      <c r="C168" s="95"/>
      <c r="D168" s="95"/>
      <c r="E168" s="267">
        <v>612518</v>
      </c>
      <c r="G168" s="190" t="s">
        <v>2001</v>
      </c>
      <c r="H168" s="96"/>
      <c r="I168" s="112">
        <v>36000</v>
      </c>
      <c r="J168" s="112">
        <v>36000</v>
      </c>
      <c r="K168" s="96"/>
    </row>
    <row r="169" spans="1:11">
      <c r="A169" s="190" t="s">
        <v>1970</v>
      </c>
      <c r="B169" s="96"/>
      <c r="C169" s="112">
        <v>14750</v>
      </c>
      <c r="D169" s="112">
        <v>14750</v>
      </c>
      <c r="E169" s="96"/>
      <c r="G169" s="15" t="s">
        <v>1827</v>
      </c>
      <c r="H169" s="96"/>
      <c r="I169" s="112">
        <v>14100</v>
      </c>
      <c r="J169" s="112">
        <v>14100</v>
      </c>
      <c r="K169" s="96"/>
    </row>
    <row r="170" spans="1:11">
      <c r="A170" s="190" t="s">
        <v>1960</v>
      </c>
      <c r="B170" s="96"/>
      <c r="C170" s="112">
        <v>39490</v>
      </c>
      <c r="D170" s="112">
        <v>39490</v>
      </c>
      <c r="E170" s="96"/>
      <c r="G170" s="15" t="s">
        <v>1474</v>
      </c>
      <c r="H170" s="263">
        <v>7500</v>
      </c>
      <c r="I170" s="112">
        <v>7500</v>
      </c>
      <c r="J170" s="95"/>
      <c r="K170" s="96"/>
    </row>
    <row r="171" spans="1:11">
      <c r="A171" s="190" t="s">
        <v>1961</v>
      </c>
      <c r="B171" s="96"/>
      <c r="C171" s="112">
        <v>11526.85</v>
      </c>
      <c r="D171" s="112">
        <v>12388</v>
      </c>
      <c r="E171" s="263">
        <v>861.15</v>
      </c>
      <c r="G171" s="190" t="s">
        <v>2002</v>
      </c>
      <c r="H171" s="263">
        <v>105850</v>
      </c>
      <c r="I171" s="112">
        <v>897160</v>
      </c>
      <c r="J171" s="112">
        <v>836510</v>
      </c>
      <c r="K171" s="263">
        <v>45200</v>
      </c>
    </row>
    <row r="172" spans="1:11">
      <c r="A172" s="191" t="s">
        <v>606</v>
      </c>
      <c r="B172" s="263">
        <v>92098</v>
      </c>
      <c r="C172" s="112">
        <v>291074</v>
      </c>
      <c r="D172" s="112">
        <v>350387</v>
      </c>
      <c r="E172" s="263">
        <v>151411</v>
      </c>
      <c r="G172" s="15" t="s">
        <v>1828</v>
      </c>
      <c r="H172" s="263">
        <v>64400</v>
      </c>
      <c r="I172" s="112">
        <v>64400</v>
      </c>
      <c r="J172" s="95"/>
      <c r="K172" s="96"/>
    </row>
    <row r="173" spans="1:11">
      <c r="A173" s="17" t="s">
        <v>1698</v>
      </c>
      <c r="B173" s="267">
        <v>396</v>
      </c>
      <c r="C173" s="95"/>
      <c r="D173" s="112">
        <v>396</v>
      </c>
      <c r="E173" s="96"/>
      <c r="G173" s="190" t="s">
        <v>1829</v>
      </c>
      <c r="H173" s="263">
        <v>14300</v>
      </c>
      <c r="I173" s="112">
        <v>14300</v>
      </c>
      <c r="J173" s="95"/>
      <c r="K173" s="96"/>
    </row>
    <row r="174" spans="1:11">
      <c r="A174" s="15" t="s">
        <v>1962</v>
      </c>
      <c r="B174" s="96"/>
      <c r="C174" s="112">
        <v>229914</v>
      </c>
      <c r="D174" s="112">
        <v>229914</v>
      </c>
      <c r="E174" s="96"/>
      <c r="G174" s="190" t="s">
        <v>1830</v>
      </c>
      <c r="H174" s="96"/>
      <c r="I174" s="112">
        <v>205500</v>
      </c>
      <c r="J174" s="112">
        <v>205500</v>
      </c>
      <c r="K174" s="96"/>
    </row>
    <row r="175" spans="1:11">
      <c r="A175" s="15" t="s">
        <v>1963</v>
      </c>
      <c r="B175" s="96"/>
      <c r="C175" s="112">
        <v>77078</v>
      </c>
      <c r="D175" s="112">
        <v>77078</v>
      </c>
      <c r="E175" s="96"/>
      <c r="G175" s="15" t="s">
        <v>711</v>
      </c>
      <c r="H175" s="263">
        <v>10324</v>
      </c>
      <c r="I175" s="112">
        <v>10324</v>
      </c>
      <c r="J175" s="95"/>
      <c r="K175" s="96"/>
    </row>
    <row r="176" spans="1:11">
      <c r="A176" s="190" t="s">
        <v>1699</v>
      </c>
      <c r="B176" s="263">
        <v>649</v>
      </c>
      <c r="C176" s="112">
        <v>649</v>
      </c>
      <c r="D176" s="95"/>
      <c r="E176" s="96"/>
      <c r="G176" s="190" t="s">
        <v>1831</v>
      </c>
      <c r="H176" s="263">
        <v>978</v>
      </c>
      <c r="I176" s="112">
        <v>59500</v>
      </c>
      <c r="J176" s="112">
        <v>63763</v>
      </c>
      <c r="K176" s="263">
        <v>5241</v>
      </c>
    </row>
    <row r="177" spans="1:11">
      <c r="A177" s="190" t="s">
        <v>1964</v>
      </c>
      <c r="B177" s="96"/>
      <c r="C177" s="95"/>
      <c r="D177" s="112">
        <v>12390</v>
      </c>
      <c r="E177" s="263">
        <v>12390</v>
      </c>
      <c r="G177" s="15" t="s">
        <v>2003</v>
      </c>
      <c r="H177" s="96"/>
      <c r="I177" s="112">
        <v>76300</v>
      </c>
      <c r="J177" s="112">
        <v>76300</v>
      </c>
      <c r="K177" s="96"/>
    </row>
    <row r="178" spans="1:11">
      <c r="A178" s="190" t="s">
        <v>1965</v>
      </c>
      <c r="B178" s="96"/>
      <c r="C178" s="112">
        <v>41300</v>
      </c>
      <c r="D178" s="112">
        <v>41300</v>
      </c>
      <c r="E178" s="96"/>
      <c r="G178" s="15" t="s">
        <v>2008</v>
      </c>
      <c r="H178" s="96"/>
      <c r="I178" s="112">
        <v>132000</v>
      </c>
      <c r="J178" s="112">
        <v>132000</v>
      </c>
      <c r="K178" s="96"/>
    </row>
    <row r="179" spans="1:11">
      <c r="A179" s="15" t="s">
        <v>1966</v>
      </c>
      <c r="B179" s="96"/>
      <c r="C179" s="112">
        <v>593589</v>
      </c>
      <c r="D179" s="112">
        <v>609075</v>
      </c>
      <c r="E179" s="263">
        <v>15486</v>
      </c>
      <c r="G179" s="15" t="s">
        <v>1832</v>
      </c>
      <c r="H179" s="96"/>
      <c r="I179" s="112">
        <v>36000</v>
      </c>
      <c r="J179" s="112">
        <v>36000</v>
      </c>
      <c r="K179" s="96"/>
    </row>
    <row r="180" spans="1:11">
      <c r="A180" s="190" t="s">
        <v>1967</v>
      </c>
      <c r="B180" s="96"/>
      <c r="C180" s="112">
        <v>17500</v>
      </c>
      <c r="D180" s="112">
        <v>17500</v>
      </c>
      <c r="E180" s="96"/>
      <c r="G180" s="190" t="s">
        <v>1271</v>
      </c>
      <c r="H180" s="263">
        <v>33800</v>
      </c>
      <c r="I180" s="112">
        <v>33800</v>
      </c>
      <c r="J180" s="95"/>
      <c r="K180" s="96"/>
    </row>
    <row r="181" spans="1:11">
      <c r="A181" s="15" t="s">
        <v>1968</v>
      </c>
      <c r="B181" s="96"/>
      <c r="C181" s="112">
        <v>1136610</v>
      </c>
      <c r="D181" s="112">
        <v>1225979.8</v>
      </c>
      <c r="E181" s="263">
        <v>89369.8</v>
      </c>
      <c r="G181" s="190" t="s">
        <v>1833</v>
      </c>
      <c r="H181" s="263">
        <v>29000</v>
      </c>
      <c r="I181" s="112">
        <v>50500</v>
      </c>
      <c r="J181" s="112">
        <v>21500</v>
      </c>
      <c r="K181" s="96"/>
    </row>
    <row r="182" spans="1:11">
      <c r="A182" s="190" t="s">
        <v>608</v>
      </c>
      <c r="B182" s="96"/>
      <c r="C182" s="112">
        <v>54138</v>
      </c>
      <c r="D182" s="112">
        <v>54138</v>
      </c>
      <c r="E182" s="96"/>
      <c r="G182" s="190" t="s">
        <v>1834</v>
      </c>
      <c r="H182" s="263">
        <v>4300</v>
      </c>
      <c r="I182" s="112">
        <v>991304</v>
      </c>
      <c r="J182" s="112">
        <v>991046</v>
      </c>
      <c r="K182" s="263">
        <v>4042</v>
      </c>
    </row>
    <row r="183" spans="1:11">
      <c r="A183" s="190" t="s">
        <v>609</v>
      </c>
      <c r="B183" s="96"/>
      <c r="C183" s="112">
        <v>1227</v>
      </c>
      <c r="D183" s="112">
        <v>1227</v>
      </c>
      <c r="E183" s="96"/>
      <c r="G183" s="190" t="s">
        <v>1835</v>
      </c>
      <c r="H183" s="96"/>
      <c r="I183" s="112">
        <v>244000</v>
      </c>
      <c r="J183" s="112">
        <v>244000</v>
      </c>
      <c r="K183" s="96"/>
    </row>
    <row r="184" spans="1:11">
      <c r="A184" s="248" t="s">
        <v>1284</v>
      </c>
      <c r="B184" s="267">
        <v>175048.27</v>
      </c>
      <c r="C184" s="104">
        <v>38798553.600000001</v>
      </c>
      <c r="D184" s="104">
        <v>36931067</v>
      </c>
      <c r="E184" s="267">
        <v>2042534.87</v>
      </c>
      <c r="G184" s="190" t="s">
        <v>2004</v>
      </c>
      <c r="H184" s="96"/>
      <c r="I184" s="112">
        <v>18000</v>
      </c>
      <c r="J184" s="112">
        <v>18000</v>
      </c>
      <c r="K184" s="96"/>
    </row>
    <row r="185" spans="1:11">
      <c r="A185" s="248" t="s">
        <v>1274</v>
      </c>
      <c r="B185" s="268">
        <v>1682513.45</v>
      </c>
      <c r="C185" s="93">
        <v>8307792.25</v>
      </c>
      <c r="D185" s="93">
        <v>8741503.1999999993</v>
      </c>
      <c r="E185" s="268">
        <v>2116224.4</v>
      </c>
      <c r="G185" s="190" t="s">
        <v>2009</v>
      </c>
      <c r="H185" s="96"/>
      <c r="I185" s="112">
        <v>18000</v>
      </c>
      <c r="J185" s="112">
        <v>18000</v>
      </c>
      <c r="K185" s="96"/>
    </row>
    <row r="186" spans="1:11">
      <c r="A186" s="190" t="s">
        <v>1468</v>
      </c>
      <c r="B186" s="267">
        <v>1</v>
      </c>
      <c r="C186" s="95"/>
      <c r="D186" s="112">
        <v>1</v>
      </c>
      <c r="E186" s="96"/>
      <c r="G186" s="190" t="s">
        <v>1837</v>
      </c>
      <c r="H186" s="96"/>
      <c r="I186" s="112">
        <v>514500</v>
      </c>
      <c r="J186" s="112">
        <v>514500</v>
      </c>
      <c r="K186" s="96"/>
    </row>
    <row r="187" spans="1:11">
      <c r="A187" s="190" t="s">
        <v>1469</v>
      </c>
      <c r="B187" s="263">
        <v>10962</v>
      </c>
      <c r="C187" s="112">
        <v>10962</v>
      </c>
      <c r="D187" s="95"/>
      <c r="E187" s="96"/>
      <c r="G187" s="15" t="s">
        <v>718</v>
      </c>
      <c r="H187" s="263">
        <v>37500</v>
      </c>
      <c r="I187" s="112">
        <v>37500</v>
      </c>
      <c r="J187" s="95"/>
      <c r="K187" s="96"/>
    </row>
    <row r="188" spans="1:11">
      <c r="A188" s="190" t="s">
        <v>1482</v>
      </c>
      <c r="B188" s="263">
        <v>1500</v>
      </c>
      <c r="C188" s="112">
        <v>1500</v>
      </c>
      <c r="D188" s="95"/>
      <c r="E188" s="96"/>
      <c r="G188" s="190" t="s">
        <v>2010</v>
      </c>
      <c r="H188" s="96"/>
      <c r="I188" s="112">
        <v>76500</v>
      </c>
      <c r="J188" s="112">
        <v>76500</v>
      </c>
      <c r="K188" s="96"/>
    </row>
    <row r="189" spans="1:11">
      <c r="A189" s="190" t="s">
        <v>1273</v>
      </c>
      <c r="B189" s="263">
        <v>28985</v>
      </c>
      <c r="C189" s="112">
        <v>28985</v>
      </c>
      <c r="D189" s="95"/>
      <c r="E189" s="96"/>
      <c r="G189" s="190" t="s">
        <v>1270</v>
      </c>
      <c r="H189" s="263">
        <v>20000</v>
      </c>
      <c r="I189" s="112">
        <v>878400</v>
      </c>
      <c r="J189" s="112">
        <v>966590</v>
      </c>
      <c r="K189" s="263">
        <v>108190</v>
      </c>
    </row>
    <row r="190" spans="1:11">
      <c r="A190" s="190" t="s">
        <v>704</v>
      </c>
      <c r="B190" s="263">
        <v>761986</v>
      </c>
      <c r="C190" s="112">
        <v>761986</v>
      </c>
      <c r="D190" s="95"/>
      <c r="E190" s="96"/>
      <c r="G190" s="15" t="s">
        <v>2105</v>
      </c>
      <c r="H190" s="96"/>
      <c r="I190" s="112">
        <v>125400</v>
      </c>
      <c r="J190" s="112">
        <v>125400</v>
      </c>
      <c r="K190" s="96"/>
    </row>
    <row r="191" spans="1:11">
      <c r="A191" s="190" t="s">
        <v>1996</v>
      </c>
      <c r="B191" s="96"/>
      <c r="C191" s="112">
        <v>842285</v>
      </c>
      <c r="D191" s="112">
        <v>931455</v>
      </c>
      <c r="E191" s="263">
        <v>89170</v>
      </c>
      <c r="G191" s="190" t="s">
        <v>720</v>
      </c>
      <c r="H191" s="263">
        <v>27040</v>
      </c>
      <c r="I191" s="112">
        <v>27040</v>
      </c>
      <c r="J191" s="95"/>
      <c r="K191" s="96"/>
    </row>
    <row r="192" spans="1:11">
      <c r="A192" s="190" t="s">
        <v>1997</v>
      </c>
      <c r="B192" s="96"/>
      <c r="C192" s="112">
        <v>100000</v>
      </c>
      <c r="D192" s="112">
        <v>100000</v>
      </c>
      <c r="E192" s="96"/>
      <c r="G192" s="190" t="s">
        <v>721</v>
      </c>
      <c r="H192" s="96"/>
      <c r="I192" s="95"/>
      <c r="J192" s="112">
        <v>5500</v>
      </c>
      <c r="K192" s="263">
        <v>5500</v>
      </c>
    </row>
    <row r="193" spans="1:11">
      <c r="A193" s="190" t="s">
        <v>1470</v>
      </c>
      <c r="B193" s="263">
        <v>63635</v>
      </c>
      <c r="C193" s="112">
        <v>63635</v>
      </c>
      <c r="D193" s="95"/>
      <c r="E193" s="96"/>
      <c r="G193" s="190" t="s">
        <v>1838</v>
      </c>
      <c r="H193" s="263">
        <v>1600</v>
      </c>
      <c r="I193" s="112">
        <v>1600</v>
      </c>
      <c r="J193" s="95"/>
      <c r="K193" s="96"/>
    </row>
    <row r="194" spans="1:11">
      <c r="A194" s="17" t="s">
        <v>1716</v>
      </c>
      <c r="B194" s="263">
        <v>75544</v>
      </c>
      <c r="C194" s="112">
        <v>75544</v>
      </c>
      <c r="D194" s="95"/>
      <c r="E194" s="96"/>
      <c r="G194" s="1" t="s">
        <v>39</v>
      </c>
      <c r="H194" s="270">
        <v>57034</v>
      </c>
      <c r="I194" s="108"/>
      <c r="J194" s="108"/>
      <c r="K194" s="270">
        <v>57034</v>
      </c>
    </row>
    <row r="195" spans="1:11">
      <c r="A195" s="190" t="s">
        <v>1998</v>
      </c>
      <c r="B195" s="96"/>
      <c r="C195" s="112">
        <v>390280</v>
      </c>
      <c r="D195" s="112">
        <v>1059345</v>
      </c>
      <c r="E195" s="263">
        <v>669065</v>
      </c>
      <c r="G195" s="13" t="s">
        <v>1266</v>
      </c>
      <c r="H195" s="267">
        <v>57034</v>
      </c>
      <c r="I195" s="95"/>
      <c r="J195" s="95"/>
      <c r="K195" s="267">
        <v>57034</v>
      </c>
    </row>
    <row r="196" spans="1:11">
      <c r="A196" s="190" t="s">
        <v>707</v>
      </c>
      <c r="B196" s="263">
        <v>410109.2</v>
      </c>
      <c r="C196" s="112">
        <v>800000</v>
      </c>
      <c r="D196" s="112">
        <v>683531</v>
      </c>
      <c r="E196" s="263">
        <v>293640.2</v>
      </c>
      <c r="G196" s="1" t="s">
        <v>96</v>
      </c>
      <c r="H196" s="270">
        <v>25000</v>
      </c>
      <c r="I196" s="108"/>
      <c r="J196" s="108"/>
      <c r="K196" s="270">
        <v>25000</v>
      </c>
    </row>
    <row r="197" spans="1:11">
      <c r="A197" s="190" t="s">
        <v>1717</v>
      </c>
      <c r="B197" s="263">
        <v>175702</v>
      </c>
      <c r="C197" s="112">
        <v>2567968</v>
      </c>
      <c r="D197" s="112">
        <v>3366215.2</v>
      </c>
      <c r="E197" s="263">
        <v>973949.2</v>
      </c>
      <c r="G197" s="14" t="s">
        <v>97</v>
      </c>
      <c r="H197" s="271">
        <v>25000</v>
      </c>
      <c r="I197" s="111"/>
      <c r="J197" s="111"/>
      <c r="K197" s="271">
        <v>25000</v>
      </c>
    </row>
    <row r="198" spans="1:11">
      <c r="A198" s="190" t="s">
        <v>1718</v>
      </c>
      <c r="B198" s="263">
        <v>87475</v>
      </c>
      <c r="C198" s="112">
        <v>1796111</v>
      </c>
      <c r="D198" s="112">
        <v>1708636</v>
      </c>
      <c r="E198" s="96"/>
      <c r="G198" s="15" t="s">
        <v>141</v>
      </c>
      <c r="H198" s="198">
        <v>25000</v>
      </c>
      <c r="I198" s="96"/>
      <c r="J198" s="96"/>
      <c r="K198" s="198">
        <v>25000</v>
      </c>
    </row>
    <row r="199" spans="1:11">
      <c r="A199" s="190" t="s">
        <v>1472</v>
      </c>
      <c r="B199" s="263">
        <v>13</v>
      </c>
      <c r="C199" s="112">
        <v>13</v>
      </c>
      <c r="D199" s="95"/>
      <c r="E199" s="96"/>
      <c r="G199" s="1" t="s">
        <v>100</v>
      </c>
      <c r="H199" s="264">
        <v>202265605.84999999</v>
      </c>
      <c r="I199" s="93">
        <v>31297520.800000001</v>
      </c>
      <c r="J199" s="93">
        <v>62704629</v>
      </c>
      <c r="K199" s="264">
        <v>233672714.05000001</v>
      </c>
    </row>
    <row r="200" spans="1:11">
      <c r="A200" s="15" t="s">
        <v>1473</v>
      </c>
      <c r="B200" s="263">
        <v>4635</v>
      </c>
      <c r="C200" s="112">
        <v>4635</v>
      </c>
      <c r="D200" s="95"/>
      <c r="E200" s="96"/>
      <c r="G200" s="13" t="s">
        <v>823</v>
      </c>
      <c r="H200" s="263">
        <v>2</v>
      </c>
      <c r="I200" s="95"/>
      <c r="J200" s="95"/>
      <c r="K200" s="263">
        <v>2</v>
      </c>
    </row>
    <row r="201" spans="1:11">
      <c r="A201" s="190" t="s">
        <v>1477</v>
      </c>
      <c r="B201" s="267">
        <v>355</v>
      </c>
      <c r="C201" s="95"/>
      <c r="D201" s="112">
        <v>355</v>
      </c>
      <c r="E201" s="96"/>
      <c r="G201" s="13" t="s">
        <v>1503</v>
      </c>
      <c r="H201" s="267">
        <v>13064</v>
      </c>
      <c r="I201" s="112">
        <v>37600</v>
      </c>
      <c r="J201" s="112">
        <v>50664</v>
      </c>
      <c r="K201" s="96"/>
    </row>
    <row r="202" spans="1:11">
      <c r="A202" s="190" t="s">
        <v>1479</v>
      </c>
      <c r="B202" s="263">
        <v>4000</v>
      </c>
      <c r="C202" s="112">
        <v>4000</v>
      </c>
      <c r="D202" s="95"/>
      <c r="E202" s="96"/>
      <c r="G202" s="13" t="s">
        <v>1839</v>
      </c>
      <c r="H202" s="267">
        <v>41401</v>
      </c>
      <c r="I202" s="112">
        <v>14809872.5</v>
      </c>
      <c r="J202" s="112">
        <v>14809337.5</v>
      </c>
      <c r="K202" s="267">
        <v>41936</v>
      </c>
    </row>
    <row r="203" spans="1:11">
      <c r="A203" s="190" t="s">
        <v>1480</v>
      </c>
      <c r="B203" s="263">
        <v>3428</v>
      </c>
      <c r="C203" s="112">
        <v>3428</v>
      </c>
      <c r="D203" s="95"/>
      <c r="E203" s="96"/>
      <c r="G203" s="13" t="s">
        <v>826</v>
      </c>
      <c r="H203" s="267">
        <v>115961.4</v>
      </c>
      <c r="I203" s="112">
        <v>3321590</v>
      </c>
      <c r="J203" s="112">
        <v>3437551.4</v>
      </c>
      <c r="K203" s="96"/>
    </row>
    <row r="204" spans="1:11">
      <c r="A204" s="190" t="s">
        <v>715</v>
      </c>
      <c r="B204" s="263">
        <v>39948</v>
      </c>
      <c r="C204" s="112">
        <v>39948</v>
      </c>
      <c r="D204" s="95"/>
      <c r="E204" s="96"/>
      <c r="G204" s="13" t="s">
        <v>1505</v>
      </c>
      <c r="H204" s="267">
        <v>5875</v>
      </c>
      <c r="I204" s="95"/>
      <c r="J204" s="95"/>
      <c r="K204" s="267">
        <v>5875</v>
      </c>
    </row>
    <row r="205" spans="1:11">
      <c r="A205" s="191" t="s">
        <v>2005</v>
      </c>
      <c r="B205" s="96"/>
      <c r="C205" s="112">
        <v>36781</v>
      </c>
      <c r="D205" s="112">
        <v>36781</v>
      </c>
      <c r="E205" s="96"/>
      <c r="G205" s="13" t="s">
        <v>833</v>
      </c>
      <c r="H205" s="267">
        <v>6924</v>
      </c>
      <c r="I205" s="95"/>
      <c r="J205" s="95"/>
      <c r="K205" s="267">
        <v>6924</v>
      </c>
    </row>
    <row r="206" spans="1:11">
      <c r="A206" s="190" t="s">
        <v>2006</v>
      </c>
      <c r="B206" s="96"/>
      <c r="C206" s="112">
        <v>464784</v>
      </c>
      <c r="D206" s="112">
        <v>464784</v>
      </c>
      <c r="E206" s="96"/>
      <c r="G206" s="13" t="s">
        <v>1506</v>
      </c>
      <c r="H206" s="263">
        <v>41010</v>
      </c>
      <c r="I206" s="95"/>
      <c r="J206" s="95"/>
      <c r="K206" s="263">
        <v>41010</v>
      </c>
    </row>
    <row r="207" spans="1:11">
      <c r="A207" s="190" t="s">
        <v>2007</v>
      </c>
      <c r="B207" s="96"/>
      <c r="C207" s="112">
        <v>300000</v>
      </c>
      <c r="D207" s="112">
        <v>390400</v>
      </c>
      <c r="E207" s="263">
        <v>90400</v>
      </c>
      <c r="G207" s="13" t="s">
        <v>1511</v>
      </c>
      <c r="H207" s="267">
        <v>3184</v>
      </c>
      <c r="I207" s="112">
        <v>6897</v>
      </c>
      <c r="J207" s="112">
        <v>10081</v>
      </c>
      <c r="K207" s="96"/>
    </row>
    <row r="208" spans="1:11">
      <c r="A208" s="15" t="s">
        <v>1269</v>
      </c>
      <c r="B208" s="263">
        <v>1.25</v>
      </c>
      <c r="C208" s="112">
        <v>1.25</v>
      </c>
      <c r="D208" s="95"/>
      <c r="E208" s="96"/>
      <c r="G208" s="13" t="s">
        <v>2046</v>
      </c>
      <c r="H208" s="96"/>
      <c r="I208" s="112">
        <v>1231453</v>
      </c>
      <c r="J208" s="112">
        <v>1229642</v>
      </c>
      <c r="K208" s="267">
        <v>1811</v>
      </c>
    </row>
    <row r="209" spans="1:11">
      <c r="A209" s="190" t="s">
        <v>1481</v>
      </c>
      <c r="B209" s="263">
        <v>14946</v>
      </c>
      <c r="C209" s="112">
        <v>14946</v>
      </c>
      <c r="D209" s="95"/>
      <c r="E209" s="96"/>
      <c r="G209" s="13" t="s">
        <v>1840</v>
      </c>
      <c r="H209" s="267">
        <v>59732</v>
      </c>
      <c r="I209" s="112">
        <v>385074</v>
      </c>
      <c r="J209" s="112">
        <v>444806</v>
      </c>
      <c r="K209" s="96"/>
    </row>
    <row r="210" spans="1:11">
      <c r="A210" s="248" t="s">
        <v>2107</v>
      </c>
      <c r="B210" s="108"/>
      <c r="C210" s="93">
        <v>272063</v>
      </c>
      <c r="D210" s="93">
        <v>272063</v>
      </c>
      <c r="E210" s="108"/>
      <c r="G210" s="13" t="s">
        <v>1841</v>
      </c>
      <c r="H210" s="267">
        <v>138542</v>
      </c>
      <c r="I210" s="112">
        <v>9219605.3000000007</v>
      </c>
      <c r="J210" s="112">
        <v>9334779.3000000007</v>
      </c>
      <c r="K210" s="267">
        <v>23368</v>
      </c>
    </row>
    <row r="211" spans="1:11">
      <c r="A211" s="190" t="s">
        <v>2012</v>
      </c>
      <c r="B211" s="96"/>
      <c r="C211" s="112">
        <v>272063</v>
      </c>
      <c r="D211" s="112">
        <v>272063</v>
      </c>
      <c r="E211" s="96"/>
      <c r="G211" s="13" t="s">
        <v>1516</v>
      </c>
      <c r="H211" s="263">
        <v>60</v>
      </c>
      <c r="I211" s="112">
        <v>11540</v>
      </c>
      <c r="J211" s="112">
        <v>11540</v>
      </c>
      <c r="K211" s="263">
        <v>60</v>
      </c>
    </row>
    <row r="212" spans="1:11">
      <c r="A212" s="13" t="s">
        <v>2013</v>
      </c>
      <c r="B212" s="263">
        <v>412000</v>
      </c>
      <c r="C212" s="112">
        <v>412000</v>
      </c>
      <c r="D212" s="95"/>
      <c r="E212" s="96"/>
      <c r="G212" s="13" t="s">
        <v>1234</v>
      </c>
      <c r="H212" s="267">
        <v>3752</v>
      </c>
      <c r="I212" s="95"/>
      <c r="J212" s="95"/>
      <c r="K212" s="267">
        <v>3752</v>
      </c>
    </row>
    <row r="213" spans="1:11">
      <c r="A213" s="13" t="s">
        <v>1177</v>
      </c>
      <c r="B213" s="96"/>
      <c r="C213" s="112">
        <v>5360595</v>
      </c>
      <c r="D213" s="112">
        <v>5360595</v>
      </c>
      <c r="E213" s="96"/>
      <c r="G213" s="13" t="s">
        <v>2050</v>
      </c>
      <c r="H213" s="96"/>
      <c r="I213" s="112">
        <v>1902885</v>
      </c>
      <c r="J213" s="112">
        <v>1902885</v>
      </c>
      <c r="K213" s="96"/>
    </row>
    <row r="214" spans="1:11">
      <c r="A214" s="13" t="s">
        <v>2014</v>
      </c>
      <c r="B214" s="96"/>
      <c r="C214" s="112">
        <v>1101885</v>
      </c>
      <c r="D214" s="112">
        <v>1101885</v>
      </c>
      <c r="E214" s="96"/>
      <c r="G214" s="13" t="s">
        <v>1517</v>
      </c>
      <c r="H214" s="267">
        <v>40392</v>
      </c>
      <c r="I214" s="112">
        <v>281988</v>
      </c>
      <c r="J214" s="112">
        <v>292608</v>
      </c>
      <c r="K214" s="267">
        <v>29772</v>
      </c>
    </row>
    <row r="215" spans="1:11">
      <c r="A215" s="13" t="s">
        <v>1062</v>
      </c>
      <c r="B215" s="263">
        <v>78862</v>
      </c>
      <c r="C215" s="95"/>
      <c r="D215" s="95"/>
      <c r="E215" s="263">
        <v>78862</v>
      </c>
      <c r="G215" s="13" t="s">
        <v>1240</v>
      </c>
      <c r="H215" s="267">
        <v>15054</v>
      </c>
      <c r="I215" s="95"/>
      <c r="J215" s="95"/>
      <c r="K215" s="267">
        <v>15054</v>
      </c>
    </row>
    <row r="216" spans="1:11">
      <c r="A216" s="13" t="s">
        <v>2015</v>
      </c>
      <c r="B216" s="263">
        <v>7723647</v>
      </c>
      <c r="C216" s="112">
        <v>11976973</v>
      </c>
      <c r="D216" s="95"/>
      <c r="E216" s="267">
        <v>4253326</v>
      </c>
      <c r="G216" s="13" t="s">
        <v>856</v>
      </c>
      <c r="H216" s="263">
        <v>1779544</v>
      </c>
      <c r="I216" s="95"/>
      <c r="J216" s="112">
        <v>1902885</v>
      </c>
      <c r="K216" s="263">
        <v>3682429</v>
      </c>
    </row>
    <row r="217" spans="1:11">
      <c r="A217" s="13" t="s">
        <v>91</v>
      </c>
      <c r="B217" s="263">
        <v>294347</v>
      </c>
      <c r="C217" s="95"/>
      <c r="D217" s="95"/>
      <c r="E217" s="263">
        <v>294347</v>
      </c>
      <c r="G217" s="13" t="s">
        <v>857</v>
      </c>
      <c r="H217" s="263">
        <v>135104849</v>
      </c>
      <c r="I217" s="112">
        <v>30888</v>
      </c>
      <c r="J217" s="112">
        <v>20878558</v>
      </c>
      <c r="K217" s="263">
        <v>155952519</v>
      </c>
    </row>
    <row r="218" spans="1:11">
      <c r="A218" s="13" t="s">
        <v>1063</v>
      </c>
      <c r="B218" s="263">
        <v>32203.14</v>
      </c>
      <c r="C218" s="95"/>
      <c r="D218" s="95"/>
      <c r="E218" s="263">
        <v>32203.14</v>
      </c>
      <c r="G218" s="13" t="s">
        <v>858</v>
      </c>
      <c r="H218" s="263">
        <v>65961193.450000003</v>
      </c>
      <c r="I218" s="112">
        <v>58128</v>
      </c>
      <c r="J218" s="112">
        <v>8394429.8000000007</v>
      </c>
      <c r="K218" s="263">
        <v>74297495.25</v>
      </c>
    </row>
    <row r="219" spans="1:11">
      <c r="A219" s="1" t="s">
        <v>39</v>
      </c>
      <c r="B219" s="270">
        <v>33064615.260000002</v>
      </c>
      <c r="C219" s="93">
        <v>21422356</v>
      </c>
      <c r="D219" s="93">
        <v>245000</v>
      </c>
      <c r="E219" s="270">
        <v>54241971.259999998</v>
      </c>
      <c r="G219" s="13" t="s">
        <v>1528</v>
      </c>
      <c r="H219" s="267">
        <v>4862</v>
      </c>
      <c r="I219" s="95"/>
      <c r="J219" s="112">
        <v>4862</v>
      </c>
      <c r="K219" s="96"/>
    </row>
    <row r="220" spans="1:11">
      <c r="A220" s="13" t="s">
        <v>92</v>
      </c>
      <c r="B220" s="267">
        <v>868251</v>
      </c>
      <c r="C220" s="95"/>
      <c r="D220" s="95"/>
      <c r="E220" s="267">
        <v>868251</v>
      </c>
      <c r="G220" s="13" t="s">
        <v>1237</v>
      </c>
      <c r="H220" s="267">
        <v>69540</v>
      </c>
      <c r="I220" s="95"/>
      <c r="J220" s="95"/>
      <c r="K220" s="267">
        <v>69540</v>
      </c>
    </row>
    <row r="221" spans="1:11">
      <c r="A221" s="13" t="s">
        <v>93</v>
      </c>
      <c r="B221" s="267">
        <v>186715.8</v>
      </c>
      <c r="C221" s="112">
        <v>613880</v>
      </c>
      <c r="D221" s="95"/>
      <c r="E221" s="267">
        <v>800595.8</v>
      </c>
      <c r="G221" s="13" t="s">
        <v>863</v>
      </c>
      <c r="H221" s="267">
        <v>6023</v>
      </c>
      <c r="I221" s="95"/>
      <c r="J221" s="95"/>
      <c r="K221" s="267">
        <v>6023</v>
      </c>
    </row>
    <row r="222" spans="1:11">
      <c r="A222" s="13" t="s">
        <v>94</v>
      </c>
      <c r="B222" s="267">
        <v>91954.35</v>
      </c>
      <c r="C222" s="95"/>
      <c r="D222" s="95"/>
      <c r="E222" s="267">
        <v>91954.35</v>
      </c>
      <c r="G222" s="13" t="s">
        <v>1089</v>
      </c>
      <c r="H222" s="267">
        <v>40029.199999999997</v>
      </c>
      <c r="I222" s="95"/>
      <c r="J222" s="95"/>
      <c r="K222" s="267">
        <v>40029.199999999997</v>
      </c>
    </row>
    <row r="223" spans="1:11">
      <c r="A223" s="13" t="s">
        <v>1267</v>
      </c>
      <c r="B223" s="267">
        <v>28483302.629999999</v>
      </c>
      <c r="C223" s="112">
        <v>18114110</v>
      </c>
      <c r="D223" s="95"/>
      <c r="E223" s="267">
        <v>46597412.630000003</v>
      </c>
      <c r="G223" s="13" t="s">
        <v>1236</v>
      </c>
      <c r="H223" s="267">
        <v>38444</v>
      </c>
      <c r="I223" s="95"/>
      <c r="J223" s="95"/>
      <c r="K223" s="267">
        <v>38444</v>
      </c>
    </row>
    <row r="224" spans="1:11">
      <c r="A224" s="13" t="s">
        <v>1266</v>
      </c>
      <c r="B224" s="267">
        <v>3434391.48</v>
      </c>
      <c r="C224" s="112">
        <v>2694366</v>
      </c>
      <c r="D224" s="112">
        <v>245000</v>
      </c>
      <c r="E224" s="267">
        <v>5883757.4800000004</v>
      </c>
      <c r="G224" s="13" t="s">
        <v>1530</v>
      </c>
      <c r="H224" s="267">
        <v>18273</v>
      </c>
      <c r="I224" s="95"/>
      <c r="J224" s="95"/>
      <c r="K224" s="267">
        <v>18273</v>
      </c>
    </row>
    <row r="225" spans="1:11">
      <c r="A225" s="1" t="s">
        <v>96</v>
      </c>
      <c r="B225" s="270">
        <v>80566338.650000006</v>
      </c>
      <c r="C225" s="93">
        <v>946845010.10000002</v>
      </c>
      <c r="D225" s="93">
        <v>929391405.73000002</v>
      </c>
      <c r="E225" s="270">
        <v>98019943.019999996</v>
      </c>
      <c r="G225" s="1" t="s">
        <v>104</v>
      </c>
      <c r="H225" s="109"/>
      <c r="I225" s="93">
        <v>19130205.600000001</v>
      </c>
      <c r="J225" s="93">
        <v>7500</v>
      </c>
      <c r="K225" s="270">
        <v>19122705.600000001</v>
      </c>
    </row>
    <row r="226" spans="1:11">
      <c r="A226" s="14" t="s">
        <v>1265</v>
      </c>
      <c r="B226" s="111"/>
      <c r="C226" s="111"/>
      <c r="D226" s="111"/>
      <c r="E226" s="111"/>
      <c r="G226" s="13" t="s">
        <v>115</v>
      </c>
      <c r="H226" s="96"/>
      <c r="I226" s="112">
        <v>135500</v>
      </c>
      <c r="J226" s="95"/>
      <c r="K226" s="267">
        <v>135500</v>
      </c>
    </row>
    <row r="227" spans="1:11">
      <c r="A227" s="17" t="s">
        <v>1719</v>
      </c>
      <c r="B227" s="95"/>
      <c r="C227" s="96"/>
      <c r="D227" s="96"/>
      <c r="E227" s="95"/>
      <c r="G227" s="13" t="s">
        <v>116</v>
      </c>
      <c r="H227" s="96"/>
      <c r="I227" s="112">
        <v>516310</v>
      </c>
      <c r="J227" s="95"/>
      <c r="K227" s="267">
        <v>516310</v>
      </c>
    </row>
    <row r="228" spans="1:11">
      <c r="A228" s="14" t="s">
        <v>97</v>
      </c>
      <c r="B228" s="272">
        <v>21000000</v>
      </c>
      <c r="C228" s="106">
        <v>1168775</v>
      </c>
      <c r="D228" s="114"/>
      <c r="E228" s="272">
        <v>22168775</v>
      </c>
      <c r="G228" s="13" t="s">
        <v>117</v>
      </c>
      <c r="H228" s="96"/>
      <c r="I228" s="112">
        <v>51800</v>
      </c>
      <c r="J228" s="95"/>
      <c r="K228" s="267">
        <v>51800</v>
      </c>
    </row>
    <row r="229" spans="1:11">
      <c r="A229" s="15" t="s">
        <v>2016</v>
      </c>
      <c r="B229" s="198">
        <v>550000</v>
      </c>
      <c r="C229" s="104">
        <v>1168775</v>
      </c>
      <c r="D229" s="96"/>
      <c r="E229" s="198">
        <v>1718775</v>
      </c>
      <c r="G229" s="13" t="s">
        <v>118</v>
      </c>
      <c r="H229" s="96"/>
      <c r="I229" s="112">
        <v>30200</v>
      </c>
      <c r="J229" s="95"/>
      <c r="K229" s="267">
        <v>30200</v>
      </c>
    </row>
    <row r="230" spans="1:11">
      <c r="A230" s="13" t="s">
        <v>730</v>
      </c>
      <c r="B230" s="198">
        <v>20450000</v>
      </c>
      <c r="C230" s="96"/>
      <c r="D230" s="96"/>
      <c r="E230" s="198">
        <v>20450000</v>
      </c>
      <c r="G230" s="13" t="s">
        <v>119</v>
      </c>
      <c r="H230" s="96"/>
      <c r="I230" s="112">
        <v>1562353</v>
      </c>
      <c r="J230" s="95"/>
      <c r="K230" s="267">
        <v>1562353</v>
      </c>
    </row>
    <row r="231" spans="1:11">
      <c r="A231" s="14" t="s">
        <v>98</v>
      </c>
      <c r="B231" s="272">
        <v>33835548.240000002</v>
      </c>
      <c r="C231" s="106">
        <v>341646584.94</v>
      </c>
      <c r="D231" s="106">
        <v>338603142.17000002</v>
      </c>
      <c r="E231" s="272">
        <v>36878991.009999998</v>
      </c>
      <c r="G231" s="13" t="s">
        <v>120</v>
      </c>
      <c r="H231" s="96"/>
      <c r="I231" s="112">
        <v>2085260</v>
      </c>
      <c r="J231" s="95"/>
      <c r="K231" s="267">
        <v>2085260</v>
      </c>
    </row>
    <row r="232" spans="1:11">
      <c r="A232" s="17" t="s">
        <v>2017</v>
      </c>
      <c r="B232" s="95"/>
      <c r="C232" s="104">
        <v>8513700</v>
      </c>
      <c r="D232" s="104">
        <v>8601900</v>
      </c>
      <c r="E232" s="199">
        <v>88200</v>
      </c>
      <c r="G232" s="13" t="s">
        <v>1231</v>
      </c>
      <c r="H232" s="96"/>
      <c r="I232" s="112">
        <v>240780</v>
      </c>
      <c r="J232" s="95"/>
      <c r="K232" s="267">
        <v>240780</v>
      </c>
    </row>
    <row r="233" spans="1:11">
      <c r="A233" s="15" t="s">
        <v>2018</v>
      </c>
      <c r="B233" s="95"/>
      <c r="C233" s="104">
        <v>1255000</v>
      </c>
      <c r="D233" s="104">
        <v>151600</v>
      </c>
      <c r="E233" s="198">
        <v>1103400</v>
      </c>
      <c r="G233" s="13" t="s">
        <v>1230</v>
      </c>
      <c r="H233" s="96"/>
      <c r="I233" s="112">
        <v>1052808</v>
      </c>
      <c r="J233" s="95"/>
      <c r="K233" s="267">
        <v>1052808</v>
      </c>
    </row>
    <row r="234" spans="1:11">
      <c r="A234" s="17" t="s">
        <v>732</v>
      </c>
      <c r="B234" s="198">
        <v>155431</v>
      </c>
      <c r="C234" s="96"/>
      <c r="D234" s="96"/>
      <c r="E234" s="198">
        <v>155431</v>
      </c>
      <c r="G234" s="13" t="s">
        <v>1228</v>
      </c>
      <c r="H234" s="96"/>
      <c r="I234" s="112">
        <v>359334</v>
      </c>
      <c r="J234" s="95"/>
      <c r="K234" s="267">
        <v>359334</v>
      </c>
    </row>
    <row r="235" spans="1:11">
      <c r="A235" s="17" t="s">
        <v>733</v>
      </c>
      <c r="B235" s="198">
        <v>236250</v>
      </c>
      <c r="C235" s="96"/>
      <c r="D235" s="96"/>
      <c r="E235" s="198">
        <v>236250</v>
      </c>
      <c r="G235" s="13" t="s">
        <v>1227</v>
      </c>
      <c r="H235" s="96"/>
      <c r="I235" s="112">
        <v>67002.600000000006</v>
      </c>
      <c r="J235" s="95"/>
      <c r="K235" s="267">
        <v>67002.600000000006</v>
      </c>
    </row>
    <row r="236" spans="1:11">
      <c r="A236" s="17" t="s">
        <v>734</v>
      </c>
      <c r="B236" s="198">
        <v>545590</v>
      </c>
      <c r="C236" s="96"/>
      <c r="D236" s="96"/>
      <c r="E236" s="198">
        <v>545590</v>
      </c>
      <c r="G236" s="13" t="s">
        <v>121</v>
      </c>
      <c r="H236" s="96"/>
      <c r="I236" s="112">
        <v>744858</v>
      </c>
      <c r="J236" s="112">
        <v>7500</v>
      </c>
      <c r="K236" s="267">
        <v>737358</v>
      </c>
    </row>
    <row r="237" spans="1:11">
      <c r="A237" s="15" t="s">
        <v>1263</v>
      </c>
      <c r="B237" s="198">
        <v>1020296</v>
      </c>
      <c r="C237" s="96"/>
      <c r="D237" s="96"/>
      <c r="E237" s="198">
        <v>1020296</v>
      </c>
      <c r="G237" s="13" t="s">
        <v>1226</v>
      </c>
      <c r="H237" s="96"/>
      <c r="I237" s="112">
        <v>442202</v>
      </c>
      <c r="J237" s="95"/>
      <c r="K237" s="267">
        <v>442202</v>
      </c>
    </row>
    <row r="238" spans="1:11">
      <c r="A238" s="15" t="s">
        <v>1720</v>
      </c>
      <c r="B238" s="198">
        <v>90000</v>
      </c>
      <c r="C238" s="104">
        <v>610000</v>
      </c>
      <c r="D238" s="104">
        <v>700000</v>
      </c>
      <c r="E238" s="95"/>
      <c r="G238" s="16" t="s">
        <v>112</v>
      </c>
      <c r="H238" s="96"/>
      <c r="I238" s="112">
        <v>1161700</v>
      </c>
      <c r="J238" s="95"/>
      <c r="K238" s="267">
        <v>1161700</v>
      </c>
    </row>
    <row r="239" spans="1:11">
      <c r="A239" s="15" t="s">
        <v>736</v>
      </c>
      <c r="B239" s="198">
        <v>99600</v>
      </c>
      <c r="C239" s="96"/>
      <c r="D239" s="96"/>
      <c r="E239" s="198">
        <v>99600</v>
      </c>
      <c r="G239" s="16" t="s">
        <v>122</v>
      </c>
      <c r="H239" s="96"/>
      <c r="I239" s="112">
        <v>2918446</v>
      </c>
      <c r="J239" s="95"/>
      <c r="K239" s="267">
        <v>2918446</v>
      </c>
    </row>
    <row r="240" spans="1:11">
      <c r="A240" s="15" t="s">
        <v>737</v>
      </c>
      <c r="B240" s="198">
        <v>626800</v>
      </c>
      <c r="C240" s="96"/>
      <c r="D240" s="96"/>
      <c r="E240" s="198">
        <v>626800</v>
      </c>
      <c r="G240" s="13" t="s">
        <v>1846</v>
      </c>
      <c r="H240" s="96"/>
      <c r="I240" s="112">
        <v>258435</v>
      </c>
      <c r="J240" s="95"/>
      <c r="K240" s="267">
        <v>258435</v>
      </c>
    </row>
    <row r="241" spans="1:11">
      <c r="A241" s="17" t="s">
        <v>2019</v>
      </c>
      <c r="B241" s="95"/>
      <c r="C241" s="104">
        <v>428330.56</v>
      </c>
      <c r="D241" s="104">
        <v>2573397</v>
      </c>
      <c r="E241" s="199">
        <v>2145066.44</v>
      </c>
      <c r="G241" s="13" t="s">
        <v>123</v>
      </c>
      <c r="H241" s="96"/>
      <c r="I241" s="112">
        <v>4203699</v>
      </c>
      <c r="J241" s="95"/>
      <c r="K241" s="267">
        <v>4203699</v>
      </c>
    </row>
    <row r="242" spans="1:11">
      <c r="A242" s="17" t="s">
        <v>2020</v>
      </c>
      <c r="B242" s="95"/>
      <c r="C242" s="104">
        <v>1795908.08</v>
      </c>
      <c r="D242" s="104">
        <v>25873</v>
      </c>
      <c r="E242" s="198">
        <v>1770035.08</v>
      </c>
      <c r="G242" s="16" t="s">
        <v>1842</v>
      </c>
      <c r="H242" s="96"/>
      <c r="I242" s="112">
        <v>1477983</v>
      </c>
      <c r="J242" s="95"/>
      <c r="K242" s="267">
        <v>1477983</v>
      </c>
    </row>
    <row r="243" spans="1:11">
      <c r="A243" s="15" t="s">
        <v>2021</v>
      </c>
      <c r="B243" s="95"/>
      <c r="C243" s="104">
        <v>7463500</v>
      </c>
      <c r="D243" s="104">
        <v>6343974</v>
      </c>
      <c r="E243" s="198">
        <v>1119526</v>
      </c>
      <c r="G243" s="13" t="s">
        <v>124</v>
      </c>
      <c r="H243" s="96"/>
      <c r="I243" s="112">
        <v>54227</v>
      </c>
      <c r="J243" s="95"/>
      <c r="K243" s="267">
        <v>54227</v>
      </c>
    </row>
    <row r="244" spans="1:11">
      <c r="A244" s="15" t="s">
        <v>1485</v>
      </c>
      <c r="B244" s="198">
        <v>271920</v>
      </c>
      <c r="C244" s="96"/>
      <c r="D244" s="104">
        <v>151920</v>
      </c>
      <c r="E244" s="198">
        <v>120000</v>
      </c>
      <c r="G244" s="13" t="s">
        <v>890</v>
      </c>
      <c r="H244" s="96"/>
      <c r="I244" s="112">
        <v>4700</v>
      </c>
      <c r="J244" s="95"/>
      <c r="K244" s="267">
        <v>4700</v>
      </c>
    </row>
    <row r="245" spans="1:11">
      <c r="A245" s="15" t="s">
        <v>2022</v>
      </c>
      <c r="B245" s="95"/>
      <c r="C245" s="104">
        <v>21701909.02</v>
      </c>
      <c r="D245" s="104">
        <v>16542381</v>
      </c>
      <c r="E245" s="198">
        <v>5159528.0199999996</v>
      </c>
      <c r="G245" s="13" t="s">
        <v>1843</v>
      </c>
      <c r="H245" s="96"/>
      <c r="I245" s="112">
        <v>1762608</v>
      </c>
      <c r="J245" s="95"/>
      <c r="K245" s="267">
        <v>1762608</v>
      </c>
    </row>
    <row r="246" spans="1:11">
      <c r="A246" s="17" t="s">
        <v>1335</v>
      </c>
      <c r="B246" s="199">
        <v>2308800</v>
      </c>
      <c r="C246" s="104">
        <v>4503608</v>
      </c>
      <c r="D246" s="104">
        <v>5518975</v>
      </c>
      <c r="E246" s="199">
        <v>3324167</v>
      </c>
      <c r="G246" s="1" t="s">
        <v>160</v>
      </c>
      <c r="H246" s="109"/>
      <c r="I246" s="93">
        <v>14569053.6</v>
      </c>
      <c r="J246" s="93">
        <v>305250</v>
      </c>
      <c r="K246" s="270">
        <v>14263803.6</v>
      </c>
    </row>
    <row r="247" spans="1:11">
      <c r="A247" s="15" t="s">
        <v>1064</v>
      </c>
      <c r="B247" s="198">
        <v>219102</v>
      </c>
      <c r="C247" s="96"/>
      <c r="D247" s="96"/>
      <c r="E247" s="198">
        <v>219102</v>
      </c>
      <c r="G247" s="14" t="s">
        <v>161</v>
      </c>
      <c r="H247" s="111"/>
      <c r="I247" s="110">
        <v>14295340</v>
      </c>
      <c r="J247" s="110">
        <v>305250</v>
      </c>
      <c r="K247" s="271">
        <v>13990090</v>
      </c>
    </row>
    <row r="248" spans="1:11">
      <c r="A248" s="15" t="s">
        <v>1721</v>
      </c>
      <c r="B248" s="198">
        <v>10755507.439999999</v>
      </c>
      <c r="C248" s="104">
        <v>61247563.700000003</v>
      </c>
      <c r="D248" s="104">
        <v>72003071.140000001</v>
      </c>
      <c r="E248" s="95"/>
      <c r="G248" s="15" t="s">
        <v>1317</v>
      </c>
      <c r="H248" s="95"/>
      <c r="I248" s="104">
        <v>2278502</v>
      </c>
      <c r="J248" s="96"/>
      <c r="K248" s="198">
        <v>2278502</v>
      </c>
    </row>
    <row r="249" spans="1:11">
      <c r="A249" s="15" t="s">
        <v>2023</v>
      </c>
      <c r="B249" s="95"/>
      <c r="C249" s="104">
        <v>5300839.66</v>
      </c>
      <c r="D249" s="104">
        <v>5300839.66</v>
      </c>
      <c r="E249" s="95"/>
      <c r="G249" s="15" t="s">
        <v>173</v>
      </c>
      <c r="H249" s="95"/>
      <c r="I249" s="104">
        <v>1023372</v>
      </c>
      <c r="J249" s="104">
        <v>5250</v>
      </c>
      <c r="K249" s="198">
        <v>1018122</v>
      </c>
    </row>
    <row r="250" spans="1:11">
      <c r="A250" s="15" t="s">
        <v>2024</v>
      </c>
      <c r="B250" s="95"/>
      <c r="C250" s="104">
        <v>13109398</v>
      </c>
      <c r="D250" s="104">
        <v>8703986.7699999996</v>
      </c>
      <c r="E250" s="198">
        <v>4405411.2300000004</v>
      </c>
      <c r="G250" s="15" t="s">
        <v>174</v>
      </c>
      <c r="H250" s="95"/>
      <c r="I250" s="104">
        <v>697353</v>
      </c>
      <c r="J250" s="96"/>
      <c r="K250" s="198">
        <v>697353</v>
      </c>
    </row>
    <row r="251" spans="1:11">
      <c r="A251" s="15" t="s">
        <v>742</v>
      </c>
      <c r="B251" s="198">
        <v>3674398.54</v>
      </c>
      <c r="C251" s="96"/>
      <c r="D251" s="104">
        <v>3674398.54</v>
      </c>
      <c r="E251" s="95"/>
      <c r="G251" s="15" t="s">
        <v>1318</v>
      </c>
      <c r="H251" s="95"/>
      <c r="I251" s="104">
        <v>439878</v>
      </c>
      <c r="J251" s="104">
        <v>300000</v>
      </c>
      <c r="K251" s="198">
        <v>139878</v>
      </c>
    </row>
    <row r="252" spans="1:11">
      <c r="A252" s="15" t="s">
        <v>1722</v>
      </c>
      <c r="B252" s="198">
        <v>916800</v>
      </c>
      <c r="C252" s="104">
        <v>1803040</v>
      </c>
      <c r="D252" s="104">
        <v>2719840</v>
      </c>
      <c r="E252" s="95"/>
      <c r="G252" s="17" t="s">
        <v>1319</v>
      </c>
      <c r="H252" s="95"/>
      <c r="I252" s="104">
        <v>106474</v>
      </c>
      <c r="J252" s="96"/>
      <c r="K252" s="198">
        <v>106474</v>
      </c>
    </row>
    <row r="253" spans="1:11">
      <c r="A253" s="15" t="s">
        <v>750</v>
      </c>
      <c r="B253" s="198">
        <v>1262140</v>
      </c>
      <c r="C253" s="96"/>
      <c r="D253" s="96"/>
      <c r="E253" s="198">
        <v>1262140</v>
      </c>
      <c r="G253" s="17" t="s">
        <v>1320</v>
      </c>
      <c r="H253" s="95"/>
      <c r="I253" s="104">
        <v>453503</v>
      </c>
      <c r="J253" s="96"/>
      <c r="K253" s="198">
        <v>453503</v>
      </c>
    </row>
    <row r="254" spans="1:11">
      <c r="A254" s="15" t="s">
        <v>752</v>
      </c>
      <c r="B254" s="198">
        <v>400133</v>
      </c>
      <c r="C254" s="96"/>
      <c r="D254" s="96"/>
      <c r="E254" s="198">
        <v>400133</v>
      </c>
      <c r="G254" s="15" t="s">
        <v>175</v>
      </c>
      <c r="H254" s="95"/>
      <c r="I254" s="104">
        <v>5694153</v>
      </c>
      <c r="J254" s="96"/>
      <c r="K254" s="198">
        <v>5694153</v>
      </c>
    </row>
    <row r="255" spans="1:11">
      <c r="A255" s="17" t="s">
        <v>753</v>
      </c>
      <c r="B255" s="198">
        <v>607145.86</v>
      </c>
      <c r="C255" s="96"/>
      <c r="D255" s="96"/>
      <c r="E255" s="198">
        <v>607145.86</v>
      </c>
      <c r="G255" s="17" t="s">
        <v>176</v>
      </c>
      <c r="H255" s="95"/>
      <c r="I255" s="104">
        <v>80792</v>
      </c>
      <c r="J255" s="96"/>
      <c r="K255" s="198">
        <v>80792</v>
      </c>
    </row>
    <row r="256" spans="1:11">
      <c r="A256" s="15" t="s">
        <v>1067</v>
      </c>
      <c r="B256" s="198">
        <v>92441</v>
      </c>
      <c r="C256" s="96"/>
      <c r="D256" s="96"/>
      <c r="E256" s="198">
        <v>92441</v>
      </c>
      <c r="G256" s="17" t="s">
        <v>177</v>
      </c>
      <c r="H256" s="95"/>
      <c r="I256" s="104">
        <v>516602</v>
      </c>
      <c r="J256" s="96"/>
      <c r="K256" s="198">
        <v>516602</v>
      </c>
    </row>
    <row r="257" spans="1:11">
      <c r="A257" s="15" t="s">
        <v>1723</v>
      </c>
      <c r="B257" s="198">
        <v>3123948</v>
      </c>
      <c r="C257" s="104">
        <v>6702080</v>
      </c>
      <c r="D257" s="104">
        <v>9469288</v>
      </c>
      <c r="E257" s="198">
        <v>356740</v>
      </c>
      <c r="G257" s="17" t="s">
        <v>1322</v>
      </c>
      <c r="H257" s="95"/>
      <c r="I257" s="104">
        <v>883540</v>
      </c>
      <c r="J257" s="96"/>
      <c r="K257" s="198">
        <v>883540</v>
      </c>
    </row>
    <row r="258" spans="1:11">
      <c r="A258" s="15" t="s">
        <v>2025</v>
      </c>
      <c r="B258" s="95"/>
      <c r="C258" s="104">
        <v>12741451.199999999</v>
      </c>
      <c r="D258" s="104">
        <v>12422420</v>
      </c>
      <c r="E258" s="198">
        <v>319031.2</v>
      </c>
      <c r="G258" s="17" t="s">
        <v>165</v>
      </c>
      <c r="H258" s="95"/>
      <c r="I258" s="104">
        <v>270960</v>
      </c>
      <c r="J258" s="96"/>
      <c r="K258" s="198">
        <v>270960</v>
      </c>
    </row>
    <row r="259" spans="1:11">
      <c r="A259" s="15" t="s">
        <v>1724</v>
      </c>
      <c r="B259" s="198">
        <v>35108</v>
      </c>
      <c r="C259" s="96"/>
      <c r="D259" s="96"/>
      <c r="E259" s="198">
        <v>35108</v>
      </c>
      <c r="G259" s="15" t="s">
        <v>205</v>
      </c>
      <c r="H259" s="95"/>
      <c r="I259" s="104">
        <v>1850211</v>
      </c>
      <c r="J259" s="96"/>
      <c r="K259" s="198">
        <v>1850211</v>
      </c>
    </row>
    <row r="260" spans="1:11">
      <c r="A260" s="17" t="s">
        <v>1068</v>
      </c>
      <c r="B260" s="198">
        <v>52926</v>
      </c>
      <c r="C260" s="96"/>
      <c r="D260" s="96"/>
      <c r="E260" s="198">
        <v>52926</v>
      </c>
      <c r="G260" s="14" t="s">
        <v>178</v>
      </c>
      <c r="H260" s="114"/>
      <c r="I260" s="106">
        <v>273713.59999999998</v>
      </c>
      <c r="J260" s="114"/>
      <c r="K260" s="272">
        <v>273713.59999999998</v>
      </c>
    </row>
    <row r="261" spans="1:11">
      <c r="A261" s="15" t="s">
        <v>756</v>
      </c>
      <c r="B261" s="198">
        <v>98880</v>
      </c>
      <c r="C261" s="96"/>
      <c r="D261" s="96"/>
      <c r="E261" s="198">
        <v>98880</v>
      </c>
      <c r="G261" s="15" t="s">
        <v>1307</v>
      </c>
      <c r="H261" s="95"/>
      <c r="I261" s="104">
        <v>35052</v>
      </c>
      <c r="J261" s="96"/>
      <c r="K261" s="198">
        <v>35052</v>
      </c>
    </row>
    <row r="262" spans="1:11">
      <c r="A262" s="15" t="s">
        <v>1259</v>
      </c>
      <c r="B262" s="198">
        <v>46383</v>
      </c>
      <c r="C262" s="96"/>
      <c r="D262" s="96"/>
      <c r="E262" s="198">
        <v>46383</v>
      </c>
      <c r="G262" s="15" t="s">
        <v>188</v>
      </c>
      <c r="H262" s="95"/>
      <c r="I262" s="104">
        <v>47680</v>
      </c>
      <c r="J262" s="96"/>
      <c r="K262" s="198">
        <v>47680</v>
      </c>
    </row>
    <row r="263" spans="1:11">
      <c r="A263" s="15" t="s">
        <v>1725</v>
      </c>
      <c r="B263" s="198">
        <v>174429.68</v>
      </c>
      <c r="C263" s="104">
        <v>2640035.2400000002</v>
      </c>
      <c r="D263" s="104">
        <v>2788037</v>
      </c>
      <c r="E263" s="198">
        <v>26427.919999999998</v>
      </c>
      <c r="G263" s="15" t="s">
        <v>1308</v>
      </c>
      <c r="H263" s="95"/>
      <c r="I263" s="104">
        <v>8400</v>
      </c>
      <c r="J263" s="96"/>
      <c r="K263" s="198">
        <v>8400</v>
      </c>
    </row>
    <row r="264" spans="1:11">
      <c r="A264" s="15" t="s">
        <v>2026</v>
      </c>
      <c r="B264" s="95"/>
      <c r="C264" s="104">
        <v>13206672.1</v>
      </c>
      <c r="D264" s="104">
        <v>13206673</v>
      </c>
      <c r="E264" s="199">
        <v>0.9</v>
      </c>
      <c r="G264" s="15" t="s">
        <v>1306</v>
      </c>
      <c r="H264" s="95"/>
      <c r="I264" s="104">
        <v>126400</v>
      </c>
      <c r="J264" s="96"/>
      <c r="K264" s="198">
        <v>126400</v>
      </c>
    </row>
    <row r="265" spans="1:11">
      <c r="A265" s="17" t="s">
        <v>757</v>
      </c>
      <c r="B265" s="199">
        <v>376638</v>
      </c>
      <c r="C265" s="96"/>
      <c r="D265" s="96"/>
      <c r="E265" s="199">
        <v>376638</v>
      </c>
      <c r="G265" s="15" t="s">
        <v>1309</v>
      </c>
      <c r="H265" s="95"/>
      <c r="I265" s="104">
        <v>16650</v>
      </c>
      <c r="J265" s="96"/>
      <c r="K265" s="198">
        <v>16650</v>
      </c>
    </row>
    <row r="266" spans="1:11">
      <c r="A266" s="17" t="s">
        <v>2027</v>
      </c>
      <c r="B266" s="95"/>
      <c r="C266" s="104">
        <v>9817911.5199999996</v>
      </c>
      <c r="D266" s="104">
        <v>5922926</v>
      </c>
      <c r="E266" s="198">
        <v>3894985.52</v>
      </c>
      <c r="G266" s="15" t="s">
        <v>185</v>
      </c>
      <c r="H266" s="95"/>
      <c r="I266" s="104">
        <v>4600</v>
      </c>
      <c r="J266" s="96"/>
      <c r="K266" s="198">
        <v>4600</v>
      </c>
    </row>
    <row r="267" spans="1:11">
      <c r="A267" s="15" t="s">
        <v>1488</v>
      </c>
      <c r="B267" s="198">
        <v>147395.28</v>
      </c>
      <c r="C267" s="96"/>
      <c r="D267" s="104">
        <v>130904</v>
      </c>
      <c r="E267" s="198">
        <v>16491.28</v>
      </c>
      <c r="G267" s="15" t="s">
        <v>1314</v>
      </c>
      <c r="H267" s="95"/>
      <c r="I267" s="104">
        <v>34931.599999999999</v>
      </c>
      <c r="J267" s="96"/>
      <c r="K267" s="198">
        <v>34931.599999999999</v>
      </c>
    </row>
    <row r="268" spans="1:11">
      <c r="A268" s="15" t="s">
        <v>2028</v>
      </c>
      <c r="B268" s="95"/>
      <c r="C268" s="104">
        <v>3073900</v>
      </c>
      <c r="D268" s="104">
        <v>3073900</v>
      </c>
      <c r="E268" s="95"/>
      <c r="G268" s="1" t="s">
        <v>192</v>
      </c>
      <c r="H268" s="109"/>
      <c r="I268" s="93">
        <v>318390</v>
      </c>
      <c r="J268" s="108"/>
      <c r="K268" s="270">
        <v>318390</v>
      </c>
    </row>
    <row r="269" spans="1:11">
      <c r="A269" s="15" t="s">
        <v>1256</v>
      </c>
      <c r="B269" s="198">
        <v>441134.06</v>
      </c>
      <c r="C269" s="104">
        <v>1130345.6000000001</v>
      </c>
      <c r="D269" s="104">
        <v>1243056</v>
      </c>
      <c r="E269" s="198">
        <v>328423.65999999997</v>
      </c>
      <c r="G269" s="13" t="s">
        <v>212</v>
      </c>
      <c r="H269" s="96"/>
      <c r="I269" s="112">
        <v>23548</v>
      </c>
      <c r="J269" s="95"/>
      <c r="K269" s="267">
        <v>23548</v>
      </c>
    </row>
    <row r="270" spans="1:11">
      <c r="A270" s="17" t="s">
        <v>1490</v>
      </c>
      <c r="B270" s="198">
        <v>403848</v>
      </c>
      <c r="C270" s="96"/>
      <c r="D270" s="104">
        <v>459621</v>
      </c>
      <c r="E270" s="199">
        <v>55773</v>
      </c>
      <c r="G270" s="13" t="s">
        <v>1218</v>
      </c>
      <c r="H270" s="96"/>
      <c r="I270" s="112">
        <v>85054</v>
      </c>
      <c r="J270" s="95"/>
      <c r="K270" s="267">
        <v>85054</v>
      </c>
    </row>
    <row r="271" spans="1:11">
      <c r="A271" s="15" t="s">
        <v>771</v>
      </c>
      <c r="B271" s="198">
        <v>615250</v>
      </c>
      <c r="C271" s="96"/>
      <c r="D271" s="96"/>
      <c r="E271" s="198">
        <v>615250</v>
      </c>
      <c r="G271" s="13" t="s">
        <v>201</v>
      </c>
      <c r="H271" s="96"/>
      <c r="I271" s="112">
        <v>37831</v>
      </c>
      <c r="J271" s="95"/>
      <c r="K271" s="267">
        <v>37831</v>
      </c>
    </row>
    <row r="272" spans="1:11">
      <c r="A272" s="15" t="s">
        <v>772</v>
      </c>
      <c r="B272" s="198">
        <v>2316502</v>
      </c>
      <c r="C272" s="96"/>
      <c r="D272" s="96"/>
      <c r="E272" s="198">
        <v>2316502</v>
      </c>
      <c r="G272" s="13" t="s">
        <v>1217</v>
      </c>
      <c r="H272" s="96"/>
      <c r="I272" s="112">
        <v>35262</v>
      </c>
      <c r="J272" s="95"/>
      <c r="K272" s="267">
        <v>35262</v>
      </c>
    </row>
    <row r="273" spans="1:11">
      <c r="A273" s="15" t="s">
        <v>1726</v>
      </c>
      <c r="B273" s="199">
        <v>289900</v>
      </c>
      <c r="C273" s="104">
        <v>2129900</v>
      </c>
      <c r="D273" s="104">
        <v>1840000</v>
      </c>
      <c r="E273" s="95"/>
      <c r="G273" s="13" t="s">
        <v>203</v>
      </c>
      <c r="H273" s="96"/>
      <c r="I273" s="112">
        <v>44646</v>
      </c>
      <c r="J273" s="95"/>
      <c r="K273" s="267">
        <v>44646</v>
      </c>
    </row>
    <row r="274" spans="1:11">
      <c r="A274" s="15" t="s">
        <v>1491</v>
      </c>
      <c r="B274" s="198">
        <v>373195.7</v>
      </c>
      <c r="C274" s="104">
        <v>176804.3</v>
      </c>
      <c r="D274" s="104">
        <v>550000</v>
      </c>
      <c r="E274" s="95"/>
      <c r="G274" s="13" t="s">
        <v>213</v>
      </c>
      <c r="H274" s="96"/>
      <c r="I274" s="112">
        <v>4658</v>
      </c>
      <c r="J274" s="95"/>
      <c r="K274" s="267">
        <v>4658</v>
      </c>
    </row>
    <row r="275" spans="1:11">
      <c r="A275" s="15" t="s">
        <v>1492</v>
      </c>
      <c r="B275" s="198">
        <v>918354.6</v>
      </c>
      <c r="C275" s="96"/>
      <c r="D275" s="96"/>
      <c r="E275" s="198">
        <v>918354.6</v>
      </c>
      <c r="G275" s="13" t="s">
        <v>1215</v>
      </c>
      <c r="H275" s="96"/>
      <c r="I275" s="112">
        <v>13375</v>
      </c>
      <c r="J275" s="95"/>
      <c r="K275" s="267">
        <v>13375</v>
      </c>
    </row>
    <row r="276" spans="1:11">
      <c r="A276" s="17" t="s">
        <v>1493</v>
      </c>
      <c r="B276" s="198">
        <v>220035.17</v>
      </c>
      <c r="C276" s="96"/>
      <c r="D276" s="104">
        <v>220035.17</v>
      </c>
      <c r="E276" s="95"/>
      <c r="G276" s="13" t="s">
        <v>77</v>
      </c>
      <c r="H276" s="96"/>
      <c r="I276" s="112">
        <v>1544</v>
      </c>
      <c r="J276" s="95"/>
      <c r="K276" s="267">
        <v>1544</v>
      </c>
    </row>
    <row r="277" spans="1:11">
      <c r="A277" s="17" t="s">
        <v>1073</v>
      </c>
      <c r="B277" s="198">
        <v>433778.28</v>
      </c>
      <c r="C277" s="104">
        <v>12439</v>
      </c>
      <c r="D277" s="104">
        <v>446217.28</v>
      </c>
      <c r="E277" s="95"/>
      <c r="G277" s="13" t="s">
        <v>1214</v>
      </c>
      <c r="H277" s="96"/>
      <c r="I277" s="112">
        <v>65392</v>
      </c>
      <c r="J277" s="95"/>
      <c r="K277" s="267">
        <v>65392</v>
      </c>
    </row>
    <row r="278" spans="1:11">
      <c r="A278" s="17" t="s">
        <v>776</v>
      </c>
      <c r="B278" s="198">
        <v>204110</v>
      </c>
      <c r="C278" s="96"/>
      <c r="D278" s="104">
        <v>136238</v>
      </c>
      <c r="E278" s="198">
        <v>67872</v>
      </c>
      <c r="G278" s="13" t="s">
        <v>1212</v>
      </c>
      <c r="H278" s="96"/>
      <c r="I278" s="112">
        <v>7080</v>
      </c>
      <c r="J278" s="95"/>
      <c r="K278" s="267">
        <v>7080</v>
      </c>
    </row>
    <row r="279" spans="1:11">
      <c r="A279" s="15" t="s">
        <v>1727</v>
      </c>
      <c r="B279" s="198">
        <v>171458</v>
      </c>
      <c r="C279" s="96"/>
      <c r="D279" s="96"/>
      <c r="E279" s="198">
        <v>171458</v>
      </c>
      <c r="G279" s="2" t="s">
        <v>74</v>
      </c>
      <c r="H279" s="198">
        <v>201203933.38</v>
      </c>
      <c r="I279" s="96"/>
      <c r="J279" s="96"/>
      <c r="K279" s="198">
        <v>201203933.38</v>
      </c>
    </row>
    <row r="280" spans="1:11">
      <c r="A280" s="15" t="s">
        <v>1495</v>
      </c>
      <c r="B280" s="198">
        <v>131122.74</v>
      </c>
      <c r="C280" s="96"/>
      <c r="D280" s="104">
        <v>131122.74</v>
      </c>
      <c r="E280" s="95"/>
      <c r="G280" s="19" t="s">
        <v>75</v>
      </c>
      <c r="H280" s="102"/>
      <c r="I280" s="201">
        <v>94023716</v>
      </c>
      <c r="J280" s="201">
        <v>94023716</v>
      </c>
      <c r="K280" s="102"/>
    </row>
    <row r="281" spans="1:11">
      <c r="A281" s="15" t="s">
        <v>1728</v>
      </c>
      <c r="B281" s="198">
        <v>1284410.08</v>
      </c>
      <c r="C281" s="96"/>
      <c r="D281" s="104">
        <v>304071</v>
      </c>
      <c r="E281" s="198">
        <v>980339.08</v>
      </c>
    </row>
    <row r="282" spans="1:11">
      <c r="A282" s="15" t="s">
        <v>1729</v>
      </c>
      <c r="B282" s="198">
        <v>45000</v>
      </c>
      <c r="C282" s="104">
        <v>4869298.32</v>
      </c>
      <c r="D282" s="104">
        <v>4914298.32</v>
      </c>
      <c r="E282" s="95"/>
    </row>
    <row r="283" spans="1:11">
      <c r="A283" s="15" t="s">
        <v>2029</v>
      </c>
      <c r="B283" s="95"/>
      <c r="C283" s="104">
        <v>13275000</v>
      </c>
      <c r="D283" s="104">
        <v>12550000</v>
      </c>
      <c r="E283" s="198">
        <v>725000</v>
      </c>
    </row>
    <row r="284" spans="1:11">
      <c r="A284" s="15" t="s">
        <v>2030</v>
      </c>
      <c r="B284" s="95"/>
      <c r="C284" s="104">
        <v>1512694.74</v>
      </c>
      <c r="D284" s="104">
        <v>1512694.74</v>
      </c>
      <c r="E284" s="95"/>
    </row>
    <row r="285" spans="1:11">
      <c r="A285" s="15" t="s">
        <v>2031</v>
      </c>
      <c r="B285" s="95"/>
      <c r="C285" s="104">
        <v>89473129.219999999</v>
      </c>
      <c r="D285" s="104">
        <v>86605184.219999999</v>
      </c>
      <c r="E285" s="198">
        <v>2867945</v>
      </c>
    </row>
    <row r="286" spans="1:11">
      <c r="A286" s="15" t="s">
        <v>1730</v>
      </c>
      <c r="B286" s="198">
        <v>508361.36</v>
      </c>
      <c r="C286" s="104">
        <v>29582826.559999999</v>
      </c>
      <c r="D286" s="104">
        <v>26277450.350000001</v>
      </c>
      <c r="E286" s="198">
        <v>3813737.57</v>
      </c>
    </row>
    <row r="287" spans="1:11">
      <c r="A287" s="17" t="s">
        <v>778</v>
      </c>
      <c r="B287" s="198">
        <v>718081</v>
      </c>
      <c r="C287" s="96"/>
      <c r="D287" s="96"/>
      <c r="E287" s="198">
        <v>718081</v>
      </c>
    </row>
    <row r="288" spans="1:11">
      <c r="A288" s="15" t="s">
        <v>1255</v>
      </c>
      <c r="B288" s="198">
        <v>127610</v>
      </c>
      <c r="C288" s="96"/>
      <c r="D288" s="96"/>
      <c r="E288" s="198">
        <v>127610</v>
      </c>
    </row>
    <row r="289" spans="1:5">
      <c r="A289" s="15" t="s">
        <v>1731</v>
      </c>
      <c r="B289" s="198">
        <v>72244</v>
      </c>
      <c r="C289" s="96"/>
      <c r="D289" s="104">
        <v>72244</v>
      </c>
      <c r="E289" s="95"/>
    </row>
    <row r="290" spans="1:5">
      <c r="A290" s="15" t="s">
        <v>1496</v>
      </c>
      <c r="B290" s="198">
        <v>82700</v>
      </c>
      <c r="C290" s="96"/>
      <c r="D290" s="104">
        <v>82700</v>
      </c>
      <c r="E290" s="95"/>
    </row>
    <row r="291" spans="1:5">
      <c r="A291" s="15" t="s">
        <v>1497</v>
      </c>
      <c r="B291" s="198">
        <v>1188323</v>
      </c>
      <c r="C291" s="96"/>
      <c r="D291" s="104">
        <v>1188323</v>
      </c>
      <c r="E291" s="95"/>
    </row>
    <row r="292" spans="1:5">
      <c r="A292" s="15" t="s">
        <v>782</v>
      </c>
      <c r="B292" s="198">
        <v>1070809</v>
      </c>
      <c r="C292" s="96"/>
      <c r="D292" s="104">
        <v>234207</v>
      </c>
      <c r="E292" s="198">
        <v>836602</v>
      </c>
    </row>
    <row r="293" spans="1:5">
      <c r="A293" s="15" t="s">
        <v>783</v>
      </c>
      <c r="B293" s="198">
        <v>662058</v>
      </c>
      <c r="C293" s="96"/>
      <c r="D293" s="104">
        <v>662058</v>
      </c>
      <c r="E293" s="95"/>
    </row>
    <row r="294" spans="1:5">
      <c r="A294" s="15" t="s">
        <v>1254</v>
      </c>
      <c r="B294" s="198">
        <v>1183593</v>
      </c>
      <c r="C294" s="96"/>
      <c r="D294" s="96"/>
      <c r="E294" s="198">
        <v>1183593</v>
      </c>
    </row>
    <row r="295" spans="1:5">
      <c r="A295" s="15" t="s">
        <v>1252</v>
      </c>
      <c r="B295" s="198">
        <v>1681611.44</v>
      </c>
      <c r="C295" s="96"/>
      <c r="D295" s="104">
        <v>1681611.44</v>
      </c>
      <c r="E295" s="95"/>
    </row>
    <row r="296" spans="1:5">
      <c r="A296" s="15" t="s">
        <v>2032</v>
      </c>
      <c r="B296" s="95"/>
      <c r="C296" s="104">
        <v>7246941.8600000003</v>
      </c>
      <c r="D296" s="104">
        <v>7415334</v>
      </c>
      <c r="E296" s="199">
        <v>168392.14</v>
      </c>
    </row>
    <row r="297" spans="1:5">
      <c r="A297" s="15" t="s">
        <v>1499</v>
      </c>
      <c r="B297" s="199">
        <v>400000</v>
      </c>
      <c r="C297" s="96"/>
      <c r="D297" s="96"/>
      <c r="E297" s="199">
        <v>400000</v>
      </c>
    </row>
    <row r="298" spans="1:5">
      <c r="A298" s="15" t="s">
        <v>1500</v>
      </c>
      <c r="B298" s="198">
        <v>108974.25</v>
      </c>
      <c r="C298" s="104">
        <v>156358.26</v>
      </c>
      <c r="D298" s="104">
        <v>10320</v>
      </c>
      <c r="E298" s="198">
        <v>255012.51</v>
      </c>
    </row>
    <row r="299" spans="1:5">
      <c r="A299" s="15" t="s">
        <v>794</v>
      </c>
      <c r="B299" s="198">
        <v>474051.8</v>
      </c>
      <c r="C299" s="96"/>
      <c r="D299" s="104">
        <v>474051.8</v>
      </c>
      <c r="E299" s="95"/>
    </row>
    <row r="300" spans="1:5">
      <c r="A300" s="15" t="s">
        <v>1732</v>
      </c>
      <c r="B300" s="199">
        <v>4440000</v>
      </c>
      <c r="C300" s="104">
        <v>16166000</v>
      </c>
      <c r="D300" s="104">
        <v>9016000</v>
      </c>
      <c r="E300" s="198">
        <v>2710000</v>
      </c>
    </row>
    <row r="301" spans="1:5">
      <c r="A301" s="15" t="s">
        <v>1248</v>
      </c>
      <c r="B301" s="198">
        <v>517480</v>
      </c>
      <c r="C301" s="96"/>
      <c r="D301" s="96"/>
      <c r="E301" s="198">
        <v>517480</v>
      </c>
    </row>
    <row r="302" spans="1:5">
      <c r="A302" s="15" t="s">
        <v>1501</v>
      </c>
      <c r="B302" s="198">
        <v>1044165.96</v>
      </c>
      <c r="C302" s="96"/>
      <c r="D302" s="104">
        <v>550000</v>
      </c>
      <c r="E302" s="198">
        <v>494165.96</v>
      </c>
    </row>
    <row r="303" spans="1:5">
      <c r="A303" s="14" t="s">
        <v>1247</v>
      </c>
      <c r="B303" s="272">
        <v>35778</v>
      </c>
      <c r="C303" s="106">
        <v>41835181</v>
      </c>
      <c r="D303" s="106">
        <v>41816327</v>
      </c>
      <c r="E303" s="272">
        <v>54632</v>
      </c>
    </row>
    <row r="304" spans="1:5">
      <c r="A304" s="17" t="s">
        <v>260</v>
      </c>
      <c r="B304" s="198">
        <v>35778</v>
      </c>
      <c r="C304" s="104">
        <v>41835181</v>
      </c>
      <c r="D304" s="104">
        <v>41816327</v>
      </c>
      <c r="E304" s="198">
        <v>54632</v>
      </c>
    </row>
    <row r="305" spans="1:5">
      <c r="A305" s="14" t="s">
        <v>70</v>
      </c>
      <c r="B305" s="272">
        <v>11064386.41</v>
      </c>
      <c r="C305" s="106">
        <v>556027050.15999997</v>
      </c>
      <c r="D305" s="106">
        <v>547018189.55999994</v>
      </c>
      <c r="E305" s="272">
        <v>20073247.010000002</v>
      </c>
    </row>
    <row r="306" spans="1:5">
      <c r="A306" s="18" t="s">
        <v>804</v>
      </c>
      <c r="B306" s="273">
        <v>10890208.800000001</v>
      </c>
      <c r="C306" s="107">
        <v>517764519.16000003</v>
      </c>
      <c r="D306" s="107">
        <v>509027108.45999998</v>
      </c>
      <c r="E306" s="273">
        <v>19627619.5</v>
      </c>
    </row>
    <row r="307" spans="1:5">
      <c r="A307" s="190" t="s">
        <v>805</v>
      </c>
      <c r="B307" s="267">
        <v>14584.08</v>
      </c>
      <c r="C307" s="95"/>
      <c r="D307" s="112">
        <v>14584.08</v>
      </c>
      <c r="E307" s="96"/>
    </row>
    <row r="308" spans="1:5">
      <c r="A308" s="190" t="s">
        <v>806</v>
      </c>
      <c r="B308" s="267">
        <v>12797.11</v>
      </c>
      <c r="C308" s="95"/>
      <c r="D308" s="95"/>
      <c r="E308" s="267">
        <v>12797.11</v>
      </c>
    </row>
    <row r="309" spans="1:5">
      <c r="A309" s="15" t="s">
        <v>807</v>
      </c>
      <c r="B309" s="267">
        <v>67063.47</v>
      </c>
      <c r="C309" s="112">
        <v>13076859.5</v>
      </c>
      <c r="D309" s="112">
        <v>13003858.5</v>
      </c>
      <c r="E309" s="267">
        <v>140064.47</v>
      </c>
    </row>
    <row r="310" spans="1:5">
      <c r="A310" s="190" t="s">
        <v>808</v>
      </c>
      <c r="B310" s="267">
        <v>14182.35</v>
      </c>
      <c r="C310" s="95"/>
      <c r="D310" s="112">
        <v>88.5</v>
      </c>
      <c r="E310" s="267">
        <v>14093.85</v>
      </c>
    </row>
    <row r="311" spans="1:5">
      <c r="A311" s="15" t="s">
        <v>809</v>
      </c>
      <c r="B311" s="267">
        <v>19853.5</v>
      </c>
      <c r="C311" s="112">
        <v>11006</v>
      </c>
      <c r="D311" s="112">
        <v>6522</v>
      </c>
      <c r="E311" s="267">
        <v>24337.5</v>
      </c>
    </row>
    <row r="312" spans="1:5">
      <c r="A312" s="15" t="s">
        <v>810</v>
      </c>
      <c r="B312" s="267">
        <v>11654.5</v>
      </c>
      <c r="C312" s="95"/>
      <c r="D312" s="112">
        <v>11654.5</v>
      </c>
      <c r="E312" s="96"/>
    </row>
    <row r="313" spans="1:5">
      <c r="A313" s="15" t="s">
        <v>261</v>
      </c>
      <c r="B313" s="267">
        <v>4719220.25</v>
      </c>
      <c r="C313" s="112">
        <v>323581848.16000003</v>
      </c>
      <c r="D313" s="112">
        <v>314325950.43000001</v>
      </c>
      <c r="E313" s="267">
        <v>13975117.98</v>
      </c>
    </row>
    <row r="314" spans="1:5">
      <c r="A314" s="190" t="s">
        <v>811</v>
      </c>
      <c r="B314" s="267">
        <v>5411304.1699999999</v>
      </c>
      <c r="C314" s="112">
        <v>122987805.5</v>
      </c>
      <c r="D314" s="112">
        <v>125858544.45</v>
      </c>
      <c r="E314" s="267">
        <v>2540565.2200000002</v>
      </c>
    </row>
    <row r="315" spans="1:5">
      <c r="A315" s="190" t="s">
        <v>812</v>
      </c>
      <c r="B315" s="267">
        <v>584133.5</v>
      </c>
      <c r="C315" s="112">
        <v>58107000</v>
      </c>
      <c r="D315" s="112">
        <v>55805906</v>
      </c>
      <c r="E315" s="267">
        <v>2885227.5</v>
      </c>
    </row>
    <row r="316" spans="1:5">
      <c r="A316" s="190" t="s">
        <v>813</v>
      </c>
      <c r="B316" s="267">
        <v>21297.87</v>
      </c>
      <c r="C316" s="95"/>
      <c r="D316" s="95"/>
      <c r="E316" s="267">
        <v>21297.87</v>
      </c>
    </row>
    <row r="317" spans="1:5">
      <c r="A317" s="190" t="s">
        <v>814</v>
      </c>
      <c r="B317" s="267">
        <v>14118</v>
      </c>
      <c r="C317" s="95"/>
      <c r="D317" s="95"/>
      <c r="E317" s="267">
        <v>14118</v>
      </c>
    </row>
    <row r="318" spans="1:5">
      <c r="A318" s="18" t="s">
        <v>815</v>
      </c>
      <c r="B318" s="269">
        <v>174177.61</v>
      </c>
      <c r="C318" s="93">
        <v>38262531</v>
      </c>
      <c r="D318" s="93">
        <v>37991081.100000001</v>
      </c>
      <c r="E318" s="269">
        <v>445627.51</v>
      </c>
    </row>
    <row r="319" spans="1:5">
      <c r="A319" s="15" t="s">
        <v>816</v>
      </c>
      <c r="B319" s="267">
        <v>11681.17</v>
      </c>
      <c r="C319" s="95"/>
      <c r="D319" s="95"/>
      <c r="E319" s="267">
        <v>11681.17</v>
      </c>
    </row>
    <row r="320" spans="1:5">
      <c r="A320" s="190" t="s">
        <v>817</v>
      </c>
      <c r="B320" s="267">
        <v>26862.32</v>
      </c>
      <c r="C320" s="95"/>
      <c r="D320" s="95"/>
      <c r="E320" s="267">
        <v>26862.32</v>
      </c>
    </row>
    <row r="321" spans="1:5">
      <c r="A321" s="190" t="s">
        <v>818</v>
      </c>
      <c r="B321" s="267">
        <v>78977.98</v>
      </c>
      <c r="C321" s="112">
        <v>36640444</v>
      </c>
      <c r="D321" s="112">
        <v>36398921.100000001</v>
      </c>
      <c r="E321" s="267">
        <v>320500.88</v>
      </c>
    </row>
    <row r="322" spans="1:5">
      <c r="A322" s="190" t="s">
        <v>819</v>
      </c>
      <c r="B322" s="267">
        <v>19675.75</v>
      </c>
      <c r="C322" s="112">
        <v>1622087</v>
      </c>
      <c r="D322" s="112">
        <v>1566385</v>
      </c>
      <c r="E322" s="267">
        <v>75377.75</v>
      </c>
    </row>
    <row r="323" spans="1:5">
      <c r="A323" s="15" t="s">
        <v>820</v>
      </c>
      <c r="B323" s="267">
        <v>11037.14</v>
      </c>
      <c r="C323" s="95"/>
      <c r="D323" s="95"/>
      <c r="E323" s="267">
        <v>11037.14</v>
      </c>
    </row>
    <row r="324" spans="1:5">
      <c r="A324" s="190" t="s">
        <v>821</v>
      </c>
      <c r="B324" s="267">
        <v>25943.25</v>
      </c>
      <c r="C324" s="95"/>
      <c r="D324" s="112">
        <v>25775</v>
      </c>
      <c r="E324" s="267">
        <v>168.25</v>
      </c>
    </row>
    <row r="325" spans="1:5">
      <c r="A325" s="13" t="s">
        <v>99</v>
      </c>
      <c r="B325" s="267">
        <v>14630626</v>
      </c>
      <c r="C325" s="112">
        <v>6167419</v>
      </c>
      <c r="D325" s="112">
        <v>1953747</v>
      </c>
      <c r="E325" s="267">
        <v>18844298</v>
      </c>
    </row>
    <row r="326" spans="1:5">
      <c r="A326" s="1" t="s">
        <v>100</v>
      </c>
      <c r="B326" s="270">
        <v>206535105.90000001</v>
      </c>
      <c r="C326" s="93">
        <v>180703054.80000001</v>
      </c>
      <c r="D326" s="93">
        <v>148947784.90000001</v>
      </c>
      <c r="E326" s="270">
        <v>238290375.80000001</v>
      </c>
    </row>
    <row r="327" spans="1:5">
      <c r="A327" s="13" t="s">
        <v>2036</v>
      </c>
      <c r="B327" s="96"/>
      <c r="C327" s="112">
        <v>3239477</v>
      </c>
      <c r="D327" s="112">
        <v>3130017</v>
      </c>
      <c r="E327" s="267">
        <v>109460</v>
      </c>
    </row>
    <row r="328" spans="1:5">
      <c r="A328" s="13" t="s">
        <v>2037</v>
      </c>
      <c r="B328" s="96"/>
      <c r="C328" s="112">
        <v>768200</v>
      </c>
      <c r="D328" s="112">
        <v>551004</v>
      </c>
      <c r="E328" s="267">
        <v>217196</v>
      </c>
    </row>
    <row r="329" spans="1:5">
      <c r="A329" s="13" t="s">
        <v>822</v>
      </c>
      <c r="B329" s="263">
        <v>201</v>
      </c>
      <c r="C329" s="95"/>
      <c r="D329" s="95"/>
      <c r="E329" s="263">
        <v>201</v>
      </c>
    </row>
    <row r="330" spans="1:5">
      <c r="A330" s="13" t="s">
        <v>1246</v>
      </c>
      <c r="B330" s="263">
        <v>34050</v>
      </c>
      <c r="C330" s="95"/>
      <c r="D330" s="95"/>
      <c r="E330" s="263">
        <v>34050</v>
      </c>
    </row>
    <row r="331" spans="1:5">
      <c r="A331" s="13" t="s">
        <v>1245</v>
      </c>
      <c r="B331" s="263">
        <v>1544</v>
      </c>
      <c r="C331" s="95"/>
      <c r="D331" s="95"/>
      <c r="E331" s="263">
        <v>1544</v>
      </c>
    </row>
    <row r="332" spans="1:5">
      <c r="A332" s="13" t="s">
        <v>2038</v>
      </c>
      <c r="B332" s="96"/>
      <c r="C332" s="112">
        <v>3487587</v>
      </c>
      <c r="D332" s="112">
        <v>3229368</v>
      </c>
      <c r="E332" s="267">
        <v>258219</v>
      </c>
    </row>
    <row r="333" spans="1:5">
      <c r="A333" s="13" t="s">
        <v>2039</v>
      </c>
      <c r="B333" s="96"/>
      <c r="C333" s="112">
        <v>1629169</v>
      </c>
      <c r="D333" s="112">
        <v>1615093</v>
      </c>
      <c r="E333" s="267">
        <v>14076</v>
      </c>
    </row>
    <row r="334" spans="1:5">
      <c r="A334" s="13" t="s">
        <v>2040</v>
      </c>
      <c r="B334" s="96"/>
      <c r="C334" s="112">
        <v>3545842</v>
      </c>
      <c r="D334" s="112">
        <v>3508497</v>
      </c>
      <c r="E334" s="267">
        <v>37345</v>
      </c>
    </row>
    <row r="335" spans="1:5">
      <c r="A335" s="13" t="s">
        <v>2041</v>
      </c>
      <c r="B335" s="96"/>
      <c r="C335" s="112">
        <v>69000</v>
      </c>
      <c r="D335" s="112">
        <v>65845</v>
      </c>
      <c r="E335" s="267">
        <v>3155</v>
      </c>
    </row>
    <row r="336" spans="1:5">
      <c r="A336" s="13" t="s">
        <v>824</v>
      </c>
      <c r="B336" s="263">
        <v>800</v>
      </c>
      <c r="C336" s="95"/>
      <c r="D336" s="95"/>
      <c r="E336" s="263">
        <v>800</v>
      </c>
    </row>
    <row r="337" spans="1:5">
      <c r="A337" s="13" t="s">
        <v>825</v>
      </c>
      <c r="B337" s="267">
        <v>2727</v>
      </c>
      <c r="C337" s="95"/>
      <c r="D337" s="95"/>
      <c r="E337" s="267">
        <v>2727</v>
      </c>
    </row>
    <row r="338" spans="1:5">
      <c r="A338" s="13" t="s">
        <v>1078</v>
      </c>
      <c r="B338" s="96"/>
      <c r="C338" s="112">
        <v>45000</v>
      </c>
      <c r="D338" s="95"/>
      <c r="E338" s="267">
        <v>45000</v>
      </c>
    </row>
    <row r="339" spans="1:5">
      <c r="A339" s="13" t="s">
        <v>2042</v>
      </c>
      <c r="B339" s="96"/>
      <c r="C339" s="112">
        <v>664182</v>
      </c>
      <c r="D339" s="112">
        <v>572562</v>
      </c>
      <c r="E339" s="267">
        <v>91620</v>
      </c>
    </row>
    <row r="340" spans="1:5">
      <c r="A340" s="13" t="s">
        <v>1733</v>
      </c>
      <c r="B340" s="267">
        <v>383462</v>
      </c>
      <c r="C340" s="112">
        <v>18298630</v>
      </c>
      <c r="D340" s="112">
        <v>18515675</v>
      </c>
      <c r="E340" s="267">
        <v>166417</v>
      </c>
    </row>
    <row r="341" spans="1:5">
      <c r="A341" s="13" t="s">
        <v>1734</v>
      </c>
      <c r="B341" s="267">
        <v>125335</v>
      </c>
      <c r="C341" s="112">
        <v>1058911</v>
      </c>
      <c r="D341" s="112">
        <v>1184246</v>
      </c>
      <c r="E341" s="96"/>
    </row>
    <row r="342" spans="1:5">
      <c r="A342" s="13" t="s">
        <v>830</v>
      </c>
      <c r="B342" s="263">
        <v>500</v>
      </c>
      <c r="C342" s="112">
        <v>13963718.6</v>
      </c>
      <c r="D342" s="112">
        <v>13963718.6</v>
      </c>
      <c r="E342" s="263">
        <v>500</v>
      </c>
    </row>
    <row r="343" spans="1:5">
      <c r="A343" s="13" t="s">
        <v>2043</v>
      </c>
      <c r="B343" s="96"/>
      <c r="C343" s="112">
        <v>5852936</v>
      </c>
      <c r="D343" s="112">
        <v>5596817</v>
      </c>
      <c r="E343" s="267">
        <v>256119</v>
      </c>
    </row>
    <row r="344" spans="1:5">
      <c r="A344" s="13" t="s">
        <v>835</v>
      </c>
      <c r="B344" s="263">
        <v>2000</v>
      </c>
      <c r="C344" s="95"/>
      <c r="D344" s="95"/>
      <c r="E344" s="263">
        <v>2000</v>
      </c>
    </row>
    <row r="345" spans="1:5">
      <c r="A345" s="13" t="s">
        <v>2044</v>
      </c>
      <c r="B345" s="267">
        <v>4000</v>
      </c>
      <c r="C345" s="112">
        <v>5900188</v>
      </c>
      <c r="D345" s="112">
        <v>5904188</v>
      </c>
      <c r="E345" s="96"/>
    </row>
    <row r="346" spans="1:5">
      <c r="A346" s="13" t="s">
        <v>2045</v>
      </c>
      <c r="B346" s="267">
        <v>140394</v>
      </c>
      <c r="C346" s="112">
        <v>8409972</v>
      </c>
      <c r="D346" s="112">
        <v>8411992</v>
      </c>
      <c r="E346" s="267">
        <v>138374</v>
      </c>
    </row>
    <row r="347" spans="1:5">
      <c r="A347" s="13" t="s">
        <v>1737</v>
      </c>
      <c r="B347" s="267">
        <v>371059</v>
      </c>
      <c r="C347" s="112">
        <v>5938639</v>
      </c>
      <c r="D347" s="112">
        <v>6321426</v>
      </c>
      <c r="E347" s="263">
        <v>11728</v>
      </c>
    </row>
    <row r="348" spans="1:5">
      <c r="A348" s="13" t="s">
        <v>2047</v>
      </c>
      <c r="B348" s="96"/>
      <c r="C348" s="112">
        <v>1168975</v>
      </c>
      <c r="D348" s="112">
        <v>903392</v>
      </c>
      <c r="E348" s="267">
        <v>265583</v>
      </c>
    </row>
    <row r="349" spans="1:5">
      <c r="A349" s="13" t="s">
        <v>836</v>
      </c>
      <c r="B349" s="267">
        <v>88647</v>
      </c>
      <c r="C349" s="95"/>
      <c r="D349" s="95"/>
      <c r="E349" s="267">
        <v>88647</v>
      </c>
    </row>
    <row r="350" spans="1:5">
      <c r="A350" s="13" t="s">
        <v>1243</v>
      </c>
      <c r="B350" s="267">
        <v>32269</v>
      </c>
      <c r="C350" s="95"/>
      <c r="D350" s="95"/>
      <c r="E350" s="267">
        <v>32269</v>
      </c>
    </row>
    <row r="351" spans="1:5">
      <c r="A351" s="13" t="s">
        <v>1242</v>
      </c>
      <c r="B351" s="263">
        <v>13192</v>
      </c>
      <c r="C351" s="112">
        <v>13192</v>
      </c>
      <c r="D351" s="95"/>
      <c r="E351" s="96"/>
    </row>
    <row r="352" spans="1:5">
      <c r="A352" s="13" t="s">
        <v>2048</v>
      </c>
      <c r="B352" s="96"/>
      <c r="C352" s="112">
        <v>4494038</v>
      </c>
      <c r="D352" s="112">
        <v>4411654</v>
      </c>
      <c r="E352" s="267">
        <v>82384</v>
      </c>
    </row>
    <row r="353" spans="1:5">
      <c r="A353" s="13" t="s">
        <v>837</v>
      </c>
      <c r="B353" s="267">
        <v>75</v>
      </c>
      <c r="C353" s="95"/>
      <c r="D353" s="95"/>
      <c r="E353" s="267">
        <v>75</v>
      </c>
    </row>
    <row r="354" spans="1:5">
      <c r="A354" s="13" t="s">
        <v>838</v>
      </c>
      <c r="B354" s="267">
        <v>5578</v>
      </c>
      <c r="C354" s="95"/>
      <c r="D354" s="95"/>
      <c r="E354" s="267">
        <v>5578</v>
      </c>
    </row>
    <row r="355" spans="1:5">
      <c r="A355" s="13" t="s">
        <v>839</v>
      </c>
      <c r="B355" s="267">
        <v>22244</v>
      </c>
      <c r="C355" s="95"/>
      <c r="D355" s="95"/>
      <c r="E355" s="267">
        <v>22244</v>
      </c>
    </row>
    <row r="356" spans="1:5">
      <c r="A356" s="13" t="s">
        <v>840</v>
      </c>
      <c r="B356" s="267">
        <v>18095</v>
      </c>
      <c r="C356" s="95"/>
      <c r="D356" s="95"/>
      <c r="E356" s="267">
        <v>18095</v>
      </c>
    </row>
    <row r="357" spans="1:5">
      <c r="A357" s="13" t="s">
        <v>841</v>
      </c>
      <c r="B357" s="267">
        <v>31056</v>
      </c>
      <c r="C357" s="95"/>
      <c r="D357" s="95"/>
      <c r="E357" s="267">
        <v>31056</v>
      </c>
    </row>
    <row r="358" spans="1:5">
      <c r="A358" s="13" t="s">
        <v>842</v>
      </c>
      <c r="B358" s="267">
        <v>27512</v>
      </c>
      <c r="C358" s="95"/>
      <c r="D358" s="95"/>
      <c r="E358" s="267">
        <v>27512</v>
      </c>
    </row>
    <row r="359" spans="1:5">
      <c r="A359" s="13" t="s">
        <v>843</v>
      </c>
      <c r="B359" s="263">
        <v>2000</v>
      </c>
      <c r="C359" s="95"/>
      <c r="D359" s="95"/>
      <c r="E359" s="263">
        <v>2000</v>
      </c>
    </row>
    <row r="360" spans="1:5">
      <c r="A360" s="13" t="s">
        <v>2049</v>
      </c>
      <c r="B360" s="96"/>
      <c r="C360" s="112">
        <v>1727328</v>
      </c>
      <c r="D360" s="112">
        <v>1727328</v>
      </c>
      <c r="E360" s="96"/>
    </row>
    <row r="361" spans="1:5">
      <c r="A361" s="13" t="s">
        <v>1241</v>
      </c>
      <c r="B361" s="267">
        <v>23403</v>
      </c>
      <c r="C361" s="112">
        <v>204320</v>
      </c>
      <c r="D361" s="112">
        <v>227723</v>
      </c>
      <c r="E361" s="96"/>
    </row>
    <row r="362" spans="1:5">
      <c r="A362" s="13" t="s">
        <v>844</v>
      </c>
      <c r="B362" s="263">
        <v>2100</v>
      </c>
      <c r="C362" s="95"/>
      <c r="D362" s="95"/>
      <c r="E362" s="263">
        <v>2100</v>
      </c>
    </row>
    <row r="363" spans="1:5">
      <c r="A363" s="13" t="s">
        <v>845</v>
      </c>
      <c r="B363" s="263">
        <v>5745</v>
      </c>
      <c r="C363" s="95"/>
      <c r="D363" s="95"/>
      <c r="E363" s="263">
        <v>5745</v>
      </c>
    </row>
    <row r="364" spans="1:5">
      <c r="A364" s="13" t="s">
        <v>1738</v>
      </c>
      <c r="B364" s="263">
        <v>9543</v>
      </c>
      <c r="C364" s="112">
        <v>55048</v>
      </c>
      <c r="D364" s="112">
        <v>45505</v>
      </c>
      <c r="E364" s="96"/>
    </row>
    <row r="365" spans="1:5">
      <c r="A365" s="13" t="s">
        <v>846</v>
      </c>
      <c r="B365" s="267">
        <v>3188</v>
      </c>
      <c r="C365" s="95"/>
      <c r="D365" s="95"/>
      <c r="E365" s="267">
        <v>3188</v>
      </c>
    </row>
    <row r="366" spans="1:5">
      <c r="A366" s="13" t="s">
        <v>1234</v>
      </c>
      <c r="B366" s="267">
        <v>275719.75</v>
      </c>
      <c r="C366" s="112">
        <v>25631566.399999999</v>
      </c>
      <c r="D366" s="112">
        <v>25702806.300000001</v>
      </c>
      <c r="E366" s="267">
        <v>204479.85</v>
      </c>
    </row>
    <row r="367" spans="1:5">
      <c r="A367" s="13" t="s">
        <v>849</v>
      </c>
      <c r="B367" s="263">
        <v>1000</v>
      </c>
      <c r="C367" s="95"/>
      <c r="D367" s="95"/>
      <c r="E367" s="263">
        <v>1000</v>
      </c>
    </row>
    <row r="368" spans="1:5">
      <c r="A368" s="13" t="s">
        <v>850</v>
      </c>
      <c r="B368" s="267">
        <v>2950</v>
      </c>
      <c r="C368" s="95"/>
      <c r="D368" s="95"/>
      <c r="E368" s="267">
        <v>2950</v>
      </c>
    </row>
    <row r="369" spans="1:5">
      <c r="A369" s="13" t="s">
        <v>1739</v>
      </c>
      <c r="B369" s="267">
        <v>90989</v>
      </c>
      <c r="C369" s="112">
        <v>1722089</v>
      </c>
      <c r="D369" s="112">
        <v>1807577</v>
      </c>
      <c r="E369" s="267">
        <v>5501</v>
      </c>
    </row>
    <row r="370" spans="1:5">
      <c r="A370" s="13" t="s">
        <v>1740</v>
      </c>
      <c r="B370" s="267">
        <v>4169</v>
      </c>
      <c r="C370" s="112">
        <v>144349</v>
      </c>
      <c r="D370" s="112">
        <v>148518</v>
      </c>
      <c r="E370" s="96"/>
    </row>
    <row r="371" spans="1:5">
      <c r="A371" s="13" t="s">
        <v>854</v>
      </c>
      <c r="B371" s="263">
        <v>2494</v>
      </c>
      <c r="C371" s="95"/>
      <c r="D371" s="95"/>
      <c r="E371" s="263">
        <v>2494</v>
      </c>
    </row>
    <row r="372" spans="1:5">
      <c r="A372" s="13" t="s">
        <v>1521</v>
      </c>
      <c r="B372" s="263">
        <v>1577</v>
      </c>
      <c r="C372" s="95"/>
      <c r="D372" s="95"/>
      <c r="E372" s="263">
        <v>1577</v>
      </c>
    </row>
    <row r="373" spans="1:5">
      <c r="A373" s="13" t="s">
        <v>1741</v>
      </c>
      <c r="B373" s="267">
        <v>77335</v>
      </c>
      <c r="C373" s="112">
        <v>99771</v>
      </c>
      <c r="D373" s="112">
        <v>177106</v>
      </c>
      <c r="E373" s="96"/>
    </row>
    <row r="374" spans="1:5">
      <c r="A374" s="13" t="s">
        <v>2051</v>
      </c>
      <c r="B374" s="96"/>
      <c r="C374" s="112">
        <v>764979</v>
      </c>
      <c r="D374" s="112">
        <v>764979</v>
      </c>
      <c r="E374" s="96"/>
    </row>
    <row r="375" spans="1:5">
      <c r="A375" s="13" t="s">
        <v>1742</v>
      </c>
      <c r="B375" s="267">
        <v>57133</v>
      </c>
      <c r="C375" s="112">
        <v>1580661</v>
      </c>
      <c r="D375" s="112">
        <v>1637794</v>
      </c>
      <c r="E375" s="96"/>
    </row>
    <row r="376" spans="1:5">
      <c r="A376" s="13" t="s">
        <v>1743</v>
      </c>
      <c r="B376" s="267">
        <v>130623</v>
      </c>
      <c r="C376" s="112">
        <v>5440622</v>
      </c>
      <c r="D376" s="112">
        <v>5567715</v>
      </c>
      <c r="E376" s="267">
        <v>3530</v>
      </c>
    </row>
    <row r="377" spans="1:5">
      <c r="A377" s="13" t="s">
        <v>1744</v>
      </c>
      <c r="B377" s="267">
        <v>595616</v>
      </c>
      <c r="C377" s="112">
        <v>7980505</v>
      </c>
      <c r="D377" s="112">
        <v>8543829</v>
      </c>
      <c r="E377" s="267">
        <v>32292</v>
      </c>
    </row>
    <row r="378" spans="1:5">
      <c r="A378" s="13" t="s">
        <v>2052</v>
      </c>
      <c r="B378" s="96"/>
      <c r="C378" s="112">
        <v>1395561</v>
      </c>
      <c r="D378" s="112">
        <v>1352799</v>
      </c>
      <c r="E378" s="267">
        <v>42762</v>
      </c>
    </row>
    <row r="379" spans="1:5">
      <c r="A379" s="13" t="s">
        <v>2053</v>
      </c>
      <c r="B379" s="96"/>
      <c r="C379" s="112">
        <v>19703675</v>
      </c>
      <c r="D379" s="112">
        <v>18803575</v>
      </c>
      <c r="E379" s="267">
        <v>900100</v>
      </c>
    </row>
    <row r="380" spans="1:5">
      <c r="A380" s="13" t="s">
        <v>855</v>
      </c>
      <c r="B380" s="267">
        <v>1184066.7</v>
      </c>
      <c r="C380" s="95"/>
      <c r="D380" s="95"/>
      <c r="E380" s="267">
        <v>1184066.7</v>
      </c>
    </row>
    <row r="381" spans="1:5">
      <c r="A381" s="13" t="s">
        <v>1239</v>
      </c>
      <c r="B381" s="267">
        <v>1500</v>
      </c>
      <c r="C381" s="95"/>
      <c r="D381" s="95"/>
      <c r="E381" s="267">
        <v>1500</v>
      </c>
    </row>
    <row r="382" spans="1:5">
      <c r="A382" s="13" t="s">
        <v>256</v>
      </c>
      <c r="B382" s="267">
        <v>202845586.44999999</v>
      </c>
      <c r="C382" s="112">
        <v>31613574.800000001</v>
      </c>
      <c r="D382" s="112">
        <v>526718</v>
      </c>
      <c r="E382" s="267">
        <v>233932443.25</v>
      </c>
    </row>
    <row r="383" spans="1:5">
      <c r="A383" s="13" t="s">
        <v>859</v>
      </c>
      <c r="B383" s="267">
        <v>10812</v>
      </c>
      <c r="C383" s="95"/>
      <c r="D383" s="95"/>
      <c r="E383" s="267">
        <v>10812</v>
      </c>
    </row>
    <row r="384" spans="1:5">
      <c r="A384" s="13" t="s">
        <v>860</v>
      </c>
      <c r="B384" s="267">
        <v>6042</v>
      </c>
      <c r="C384" s="95"/>
      <c r="D384" s="95"/>
      <c r="E384" s="267">
        <v>6042</v>
      </c>
    </row>
    <row r="385" spans="1:5">
      <c r="A385" s="13" t="s">
        <v>1745</v>
      </c>
      <c r="B385" s="263">
        <v>7009</v>
      </c>
      <c r="C385" s="112">
        <v>7009</v>
      </c>
      <c r="D385" s="95"/>
      <c r="E385" s="96"/>
    </row>
    <row r="386" spans="1:5">
      <c r="A386" s="13" t="s">
        <v>861</v>
      </c>
      <c r="B386" s="263">
        <v>6589</v>
      </c>
      <c r="C386" s="95"/>
      <c r="D386" s="95"/>
      <c r="E386" s="263">
        <v>6589</v>
      </c>
    </row>
    <row r="387" spans="1:5">
      <c r="A387" s="13" t="s">
        <v>1238</v>
      </c>
      <c r="B387" s="267">
        <v>32710</v>
      </c>
      <c r="C387" s="112">
        <v>31396</v>
      </c>
      <c r="D387" s="112">
        <v>64106</v>
      </c>
      <c r="E387" s="96"/>
    </row>
    <row r="388" spans="1:5">
      <c r="A388" s="13" t="s">
        <v>2054</v>
      </c>
      <c r="B388" s="96"/>
      <c r="C388" s="112">
        <v>3785944</v>
      </c>
      <c r="D388" s="112">
        <v>3747280</v>
      </c>
      <c r="E388" s="267">
        <v>38664</v>
      </c>
    </row>
    <row r="389" spans="1:5">
      <c r="A389" s="13" t="s">
        <v>1529</v>
      </c>
      <c r="B389" s="96"/>
      <c r="C389" s="112">
        <v>267000</v>
      </c>
      <c r="D389" s="112">
        <v>216932</v>
      </c>
      <c r="E389" s="267">
        <v>50068</v>
      </c>
    </row>
    <row r="390" spans="1:5">
      <c r="A390" s="13" t="s">
        <v>1235</v>
      </c>
      <c r="B390" s="263">
        <v>2987</v>
      </c>
      <c r="C390" s="95"/>
      <c r="D390" s="95"/>
      <c r="E390" s="263">
        <v>2987</v>
      </c>
    </row>
    <row r="391" spans="1:5">
      <c r="A391" s="13" t="s">
        <v>864</v>
      </c>
      <c r="B391" s="267">
        <v>19090</v>
      </c>
      <c r="C391" s="95"/>
      <c r="D391" s="95"/>
      <c r="E391" s="267">
        <v>19090</v>
      </c>
    </row>
    <row r="392" spans="1:5">
      <c r="A392" s="13" t="s">
        <v>865</v>
      </c>
      <c r="B392" s="267">
        <v>6188</v>
      </c>
      <c r="C392" s="95"/>
      <c r="D392" s="95"/>
      <c r="E392" s="267">
        <v>6188</v>
      </c>
    </row>
    <row r="393" spans="1:5">
      <c r="A393" s="13" t="s">
        <v>866</v>
      </c>
      <c r="B393" s="267">
        <v>6576</v>
      </c>
      <c r="C393" s="95"/>
      <c r="D393" s="95"/>
      <c r="E393" s="267">
        <v>6576</v>
      </c>
    </row>
    <row r="394" spans="1:5">
      <c r="A394" s="13" t="s">
        <v>867</v>
      </c>
      <c r="B394" s="267">
        <v>486</v>
      </c>
      <c r="C394" s="95"/>
      <c r="D394" s="95"/>
      <c r="E394" s="267">
        <v>486</v>
      </c>
    </row>
    <row r="395" spans="1:5">
      <c r="A395" s="13" t="s">
        <v>868</v>
      </c>
      <c r="B395" s="267">
        <v>2101</v>
      </c>
      <c r="C395" s="95"/>
      <c r="D395" s="95"/>
      <c r="E395" s="267">
        <v>2101</v>
      </c>
    </row>
    <row r="396" spans="1:5">
      <c r="A396" s="13" t="s">
        <v>869</v>
      </c>
      <c r="B396" s="263">
        <v>300</v>
      </c>
      <c r="C396" s="95"/>
      <c r="D396" s="95"/>
      <c r="E396" s="263">
        <v>300</v>
      </c>
    </row>
    <row r="397" spans="1:5">
      <c r="A397" s="1" t="s">
        <v>101</v>
      </c>
      <c r="B397" s="270">
        <v>285143</v>
      </c>
      <c r="C397" s="93">
        <v>36945708</v>
      </c>
      <c r="D397" s="93">
        <v>36957619</v>
      </c>
      <c r="E397" s="270">
        <v>273232</v>
      </c>
    </row>
    <row r="398" spans="1:5">
      <c r="A398" s="13" t="s">
        <v>870</v>
      </c>
      <c r="B398" s="263">
        <v>4882.5</v>
      </c>
      <c r="C398" s="112">
        <v>185790</v>
      </c>
      <c r="D398" s="112">
        <v>178736</v>
      </c>
      <c r="E398" s="267">
        <v>2171.5</v>
      </c>
    </row>
    <row r="399" spans="1:5">
      <c r="A399" s="13" t="s">
        <v>871</v>
      </c>
      <c r="B399" s="267">
        <v>2612.5</v>
      </c>
      <c r="C399" s="112">
        <v>31500</v>
      </c>
      <c r="D399" s="112">
        <v>32190</v>
      </c>
      <c r="E399" s="267">
        <v>1922.5</v>
      </c>
    </row>
    <row r="400" spans="1:5">
      <c r="A400" s="13" t="s">
        <v>872</v>
      </c>
      <c r="B400" s="263">
        <v>1768</v>
      </c>
      <c r="C400" s="112">
        <v>1768</v>
      </c>
      <c r="D400" s="95"/>
      <c r="E400" s="96"/>
    </row>
    <row r="401" spans="1:5">
      <c r="A401" s="13" t="s">
        <v>873</v>
      </c>
      <c r="B401" s="267">
        <v>3936</v>
      </c>
      <c r="C401" s="112">
        <v>193317</v>
      </c>
      <c r="D401" s="112">
        <v>195216</v>
      </c>
      <c r="E401" s="267">
        <v>2037</v>
      </c>
    </row>
    <row r="402" spans="1:5">
      <c r="A402" s="13" t="s">
        <v>874</v>
      </c>
      <c r="B402" s="267">
        <v>1206.2</v>
      </c>
      <c r="C402" s="112">
        <v>156970</v>
      </c>
      <c r="D402" s="112">
        <v>134642</v>
      </c>
      <c r="E402" s="267">
        <v>23534.2</v>
      </c>
    </row>
    <row r="403" spans="1:5">
      <c r="A403" s="13" t="s">
        <v>875</v>
      </c>
      <c r="B403" s="267">
        <v>908</v>
      </c>
      <c r="C403" s="95"/>
      <c r="D403" s="95"/>
      <c r="E403" s="267">
        <v>908</v>
      </c>
    </row>
    <row r="404" spans="1:5">
      <c r="A404" s="13" t="s">
        <v>2055</v>
      </c>
      <c r="B404" s="96"/>
      <c r="C404" s="112">
        <v>40000</v>
      </c>
      <c r="D404" s="112">
        <v>40000</v>
      </c>
      <c r="E404" s="96"/>
    </row>
    <row r="405" spans="1:5">
      <c r="A405" s="13" t="s">
        <v>1746</v>
      </c>
      <c r="B405" s="267">
        <v>2000</v>
      </c>
      <c r="C405" s="112">
        <v>55000</v>
      </c>
      <c r="D405" s="112">
        <v>57000</v>
      </c>
      <c r="E405" s="96"/>
    </row>
    <row r="406" spans="1:5">
      <c r="A406" s="13" t="s">
        <v>1747</v>
      </c>
      <c r="B406" s="267">
        <v>20105</v>
      </c>
      <c r="C406" s="112">
        <v>9000</v>
      </c>
      <c r="D406" s="95"/>
      <c r="E406" s="267">
        <v>29105</v>
      </c>
    </row>
    <row r="407" spans="1:5">
      <c r="A407" s="13" t="s">
        <v>2056</v>
      </c>
      <c r="B407" s="96"/>
      <c r="C407" s="112">
        <v>17500</v>
      </c>
      <c r="D407" s="112">
        <v>17500</v>
      </c>
      <c r="E407" s="96"/>
    </row>
    <row r="408" spans="1:5">
      <c r="A408" s="13" t="s">
        <v>876</v>
      </c>
      <c r="B408" s="263">
        <v>3702</v>
      </c>
      <c r="C408" s="112">
        <v>37155</v>
      </c>
      <c r="D408" s="112">
        <v>28325</v>
      </c>
      <c r="E408" s="267">
        <v>5128</v>
      </c>
    </row>
    <row r="409" spans="1:5">
      <c r="A409" s="13" t="s">
        <v>2057</v>
      </c>
      <c r="B409" s="96"/>
      <c r="C409" s="112">
        <v>15000</v>
      </c>
      <c r="D409" s="95"/>
      <c r="E409" s="267">
        <v>15000</v>
      </c>
    </row>
    <row r="410" spans="1:5">
      <c r="A410" s="13" t="s">
        <v>2058</v>
      </c>
      <c r="B410" s="96"/>
      <c r="C410" s="112">
        <v>4000</v>
      </c>
      <c r="D410" s="112">
        <v>4000</v>
      </c>
      <c r="E410" s="96"/>
    </row>
    <row r="411" spans="1:5">
      <c r="A411" s="13" t="s">
        <v>877</v>
      </c>
      <c r="B411" s="267">
        <v>167004</v>
      </c>
      <c r="C411" s="112">
        <v>13000</v>
      </c>
      <c r="D411" s="112">
        <v>11000</v>
      </c>
      <c r="E411" s="267">
        <v>169004</v>
      </c>
    </row>
    <row r="412" spans="1:5">
      <c r="A412" s="13" t="s">
        <v>2059</v>
      </c>
      <c r="B412" s="96"/>
      <c r="C412" s="112">
        <v>1545</v>
      </c>
      <c r="D412" s="112">
        <v>1545</v>
      </c>
      <c r="E412" s="96"/>
    </row>
    <row r="413" spans="1:5">
      <c r="A413" s="13" t="s">
        <v>2060</v>
      </c>
      <c r="B413" s="96"/>
      <c r="C413" s="112">
        <v>10000</v>
      </c>
      <c r="D413" s="112">
        <v>10000</v>
      </c>
      <c r="E413" s="96"/>
    </row>
    <row r="414" spans="1:5">
      <c r="A414" s="13" t="s">
        <v>2061</v>
      </c>
      <c r="B414" s="96"/>
      <c r="C414" s="112">
        <v>5000</v>
      </c>
      <c r="D414" s="112">
        <v>5000</v>
      </c>
      <c r="E414" s="96"/>
    </row>
    <row r="415" spans="1:5">
      <c r="A415" s="13" t="s">
        <v>2062</v>
      </c>
      <c r="B415" s="96"/>
      <c r="C415" s="112">
        <v>8000</v>
      </c>
      <c r="D415" s="112">
        <v>11000</v>
      </c>
      <c r="E415" s="263">
        <v>3000</v>
      </c>
    </row>
    <row r="416" spans="1:5">
      <c r="A416" s="13" t="s">
        <v>879</v>
      </c>
      <c r="B416" s="267">
        <v>25655</v>
      </c>
      <c r="C416" s="112">
        <v>176221</v>
      </c>
      <c r="D416" s="112">
        <v>226286</v>
      </c>
      <c r="E416" s="263">
        <v>24410</v>
      </c>
    </row>
    <row r="417" spans="1:5">
      <c r="A417" s="13" t="s">
        <v>2063</v>
      </c>
      <c r="B417" s="96"/>
      <c r="C417" s="112">
        <v>30000</v>
      </c>
      <c r="D417" s="112">
        <v>36000</v>
      </c>
      <c r="E417" s="263">
        <v>6000</v>
      </c>
    </row>
    <row r="418" spans="1:5">
      <c r="A418" s="13" t="s">
        <v>1532</v>
      </c>
      <c r="B418" s="267">
        <v>299</v>
      </c>
      <c r="C418" s="112">
        <v>10100</v>
      </c>
      <c r="D418" s="112">
        <v>10400</v>
      </c>
      <c r="E418" s="263">
        <v>1</v>
      </c>
    </row>
    <row r="419" spans="1:5">
      <c r="A419" s="13" t="s">
        <v>880</v>
      </c>
      <c r="B419" s="267">
        <v>2417.5</v>
      </c>
      <c r="C419" s="112">
        <v>32717</v>
      </c>
      <c r="D419" s="112">
        <v>30772</v>
      </c>
      <c r="E419" s="267">
        <v>4362.5</v>
      </c>
    </row>
    <row r="420" spans="1:5">
      <c r="A420" s="13" t="s">
        <v>1533</v>
      </c>
      <c r="B420" s="267">
        <v>35723</v>
      </c>
      <c r="C420" s="112">
        <v>73000</v>
      </c>
      <c r="D420" s="112">
        <v>96857</v>
      </c>
      <c r="E420" s="267">
        <v>11866</v>
      </c>
    </row>
    <row r="421" spans="1:5">
      <c r="A421" s="13" t="s">
        <v>1534</v>
      </c>
      <c r="B421" s="267">
        <v>4415</v>
      </c>
      <c r="C421" s="95"/>
      <c r="D421" s="95"/>
      <c r="E421" s="267">
        <v>4415</v>
      </c>
    </row>
    <row r="422" spans="1:5">
      <c r="A422" s="13" t="s">
        <v>883</v>
      </c>
      <c r="B422" s="263">
        <v>3919</v>
      </c>
      <c r="C422" s="112">
        <v>81356</v>
      </c>
      <c r="D422" s="112">
        <v>71312</v>
      </c>
      <c r="E422" s="267">
        <v>6125</v>
      </c>
    </row>
    <row r="423" spans="1:5">
      <c r="A423" s="13" t="s">
        <v>884</v>
      </c>
      <c r="B423" s="267">
        <v>1461.3</v>
      </c>
      <c r="C423" s="112">
        <v>403536</v>
      </c>
      <c r="D423" s="112">
        <v>408986</v>
      </c>
      <c r="E423" s="263">
        <v>3988.7</v>
      </c>
    </row>
    <row r="424" spans="1:5">
      <c r="A424" s="13" t="s">
        <v>885</v>
      </c>
      <c r="B424" s="267">
        <v>6634</v>
      </c>
      <c r="C424" s="112">
        <v>75300</v>
      </c>
      <c r="D424" s="112">
        <v>76800</v>
      </c>
      <c r="E424" s="267">
        <v>5134</v>
      </c>
    </row>
    <row r="425" spans="1:5">
      <c r="A425" s="13" t="s">
        <v>2064</v>
      </c>
      <c r="B425" s="96"/>
      <c r="C425" s="112">
        <v>35088483</v>
      </c>
      <c r="D425" s="112">
        <v>35088483</v>
      </c>
      <c r="E425" s="96"/>
    </row>
    <row r="426" spans="1:5">
      <c r="A426" s="13" t="s">
        <v>1748</v>
      </c>
      <c r="B426" s="267">
        <v>18383</v>
      </c>
      <c r="C426" s="95"/>
      <c r="D426" s="95"/>
      <c r="E426" s="267">
        <v>18383</v>
      </c>
    </row>
    <row r="427" spans="1:5">
      <c r="A427" s="13" t="s">
        <v>2065</v>
      </c>
      <c r="B427" s="96"/>
      <c r="C427" s="112">
        <v>6000</v>
      </c>
      <c r="D427" s="112">
        <v>5114</v>
      </c>
      <c r="E427" s="267">
        <v>886</v>
      </c>
    </row>
    <row r="428" spans="1:5">
      <c r="A428" s="13" t="s">
        <v>2066</v>
      </c>
      <c r="B428" s="96"/>
      <c r="C428" s="112">
        <v>24000</v>
      </c>
      <c r="D428" s="112">
        <v>22505</v>
      </c>
      <c r="E428" s="267">
        <v>1495</v>
      </c>
    </row>
    <row r="429" spans="1:5">
      <c r="A429" s="13" t="s">
        <v>1233</v>
      </c>
      <c r="B429" s="96"/>
      <c r="C429" s="112">
        <v>3000</v>
      </c>
      <c r="D429" s="112">
        <v>3000</v>
      </c>
      <c r="E429" s="96"/>
    </row>
    <row r="430" spans="1:5">
      <c r="A430" s="13" t="s">
        <v>1749</v>
      </c>
      <c r="B430" s="267">
        <v>3000</v>
      </c>
      <c r="C430" s="95"/>
      <c r="D430" s="95"/>
      <c r="E430" s="267">
        <v>3000</v>
      </c>
    </row>
    <row r="431" spans="1:5">
      <c r="A431" s="13" t="s">
        <v>1093</v>
      </c>
      <c r="B431" s="267">
        <v>1000</v>
      </c>
      <c r="C431" s="112">
        <v>64300</v>
      </c>
      <c r="D431" s="112">
        <v>65300</v>
      </c>
      <c r="E431" s="96"/>
    </row>
    <row r="432" spans="1:5">
      <c r="A432" s="13" t="s">
        <v>1094</v>
      </c>
      <c r="B432" s="96"/>
      <c r="C432" s="112">
        <v>30000</v>
      </c>
      <c r="D432" s="112">
        <v>30000</v>
      </c>
      <c r="E432" s="96"/>
    </row>
    <row r="433" spans="1:5">
      <c r="A433" s="13" t="s">
        <v>887</v>
      </c>
      <c r="B433" s="267">
        <v>500</v>
      </c>
      <c r="C433" s="95"/>
      <c r="D433" s="95"/>
      <c r="E433" s="267">
        <v>500</v>
      </c>
    </row>
    <row r="434" spans="1:5">
      <c r="A434" s="13" t="s">
        <v>888</v>
      </c>
      <c r="B434" s="267">
        <v>750</v>
      </c>
      <c r="C434" s="95"/>
      <c r="D434" s="95"/>
      <c r="E434" s="267">
        <v>750</v>
      </c>
    </row>
    <row r="435" spans="1:5">
      <c r="A435" s="13" t="s">
        <v>889</v>
      </c>
      <c r="B435" s="96"/>
      <c r="C435" s="112">
        <v>43650</v>
      </c>
      <c r="D435" s="112">
        <v>42150</v>
      </c>
      <c r="E435" s="267">
        <v>1500</v>
      </c>
    </row>
    <row r="436" spans="1:5">
      <c r="A436" s="13" t="s">
        <v>1750</v>
      </c>
      <c r="B436" s="267">
        <v>1405</v>
      </c>
      <c r="C436" s="112">
        <v>2000</v>
      </c>
      <c r="D436" s="95"/>
      <c r="E436" s="267">
        <v>3405</v>
      </c>
    </row>
    <row r="437" spans="1:5">
      <c r="A437" s="13" t="s">
        <v>2067</v>
      </c>
      <c r="B437" s="96"/>
      <c r="C437" s="112">
        <v>17500</v>
      </c>
      <c r="D437" s="112">
        <v>17500</v>
      </c>
      <c r="E437" s="96"/>
    </row>
    <row r="438" spans="1:5">
      <c r="A438" s="1" t="s">
        <v>102</v>
      </c>
      <c r="B438" s="109"/>
      <c r="C438" s="108"/>
      <c r="D438" s="93">
        <v>290306480.25999999</v>
      </c>
      <c r="E438" s="264">
        <v>290306480.25999999</v>
      </c>
    </row>
    <row r="439" spans="1:5">
      <c r="A439" s="13" t="s">
        <v>103</v>
      </c>
      <c r="B439" s="96"/>
      <c r="C439" s="95"/>
      <c r="D439" s="112">
        <v>290306480.25999999</v>
      </c>
      <c r="E439" s="263">
        <v>290306480.25999999</v>
      </c>
    </row>
    <row r="440" spans="1:5">
      <c r="A440" s="1" t="s">
        <v>104</v>
      </c>
      <c r="B440" s="109"/>
      <c r="C440" s="93">
        <v>43601959.469999999</v>
      </c>
      <c r="D440" s="93">
        <v>7994993</v>
      </c>
      <c r="E440" s="270">
        <v>35606966.469999999</v>
      </c>
    </row>
    <row r="441" spans="1:5">
      <c r="A441" s="13" t="s">
        <v>105</v>
      </c>
      <c r="B441" s="96"/>
      <c r="C441" s="112">
        <v>718783</v>
      </c>
      <c r="D441" s="95"/>
      <c r="E441" s="267">
        <v>718783</v>
      </c>
    </row>
    <row r="442" spans="1:5">
      <c r="A442" s="13" t="s">
        <v>115</v>
      </c>
      <c r="B442" s="96"/>
      <c r="C442" s="112">
        <v>477793</v>
      </c>
      <c r="D442" s="95"/>
      <c r="E442" s="267">
        <v>477793</v>
      </c>
    </row>
    <row r="443" spans="1:5">
      <c r="A443" s="13" t="s">
        <v>116</v>
      </c>
      <c r="B443" s="96"/>
      <c r="C443" s="112">
        <v>1885467</v>
      </c>
      <c r="D443" s="95"/>
      <c r="E443" s="267">
        <v>1885467</v>
      </c>
    </row>
    <row r="444" spans="1:5">
      <c r="A444" s="13" t="s">
        <v>117</v>
      </c>
      <c r="B444" s="96"/>
      <c r="C444" s="112">
        <v>213480</v>
      </c>
      <c r="D444" s="95"/>
      <c r="E444" s="267">
        <v>213480</v>
      </c>
    </row>
    <row r="445" spans="1:5">
      <c r="A445" s="13" t="s">
        <v>106</v>
      </c>
      <c r="B445" s="96"/>
      <c r="C445" s="112">
        <v>293714</v>
      </c>
      <c r="D445" s="95"/>
      <c r="E445" s="267">
        <v>293714</v>
      </c>
    </row>
    <row r="446" spans="1:5">
      <c r="A446" s="13" t="s">
        <v>107</v>
      </c>
      <c r="B446" s="96"/>
      <c r="C446" s="112">
        <v>203156</v>
      </c>
      <c r="D446" s="95"/>
      <c r="E446" s="267">
        <v>203156</v>
      </c>
    </row>
    <row r="447" spans="1:5">
      <c r="A447" s="13" t="s">
        <v>1232</v>
      </c>
      <c r="B447" s="96"/>
      <c r="C447" s="112">
        <v>684909.4</v>
      </c>
      <c r="D447" s="95"/>
      <c r="E447" s="267">
        <v>684909.4</v>
      </c>
    </row>
    <row r="448" spans="1:5">
      <c r="A448" s="13" t="s">
        <v>108</v>
      </c>
      <c r="B448" s="96"/>
      <c r="C448" s="112">
        <v>460157</v>
      </c>
      <c r="D448" s="95"/>
      <c r="E448" s="267">
        <v>460157</v>
      </c>
    </row>
    <row r="449" spans="1:5">
      <c r="A449" s="13" t="s">
        <v>119</v>
      </c>
      <c r="B449" s="96"/>
      <c r="C449" s="112">
        <v>114650</v>
      </c>
      <c r="D449" s="95"/>
      <c r="E449" s="267">
        <v>114650</v>
      </c>
    </row>
    <row r="450" spans="1:5">
      <c r="A450" s="13" t="s">
        <v>120</v>
      </c>
      <c r="B450" s="96"/>
      <c r="C450" s="112">
        <v>862920</v>
      </c>
      <c r="D450" s="95"/>
      <c r="E450" s="267">
        <v>862920</v>
      </c>
    </row>
    <row r="451" spans="1:5">
      <c r="A451" s="13" t="s">
        <v>109</v>
      </c>
      <c r="B451" s="96"/>
      <c r="C451" s="112">
        <v>510586</v>
      </c>
      <c r="D451" s="95"/>
      <c r="E451" s="267">
        <v>510586</v>
      </c>
    </row>
    <row r="452" spans="1:5">
      <c r="A452" s="13" t="s">
        <v>1231</v>
      </c>
      <c r="B452" s="96"/>
      <c r="C452" s="112">
        <v>6555495.7699999996</v>
      </c>
      <c r="D452" s="112">
        <v>18100</v>
      </c>
      <c r="E452" s="267">
        <v>6537395.7699999996</v>
      </c>
    </row>
    <row r="453" spans="1:5">
      <c r="A453" s="13" t="s">
        <v>1230</v>
      </c>
      <c r="B453" s="96"/>
      <c r="C453" s="112">
        <v>2453658.7999999998</v>
      </c>
      <c r="D453" s="95"/>
      <c r="E453" s="267">
        <v>2453658.7999999998</v>
      </c>
    </row>
    <row r="454" spans="1:5">
      <c r="A454" s="13" t="s">
        <v>110</v>
      </c>
      <c r="B454" s="96"/>
      <c r="C454" s="112">
        <v>4049746.2</v>
      </c>
      <c r="D454" s="95"/>
      <c r="E454" s="267">
        <v>4049746.2</v>
      </c>
    </row>
    <row r="455" spans="1:5">
      <c r="A455" s="13" t="s">
        <v>111</v>
      </c>
      <c r="B455" s="96"/>
      <c r="C455" s="112">
        <v>391636</v>
      </c>
      <c r="D455" s="95"/>
      <c r="E455" s="267">
        <v>391636</v>
      </c>
    </row>
    <row r="456" spans="1:5">
      <c r="A456" s="13" t="s">
        <v>1229</v>
      </c>
      <c r="B456" s="96"/>
      <c r="C456" s="112">
        <v>577538</v>
      </c>
      <c r="D456" s="95"/>
      <c r="E456" s="267">
        <v>577538</v>
      </c>
    </row>
    <row r="457" spans="1:5">
      <c r="A457" s="13" t="s">
        <v>1228</v>
      </c>
      <c r="B457" s="96"/>
      <c r="C457" s="112">
        <v>2129767</v>
      </c>
      <c r="D457" s="95"/>
      <c r="E457" s="267">
        <v>2129767</v>
      </c>
    </row>
    <row r="458" spans="1:5">
      <c r="A458" s="13" t="s">
        <v>1227</v>
      </c>
      <c r="B458" s="96"/>
      <c r="C458" s="112">
        <v>281744.3</v>
      </c>
      <c r="D458" s="95"/>
      <c r="E458" s="267">
        <v>281744.3</v>
      </c>
    </row>
    <row r="459" spans="1:5">
      <c r="A459" s="13" t="s">
        <v>121</v>
      </c>
      <c r="B459" s="96"/>
      <c r="C459" s="112">
        <v>3810254</v>
      </c>
      <c r="D459" s="95"/>
      <c r="E459" s="267">
        <v>3810254</v>
      </c>
    </row>
    <row r="460" spans="1:5">
      <c r="A460" s="13" t="s">
        <v>1226</v>
      </c>
      <c r="B460" s="96"/>
      <c r="C460" s="112">
        <v>120807</v>
      </c>
      <c r="D460" s="95"/>
      <c r="E460" s="267">
        <v>120807</v>
      </c>
    </row>
    <row r="461" spans="1:5">
      <c r="A461" s="13" t="s">
        <v>1875</v>
      </c>
      <c r="B461" s="96"/>
      <c r="C461" s="95"/>
      <c r="D461" s="112">
        <v>7976893</v>
      </c>
      <c r="E461" s="263">
        <v>7976893</v>
      </c>
    </row>
    <row r="462" spans="1:5">
      <c r="A462" s="13" t="s">
        <v>113</v>
      </c>
      <c r="B462" s="96"/>
      <c r="C462" s="112">
        <v>1768133</v>
      </c>
      <c r="D462" s="95"/>
      <c r="E462" s="267">
        <v>1768133</v>
      </c>
    </row>
    <row r="463" spans="1:5">
      <c r="A463" s="16" t="s">
        <v>122</v>
      </c>
      <c r="B463" s="96"/>
      <c r="C463" s="112">
        <v>2264402</v>
      </c>
      <c r="D463" s="95"/>
      <c r="E463" s="267">
        <v>2264402</v>
      </c>
    </row>
    <row r="464" spans="1:5">
      <c r="A464" s="13" t="s">
        <v>2068</v>
      </c>
      <c r="B464" s="96"/>
      <c r="C464" s="112">
        <v>78506</v>
      </c>
      <c r="D464" s="95"/>
      <c r="E464" s="267">
        <v>78506</v>
      </c>
    </row>
    <row r="465" spans="1:5">
      <c r="A465" s="13" t="s">
        <v>114</v>
      </c>
      <c r="B465" s="96"/>
      <c r="C465" s="112">
        <v>54138</v>
      </c>
      <c r="D465" s="95"/>
      <c r="E465" s="267">
        <v>54138</v>
      </c>
    </row>
    <row r="466" spans="1:5">
      <c r="A466" s="13" t="s">
        <v>123</v>
      </c>
      <c r="B466" s="96"/>
      <c r="C466" s="112">
        <v>8118953</v>
      </c>
      <c r="D466" s="95"/>
      <c r="E466" s="267">
        <v>8118953</v>
      </c>
    </row>
    <row r="467" spans="1:5">
      <c r="A467" s="13" t="s">
        <v>124</v>
      </c>
      <c r="B467" s="96"/>
      <c r="C467" s="112">
        <v>4405715</v>
      </c>
      <c r="D467" s="95"/>
      <c r="E467" s="267">
        <v>4405715</v>
      </c>
    </row>
    <row r="468" spans="1:5">
      <c r="A468" s="13" t="s">
        <v>1535</v>
      </c>
      <c r="B468" s="96"/>
      <c r="C468" s="112">
        <v>115850</v>
      </c>
      <c r="D468" s="95"/>
      <c r="E468" s="267">
        <v>115850</v>
      </c>
    </row>
    <row r="469" spans="1:5">
      <c r="A469" s="1" t="s">
        <v>160</v>
      </c>
      <c r="B469" s="109"/>
      <c r="C469" s="93">
        <v>115460678.98999999</v>
      </c>
      <c r="D469" s="93">
        <v>123610</v>
      </c>
      <c r="E469" s="270">
        <v>115337068.98999999</v>
      </c>
    </row>
    <row r="470" spans="1:5">
      <c r="A470" s="14" t="s">
        <v>161</v>
      </c>
      <c r="B470" s="111"/>
      <c r="C470" s="110">
        <v>83442606.700000003</v>
      </c>
      <c r="D470" s="110">
        <v>63610</v>
      </c>
      <c r="E470" s="271">
        <v>83378996.700000003</v>
      </c>
    </row>
    <row r="471" spans="1:5">
      <c r="A471" s="15" t="s">
        <v>1317</v>
      </c>
      <c r="B471" s="95"/>
      <c r="C471" s="104">
        <v>21484810</v>
      </c>
      <c r="D471" s="96"/>
      <c r="E471" s="198">
        <v>21484810</v>
      </c>
    </row>
    <row r="472" spans="1:5">
      <c r="A472" s="15" t="s">
        <v>173</v>
      </c>
      <c r="B472" s="95"/>
      <c r="C472" s="104">
        <v>2026647</v>
      </c>
      <c r="D472" s="96"/>
      <c r="E472" s="198">
        <v>2026647</v>
      </c>
    </row>
    <row r="473" spans="1:5">
      <c r="A473" s="15" t="s">
        <v>174</v>
      </c>
      <c r="B473" s="95"/>
      <c r="C473" s="104">
        <v>4350501</v>
      </c>
      <c r="D473" s="104">
        <v>20250</v>
      </c>
      <c r="E473" s="198">
        <v>4330251</v>
      </c>
    </row>
    <row r="474" spans="1:5">
      <c r="A474" s="15" t="s">
        <v>1318</v>
      </c>
      <c r="B474" s="95"/>
      <c r="C474" s="104">
        <v>248010</v>
      </c>
      <c r="D474" s="96"/>
      <c r="E474" s="198">
        <v>248010</v>
      </c>
    </row>
    <row r="475" spans="1:5">
      <c r="A475" s="17" t="s">
        <v>1319</v>
      </c>
      <c r="B475" s="95"/>
      <c r="C475" s="104">
        <v>1506029</v>
      </c>
      <c r="D475" s="96"/>
      <c r="E475" s="198">
        <v>1506029</v>
      </c>
    </row>
    <row r="476" spans="1:5">
      <c r="A476" s="17" t="s">
        <v>1320</v>
      </c>
      <c r="B476" s="95"/>
      <c r="C476" s="104">
        <v>1532686</v>
      </c>
      <c r="D476" s="96"/>
      <c r="E476" s="198">
        <v>1532686</v>
      </c>
    </row>
    <row r="477" spans="1:5">
      <c r="A477" s="15" t="s">
        <v>175</v>
      </c>
      <c r="B477" s="95"/>
      <c r="C477" s="104">
        <v>3167494.7</v>
      </c>
      <c r="D477" s="96"/>
      <c r="E477" s="198">
        <v>3167494.7</v>
      </c>
    </row>
    <row r="478" spans="1:5">
      <c r="A478" s="17" t="s">
        <v>1321</v>
      </c>
      <c r="B478" s="95"/>
      <c r="C478" s="104">
        <v>30187403</v>
      </c>
      <c r="D478" s="104">
        <v>36800</v>
      </c>
      <c r="E478" s="198">
        <v>30150603</v>
      </c>
    </row>
    <row r="479" spans="1:5">
      <c r="A479" s="17" t="s">
        <v>164</v>
      </c>
      <c r="B479" s="95"/>
      <c r="C479" s="104">
        <v>54978</v>
      </c>
      <c r="D479" s="96"/>
      <c r="E479" s="198">
        <v>54978</v>
      </c>
    </row>
    <row r="480" spans="1:5">
      <c r="A480" s="17" t="s">
        <v>176</v>
      </c>
      <c r="B480" s="95"/>
      <c r="C480" s="104">
        <v>2960613</v>
      </c>
      <c r="D480" s="96"/>
      <c r="E480" s="198">
        <v>2960613</v>
      </c>
    </row>
    <row r="481" spans="1:5">
      <c r="A481" s="17" t="s">
        <v>177</v>
      </c>
      <c r="B481" s="95"/>
      <c r="C481" s="104">
        <v>5623234</v>
      </c>
      <c r="D481" s="96"/>
      <c r="E481" s="198">
        <v>5623234</v>
      </c>
    </row>
    <row r="482" spans="1:5">
      <c r="A482" s="17" t="s">
        <v>1322</v>
      </c>
      <c r="B482" s="95"/>
      <c r="C482" s="104">
        <v>200881</v>
      </c>
      <c r="D482" s="96"/>
      <c r="E482" s="198">
        <v>200881</v>
      </c>
    </row>
    <row r="483" spans="1:5">
      <c r="A483" s="15" t="s">
        <v>168</v>
      </c>
      <c r="B483" s="95"/>
      <c r="C483" s="104">
        <v>396755</v>
      </c>
      <c r="D483" s="96"/>
      <c r="E483" s="198">
        <v>396755</v>
      </c>
    </row>
    <row r="484" spans="1:5">
      <c r="A484" s="15" t="s">
        <v>169</v>
      </c>
      <c r="B484" s="95"/>
      <c r="C484" s="104">
        <v>9416008</v>
      </c>
      <c r="D484" s="104">
        <v>6560</v>
      </c>
      <c r="E484" s="198">
        <v>9409448</v>
      </c>
    </row>
    <row r="485" spans="1:5">
      <c r="A485" s="15" t="s">
        <v>170</v>
      </c>
      <c r="B485" s="95"/>
      <c r="C485" s="104">
        <v>124707</v>
      </c>
      <c r="D485" s="96"/>
      <c r="E485" s="198">
        <v>124707</v>
      </c>
    </row>
    <row r="486" spans="1:5">
      <c r="A486" s="15" t="s">
        <v>171</v>
      </c>
      <c r="B486" s="95"/>
      <c r="C486" s="104">
        <v>76850</v>
      </c>
      <c r="D486" s="96"/>
      <c r="E486" s="198">
        <v>76850</v>
      </c>
    </row>
    <row r="487" spans="1:5">
      <c r="A487" s="15" t="s">
        <v>172</v>
      </c>
      <c r="B487" s="95"/>
      <c r="C487" s="104">
        <v>85000</v>
      </c>
      <c r="D487" s="96"/>
      <c r="E487" s="198">
        <v>85000</v>
      </c>
    </row>
    <row r="488" spans="1:5">
      <c r="A488" s="14" t="s">
        <v>178</v>
      </c>
      <c r="B488" s="114"/>
      <c r="C488" s="106">
        <v>31860620.289999999</v>
      </c>
      <c r="D488" s="106">
        <v>60000</v>
      </c>
      <c r="E488" s="272">
        <v>31800620.289999999</v>
      </c>
    </row>
    <row r="489" spans="1:5">
      <c r="A489" s="13" t="s">
        <v>179</v>
      </c>
      <c r="B489" s="95"/>
      <c r="C489" s="104">
        <v>302358</v>
      </c>
      <c r="D489" s="96"/>
      <c r="E489" s="198">
        <v>302358</v>
      </c>
    </row>
    <row r="490" spans="1:5">
      <c r="A490" s="15" t="s">
        <v>180</v>
      </c>
      <c r="B490" s="95"/>
      <c r="C490" s="104">
        <v>3164320</v>
      </c>
      <c r="D490" s="104">
        <v>60000</v>
      </c>
      <c r="E490" s="198">
        <v>3104320</v>
      </c>
    </row>
    <row r="491" spans="1:5">
      <c r="A491" s="15" t="s">
        <v>1307</v>
      </c>
      <c r="B491" s="95"/>
      <c r="C491" s="104">
        <v>565907</v>
      </c>
      <c r="D491" s="96"/>
      <c r="E491" s="198">
        <v>565907</v>
      </c>
    </row>
    <row r="492" spans="1:5">
      <c r="A492" s="17" t="s">
        <v>181</v>
      </c>
      <c r="B492" s="95"/>
      <c r="C492" s="104">
        <v>1388644</v>
      </c>
      <c r="D492" s="96"/>
      <c r="E492" s="198">
        <v>1388644</v>
      </c>
    </row>
    <row r="493" spans="1:5">
      <c r="A493" s="15" t="s">
        <v>1308</v>
      </c>
      <c r="B493" s="95"/>
      <c r="C493" s="104">
        <v>1925651</v>
      </c>
      <c r="D493" s="96"/>
      <c r="E493" s="198">
        <v>1925651</v>
      </c>
    </row>
    <row r="494" spans="1:5">
      <c r="A494" s="15" t="s">
        <v>1309</v>
      </c>
      <c r="B494" s="95"/>
      <c r="C494" s="104">
        <v>396572</v>
      </c>
      <c r="D494" s="96"/>
      <c r="E494" s="198">
        <v>396572</v>
      </c>
    </row>
    <row r="495" spans="1:5">
      <c r="A495" s="15" t="s">
        <v>183</v>
      </c>
      <c r="B495" s="95"/>
      <c r="C495" s="104">
        <v>30471</v>
      </c>
      <c r="D495" s="96"/>
      <c r="E495" s="198">
        <v>30471</v>
      </c>
    </row>
    <row r="496" spans="1:5">
      <c r="A496" s="17" t="s">
        <v>184</v>
      </c>
      <c r="B496" s="95"/>
      <c r="C496" s="104">
        <v>3467257.09</v>
      </c>
      <c r="D496" s="96"/>
      <c r="E496" s="198">
        <v>3467257.09</v>
      </c>
    </row>
    <row r="497" spans="1:5">
      <c r="A497" s="15" t="s">
        <v>186</v>
      </c>
      <c r="B497" s="95"/>
      <c r="C497" s="104">
        <v>6106702</v>
      </c>
      <c r="D497" s="96"/>
      <c r="E497" s="198">
        <v>6106702</v>
      </c>
    </row>
    <row r="498" spans="1:5">
      <c r="A498" s="15" t="s">
        <v>1310</v>
      </c>
      <c r="B498" s="95"/>
      <c r="C498" s="104">
        <v>2340212.2000000002</v>
      </c>
      <c r="D498" s="96"/>
      <c r="E498" s="198">
        <v>2340212.2000000002</v>
      </c>
    </row>
    <row r="499" spans="1:5">
      <c r="A499" s="17" t="s">
        <v>187</v>
      </c>
      <c r="B499" s="95"/>
      <c r="C499" s="104">
        <v>2299085</v>
      </c>
      <c r="D499" s="96"/>
      <c r="E499" s="198">
        <v>2299085</v>
      </c>
    </row>
    <row r="500" spans="1:5">
      <c r="A500" s="17" t="s">
        <v>1311</v>
      </c>
      <c r="B500" s="95"/>
      <c r="C500" s="104">
        <v>2139917</v>
      </c>
      <c r="D500" s="96"/>
      <c r="E500" s="198">
        <v>2139917</v>
      </c>
    </row>
    <row r="501" spans="1:5">
      <c r="A501" s="15" t="s">
        <v>1312</v>
      </c>
      <c r="B501" s="95"/>
      <c r="C501" s="104">
        <v>3147379</v>
      </c>
      <c r="D501" s="96"/>
      <c r="E501" s="198">
        <v>3147379</v>
      </c>
    </row>
    <row r="502" spans="1:5">
      <c r="A502" s="15" t="s">
        <v>1313</v>
      </c>
      <c r="B502" s="95"/>
      <c r="C502" s="104">
        <v>1153498</v>
      </c>
      <c r="D502" s="96"/>
      <c r="E502" s="198">
        <v>1153498</v>
      </c>
    </row>
    <row r="503" spans="1:5">
      <c r="A503" s="15" t="s">
        <v>1314</v>
      </c>
      <c r="B503" s="95"/>
      <c r="C503" s="104">
        <v>3432647</v>
      </c>
      <c r="D503" s="96"/>
      <c r="E503" s="198">
        <v>3432647</v>
      </c>
    </row>
    <row r="504" spans="1:5">
      <c r="A504" s="13" t="s">
        <v>1539</v>
      </c>
      <c r="B504" s="96"/>
      <c r="C504" s="112">
        <v>157452</v>
      </c>
      <c r="D504" s="95"/>
      <c r="E504" s="267">
        <v>157452</v>
      </c>
    </row>
    <row r="505" spans="1:5">
      <c r="A505" s="1" t="s">
        <v>189</v>
      </c>
      <c r="B505" s="109"/>
      <c r="C505" s="108"/>
      <c r="D505" s="93">
        <v>6167419</v>
      </c>
      <c r="E505" s="264">
        <v>6167419</v>
      </c>
    </row>
    <row r="506" spans="1:5">
      <c r="A506" s="13" t="s">
        <v>190</v>
      </c>
      <c r="B506" s="96"/>
      <c r="C506" s="95"/>
      <c r="D506" s="112">
        <v>6167419</v>
      </c>
      <c r="E506" s="263">
        <v>6167419</v>
      </c>
    </row>
    <row r="507" spans="1:5">
      <c r="A507" s="1" t="s">
        <v>192</v>
      </c>
      <c r="B507" s="109"/>
      <c r="C507" s="93">
        <v>56111058.530000001</v>
      </c>
      <c r="D507" s="93">
        <v>441277.45</v>
      </c>
      <c r="E507" s="270">
        <v>55669781.079999998</v>
      </c>
    </row>
    <row r="508" spans="1:5">
      <c r="A508" s="14" t="s">
        <v>193</v>
      </c>
      <c r="B508" s="111"/>
      <c r="C508" s="110">
        <v>465049.85</v>
      </c>
      <c r="D508" s="111"/>
      <c r="E508" s="271">
        <v>465049.85</v>
      </c>
    </row>
    <row r="509" spans="1:5">
      <c r="A509" s="17" t="s">
        <v>193</v>
      </c>
      <c r="B509" s="95"/>
      <c r="C509" s="104">
        <v>465049.85</v>
      </c>
      <c r="D509" s="96"/>
      <c r="E509" s="198">
        <v>465049.85</v>
      </c>
    </row>
    <row r="510" spans="1:5">
      <c r="A510" s="14" t="s">
        <v>194</v>
      </c>
      <c r="B510" s="114"/>
      <c r="C510" s="106">
        <v>15875</v>
      </c>
      <c r="D510" s="114"/>
      <c r="E510" s="272">
        <v>15875</v>
      </c>
    </row>
    <row r="511" spans="1:5">
      <c r="A511" s="17" t="s">
        <v>194</v>
      </c>
      <c r="B511" s="95"/>
      <c r="C511" s="104">
        <v>15875</v>
      </c>
      <c r="D511" s="96"/>
      <c r="E511" s="198">
        <v>15875</v>
      </c>
    </row>
    <row r="512" spans="1:5">
      <c r="A512" s="13" t="s">
        <v>195</v>
      </c>
      <c r="B512" s="96"/>
      <c r="C512" s="112">
        <v>20962</v>
      </c>
      <c r="D512" s="95"/>
      <c r="E512" s="267">
        <v>20962</v>
      </c>
    </row>
    <row r="513" spans="1:5">
      <c r="A513" s="13" t="s">
        <v>1180</v>
      </c>
      <c r="B513" s="96"/>
      <c r="C513" s="112">
        <v>308000</v>
      </c>
      <c r="D513" s="95"/>
      <c r="E513" s="267">
        <v>308000</v>
      </c>
    </row>
    <row r="514" spans="1:5">
      <c r="A514" s="13" t="s">
        <v>1540</v>
      </c>
      <c r="B514" s="96"/>
      <c r="C514" s="112">
        <v>474051.8</v>
      </c>
      <c r="D514" s="95"/>
      <c r="E514" s="267">
        <v>474051.8</v>
      </c>
    </row>
    <row r="515" spans="1:5">
      <c r="A515" s="13" t="s">
        <v>210</v>
      </c>
      <c r="B515" s="96"/>
      <c r="C515" s="112">
        <v>154406.45000000001</v>
      </c>
      <c r="D515" s="112">
        <v>212.45</v>
      </c>
      <c r="E515" s="267">
        <v>154194</v>
      </c>
    </row>
    <row r="516" spans="1:5">
      <c r="A516" s="16" t="s">
        <v>1541</v>
      </c>
      <c r="B516" s="96"/>
      <c r="C516" s="112">
        <v>383850</v>
      </c>
      <c r="D516" s="95"/>
      <c r="E516" s="267">
        <v>383850</v>
      </c>
    </row>
    <row r="517" spans="1:5">
      <c r="A517" s="13" t="s">
        <v>196</v>
      </c>
      <c r="B517" s="96"/>
      <c r="C517" s="112">
        <v>4800</v>
      </c>
      <c r="D517" s="95"/>
      <c r="E517" s="267">
        <v>4800</v>
      </c>
    </row>
    <row r="518" spans="1:5">
      <c r="A518" s="13" t="s">
        <v>1222</v>
      </c>
      <c r="B518" s="96"/>
      <c r="C518" s="112">
        <v>19454</v>
      </c>
      <c r="D518" s="95"/>
      <c r="E518" s="267">
        <v>19454</v>
      </c>
    </row>
    <row r="519" spans="1:5">
      <c r="A519" s="13" t="s">
        <v>1751</v>
      </c>
      <c r="B519" s="96"/>
      <c r="C519" s="112">
        <v>710</v>
      </c>
      <c r="D519" s="95"/>
      <c r="E519" s="267">
        <v>710</v>
      </c>
    </row>
    <row r="520" spans="1:5">
      <c r="A520" s="13" t="s">
        <v>893</v>
      </c>
      <c r="B520" s="96"/>
      <c r="C520" s="112">
        <v>299262</v>
      </c>
      <c r="D520" s="95"/>
      <c r="E520" s="267">
        <v>299262</v>
      </c>
    </row>
    <row r="521" spans="1:5">
      <c r="A521" s="13" t="s">
        <v>197</v>
      </c>
      <c r="B521" s="96"/>
      <c r="C521" s="112">
        <v>3780000</v>
      </c>
      <c r="D521" s="95"/>
      <c r="E521" s="267">
        <v>3780000</v>
      </c>
    </row>
    <row r="522" spans="1:5">
      <c r="A522" s="13" t="s">
        <v>211</v>
      </c>
      <c r="B522" s="96"/>
      <c r="C522" s="112">
        <v>298616</v>
      </c>
      <c r="D522" s="95"/>
      <c r="E522" s="267">
        <v>298616</v>
      </c>
    </row>
    <row r="523" spans="1:5">
      <c r="A523" s="13" t="s">
        <v>198</v>
      </c>
      <c r="B523" s="96"/>
      <c r="C523" s="112">
        <v>18644</v>
      </c>
      <c r="D523" s="95"/>
      <c r="E523" s="267">
        <v>18644</v>
      </c>
    </row>
    <row r="524" spans="1:5">
      <c r="A524" s="13" t="s">
        <v>212</v>
      </c>
      <c r="B524" s="96"/>
      <c r="C524" s="112">
        <v>254732</v>
      </c>
      <c r="D524" s="95"/>
      <c r="E524" s="267">
        <v>254732</v>
      </c>
    </row>
    <row r="525" spans="1:5">
      <c r="A525" s="13" t="s">
        <v>199</v>
      </c>
      <c r="B525" s="96"/>
      <c r="C525" s="112">
        <v>204000</v>
      </c>
      <c r="D525" s="95"/>
      <c r="E525" s="267">
        <v>204000</v>
      </c>
    </row>
    <row r="526" spans="1:5">
      <c r="A526" s="13" t="s">
        <v>1218</v>
      </c>
      <c r="B526" s="96"/>
      <c r="C526" s="112">
        <v>1858595</v>
      </c>
      <c r="D526" s="95"/>
      <c r="E526" s="267">
        <v>1858595</v>
      </c>
    </row>
    <row r="527" spans="1:5">
      <c r="A527" s="13" t="s">
        <v>1217</v>
      </c>
      <c r="B527" s="96"/>
      <c r="C527" s="112">
        <v>920062</v>
      </c>
      <c r="D527" s="95"/>
      <c r="E527" s="267">
        <v>920062</v>
      </c>
    </row>
    <row r="528" spans="1:5">
      <c r="A528" s="13" t="s">
        <v>202</v>
      </c>
      <c r="B528" s="96"/>
      <c r="C528" s="112">
        <v>250060</v>
      </c>
      <c r="D528" s="95"/>
      <c r="E528" s="267">
        <v>250060</v>
      </c>
    </row>
    <row r="529" spans="1:5">
      <c r="A529" s="13" t="s">
        <v>1216</v>
      </c>
      <c r="B529" s="96"/>
      <c r="C529" s="112">
        <v>74997.7</v>
      </c>
      <c r="D529" s="95"/>
      <c r="E529" s="267">
        <v>74997.7</v>
      </c>
    </row>
    <row r="530" spans="1:5">
      <c r="A530" s="13" t="s">
        <v>213</v>
      </c>
      <c r="B530" s="96"/>
      <c r="C530" s="112">
        <v>429477</v>
      </c>
      <c r="D530" s="95"/>
      <c r="E530" s="267">
        <v>429477</v>
      </c>
    </row>
    <row r="531" spans="1:5">
      <c r="A531" s="13" t="s">
        <v>1215</v>
      </c>
      <c r="B531" s="96"/>
      <c r="C531" s="112">
        <v>610368.43000000005</v>
      </c>
      <c r="D531" s="95"/>
      <c r="E531" s="267">
        <v>610368.43000000005</v>
      </c>
    </row>
    <row r="532" spans="1:5">
      <c r="A532" s="13" t="s">
        <v>77</v>
      </c>
      <c r="B532" s="96"/>
      <c r="C532" s="112">
        <v>474015</v>
      </c>
      <c r="D532" s="95"/>
      <c r="E532" s="267">
        <v>474015</v>
      </c>
    </row>
    <row r="533" spans="1:5">
      <c r="A533" s="13" t="s">
        <v>1214</v>
      </c>
      <c r="B533" s="96"/>
      <c r="C533" s="112">
        <v>887036</v>
      </c>
      <c r="D533" s="95"/>
      <c r="E533" s="267">
        <v>887036</v>
      </c>
    </row>
    <row r="534" spans="1:5">
      <c r="A534" s="13" t="s">
        <v>1542</v>
      </c>
      <c r="B534" s="96"/>
      <c r="C534" s="112">
        <v>17500</v>
      </c>
      <c r="D534" s="95"/>
      <c r="E534" s="267">
        <v>17500</v>
      </c>
    </row>
    <row r="535" spans="1:5">
      <c r="A535" s="16" t="s">
        <v>1213</v>
      </c>
      <c r="B535" s="96"/>
      <c r="C535" s="112">
        <v>1005225</v>
      </c>
      <c r="D535" s="95"/>
      <c r="E535" s="267">
        <v>1005225</v>
      </c>
    </row>
    <row r="536" spans="1:5">
      <c r="A536" s="13" t="s">
        <v>1212</v>
      </c>
      <c r="B536" s="96"/>
      <c r="C536" s="112">
        <v>6424650.2999999998</v>
      </c>
      <c r="D536" s="95"/>
      <c r="E536" s="267">
        <v>6424650.2999999998</v>
      </c>
    </row>
    <row r="537" spans="1:5">
      <c r="A537" s="13" t="s">
        <v>204</v>
      </c>
      <c r="B537" s="96"/>
      <c r="C537" s="112">
        <v>33385185</v>
      </c>
      <c r="D537" s="112">
        <v>439240</v>
      </c>
      <c r="E537" s="267">
        <v>32945945</v>
      </c>
    </row>
    <row r="538" spans="1:5">
      <c r="A538" s="13" t="s">
        <v>1753</v>
      </c>
      <c r="B538" s="96"/>
      <c r="C538" s="112">
        <v>710</v>
      </c>
      <c r="D538" s="95"/>
      <c r="E538" s="267">
        <v>710</v>
      </c>
    </row>
    <row r="539" spans="1:5">
      <c r="A539" s="13" t="s">
        <v>206</v>
      </c>
      <c r="B539" s="96"/>
      <c r="C539" s="112">
        <v>241440</v>
      </c>
      <c r="D539" s="95"/>
      <c r="E539" s="267">
        <v>241440</v>
      </c>
    </row>
    <row r="540" spans="1:5">
      <c r="A540" s="13" t="s">
        <v>207</v>
      </c>
      <c r="B540" s="96"/>
      <c r="C540" s="112">
        <v>2361643</v>
      </c>
      <c r="D540" s="112">
        <v>1825</v>
      </c>
      <c r="E540" s="267">
        <v>2359818</v>
      </c>
    </row>
    <row r="541" spans="1:5">
      <c r="A541" s="13" t="s">
        <v>208</v>
      </c>
      <c r="B541" s="96"/>
      <c r="C541" s="112">
        <v>355593</v>
      </c>
      <c r="D541" s="95"/>
      <c r="E541" s="267">
        <v>355593</v>
      </c>
    </row>
    <row r="542" spans="1:5">
      <c r="A542" s="13" t="s">
        <v>209</v>
      </c>
      <c r="B542" s="96"/>
      <c r="C542" s="112">
        <v>112088</v>
      </c>
      <c r="D542" s="95"/>
      <c r="E542" s="267">
        <v>112088</v>
      </c>
    </row>
    <row r="543" spans="1:5">
      <c r="A543" s="1" t="s">
        <v>125</v>
      </c>
      <c r="B543" s="264">
        <v>12609828</v>
      </c>
      <c r="C543" s="93">
        <v>14116562</v>
      </c>
      <c r="D543" s="93">
        <v>13958875</v>
      </c>
      <c r="E543" s="264">
        <v>12452141</v>
      </c>
    </row>
    <row r="544" spans="1:5">
      <c r="A544" s="13" t="s">
        <v>126</v>
      </c>
      <c r="B544" s="263">
        <v>30000</v>
      </c>
      <c r="C544" s="95"/>
      <c r="D544" s="95"/>
      <c r="E544" s="263">
        <v>30000</v>
      </c>
    </row>
    <row r="545" spans="1:5">
      <c r="A545" s="13" t="s">
        <v>127</v>
      </c>
      <c r="B545" s="263">
        <v>230500</v>
      </c>
      <c r="C545" s="95"/>
      <c r="D545" s="95"/>
      <c r="E545" s="263">
        <v>230500</v>
      </c>
    </row>
    <row r="546" spans="1:5">
      <c r="A546" s="13" t="s">
        <v>128</v>
      </c>
      <c r="B546" s="263">
        <v>12229328</v>
      </c>
      <c r="C546" s="112">
        <v>14116562</v>
      </c>
      <c r="D546" s="112">
        <v>13958875</v>
      </c>
      <c r="E546" s="263">
        <v>12071641</v>
      </c>
    </row>
    <row r="547" spans="1:5">
      <c r="A547" s="13" t="s">
        <v>129</v>
      </c>
      <c r="B547" s="263">
        <v>120000</v>
      </c>
      <c r="C547" s="95"/>
      <c r="D547" s="95"/>
      <c r="E547" s="263">
        <v>120000</v>
      </c>
    </row>
    <row r="548" spans="1:5">
      <c r="A548" s="1" t="s">
        <v>130</v>
      </c>
      <c r="B548" s="264">
        <v>331366.21999999997</v>
      </c>
      <c r="C548" s="108"/>
      <c r="D548" s="108"/>
      <c r="E548" s="264">
        <v>331366.21999999997</v>
      </c>
    </row>
    <row r="549" spans="1:5">
      <c r="A549" s="13" t="s">
        <v>130</v>
      </c>
      <c r="B549" s="263">
        <v>331366.21999999997</v>
      </c>
      <c r="C549" s="95"/>
      <c r="D549" s="95"/>
      <c r="E549" s="263">
        <v>331366.21999999997</v>
      </c>
    </row>
    <row r="550" spans="1:5">
      <c r="A550" s="1" t="s">
        <v>131</v>
      </c>
      <c r="B550" s="264">
        <v>39434</v>
      </c>
      <c r="C550" s="108"/>
      <c r="D550" s="93">
        <v>2001</v>
      </c>
      <c r="E550" s="264">
        <v>41435</v>
      </c>
    </row>
    <row r="551" spans="1:5">
      <c r="A551" s="13" t="s">
        <v>1225</v>
      </c>
      <c r="B551" s="263">
        <v>84253</v>
      </c>
      <c r="C551" s="95"/>
      <c r="D551" s="112">
        <v>2001</v>
      </c>
      <c r="E551" s="263">
        <v>86254</v>
      </c>
    </row>
    <row r="552" spans="1:5">
      <c r="A552" s="13" t="s">
        <v>1536</v>
      </c>
      <c r="B552" s="267">
        <v>4127</v>
      </c>
      <c r="C552" s="95"/>
      <c r="D552" s="95"/>
      <c r="E552" s="267">
        <v>4127</v>
      </c>
    </row>
    <row r="553" spans="1:5">
      <c r="A553" s="13" t="s">
        <v>1224</v>
      </c>
      <c r="B553" s="267">
        <v>40692</v>
      </c>
      <c r="C553" s="95"/>
      <c r="D553" s="95"/>
      <c r="E553" s="267">
        <v>40692</v>
      </c>
    </row>
    <row r="554" spans="1:5">
      <c r="A554" s="1" t="s">
        <v>132</v>
      </c>
      <c r="B554" s="270">
        <v>49679373</v>
      </c>
      <c r="C554" s="93">
        <v>38034400</v>
      </c>
      <c r="D554" s="93">
        <v>28800000</v>
      </c>
      <c r="E554" s="270">
        <v>58913773</v>
      </c>
    </row>
    <row r="555" spans="1:5">
      <c r="A555" s="13" t="s">
        <v>133</v>
      </c>
      <c r="B555" s="267">
        <v>49679373</v>
      </c>
      <c r="C555" s="112">
        <v>38034400</v>
      </c>
      <c r="D555" s="112">
        <v>28800000</v>
      </c>
      <c r="E555" s="267">
        <v>58913773</v>
      </c>
    </row>
    <row r="556" spans="1:5">
      <c r="A556" s="1" t="s">
        <v>1754</v>
      </c>
      <c r="B556" s="264">
        <v>5029218.16</v>
      </c>
      <c r="C556" s="93">
        <v>47929106</v>
      </c>
      <c r="D556" s="93">
        <v>51314790.68</v>
      </c>
      <c r="E556" s="264">
        <v>8414902.8399999999</v>
      </c>
    </row>
    <row r="557" spans="1:5">
      <c r="A557" s="13" t="s">
        <v>1755</v>
      </c>
      <c r="B557" s="263">
        <v>1160953.2</v>
      </c>
      <c r="C557" s="112">
        <v>5410671</v>
      </c>
      <c r="D557" s="112">
        <v>8085873.5499999998</v>
      </c>
      <c r="E557" s="263">
        <v>3836155.75</v>
      </c>
    </row>
    <row r="558" spans="1:5">
      <c r="A558" s="13" t="s">
        <v>1756</v>
      </c>
      <c r="B558" s="263">
        <v>873315.2</v>
      </c>
      <c r="C558" s="112">
        <v>6493356</v>
      </c>
      <c r="D558" s="112">
        <v>8085873.5499999998</v>
      </c>
      <c r="E558" s="263">
        <v>2465832.75</v>
      </c>
    </row>
    <row r="559" spans="1:5">
      <c r="A559" s="13" t="s">
        <v>1757</v>
      </c>
      <c r="B559" s="267">
        <v>0.36</v>
      </c>
      <c r="C559" s="95"/>
      <c r="D559" s="95"/>
      <c r="E559" s="267">
        <v>0.36</v>
      </c>
    </row>
    <row r="560" spans="1:5">
      <c r="A560" s="13" t="s">
        <v>1758</v>
      </c>
      <c r="B560" s="267">
        <v>0.36</v>
      </c>
      <c r="C560" s="95"/>
      <c r="D560" s="95"/>
      <c r="E560" s="267">
        <v>0.36</v>
      </c>
    </row>
    <row r="561" spans="1:5">
      <c r="A561" s="16" t="s">
        <v>1754</v>
      </c>
      <c r="B561" s="267">
        <v>5154343</v>
      </c>
      <c r="C561" s="112">
        <v>7976893</v>
      </c>
      <c r="D561" s="95"/>
      <c r="E561" s="267">
        <v>13131236</v>
      </c>
    </row>
    <row r="562" spans="1:5">
      <c r="A562" s="13" t="s">
        <v>1759</v>
      </c>
      <c r="B562" s="263">
        <v>808260.46</v>
      </c>
      <c r="C562" s="112">
        <v>9072421</v>
      </c>
      <c r="D562" s="112">
        <v>10274071.18</v>
      </c>
      <c r="E562" s="263">
        <v>2009910.64</v>
      </c>
    </row>
    <row r="563" spans="1:5">
      <c r="A563" s="13" t="s">
        <v>1760</v>
      </c>
      <c r="B563" s="263">
        <v>536311.46</v>
      </c>
      <c r="C563" s="112">
        <v>8015486</v>
      </c>
      <c r="D563" s="112">
        <v>10274071.18</v>
      </c>
      <c r="E563" s="263">
        <v>2794896.64</v>
      </c>
    </row>
    <row r="564" spans="1:5">
      <c r="A564" s="13" t="s">
        <v>1761</v>
      </c>
      <c r="B564" s="263">
        <v>93967.14</v>
      </c>
      <c r="C564" s="95"/>
      <c r="D564" s="112">
        <v>11925.63</v>
      </c>
      <c r="E564" s="263">
        <v>105892.77</v>
      </c>
    </row>
    <row r="565" spans="1:5">
      <c r="A565" s="13" t="s">
        <v>1762</v>
      </c>
      <c r="B565" s="263">
        <v>70679.14</v>
      </c>
      <c r="C565" s="95"/>
      <c r="D565" s="112">
        <v>11925.63</v>
      </c>
      <c r="E565" s="263">
        <v>82604.77</v>
      </c>
    </row>
    <row r="566" spans="1:5">
      <c r="A566" s="13" t="s">
        <v>1763</v>
      </c>
      <c r="B566" s="263">
        <v>846891.25</v>
      </c>
      <c r="C566" s="112">
        <v>901298</v>
      </c>
      <c r="D566" s="112">
        <v>162450</v>
      </c>
      <c r="E566" s="263">
        <v>108043.25</v>
      </c>
    </row>
    <row r="567" spans="1:5">
      <c r="A567" s="13" t="s">
        <v>1764</v>
      </c>
      <c r="B567" s="263">
        <v>747791.25</v>
      </c>
      <c r="C567" s="112">
        <v>906615</v>
      </c>
      <c r="D567" s="112">
        <v>162450</v>
      </c>
      <c r="E567" s="263">
        <v>3626.25</v>
      </c>
    </row>
    <row r="568" spans="1:5">
      <c r="A568" s="13" t="s">
        <v>1765</v>
      </c>
      <c r="B568" s="263">
        <v>96416.14</v>
      </c>
      <c r="C568" s="112">
        <v>1276038</v>
      </c>
      <c r="D568" s="112">
        <v>1288101.33</v>
      </c>
      <c r="E568" s="263">
        <v>108479.47</v>
      </c>
    </row>
    <row r="569" spans="1:5">
      <c r="A569" s="13" t="s">
        <v>1766</v>
      </c>
      <c r="B569" s="263">
        <v>96416.14</v>
      </c>
      <c r="C569" s="112">
        <v>1292515</v>
      </c>
      <c r="D569" s="112">
        <v>1288101.33</v>
      </c>
      <c r="E569" s="263">
        <v>92002.47</v>
      </c>
    </row>
    <row r="570" spans="1:5">
      <c r="A570" s="13" t="s">
        <v>1769</v>
      </c>
      <c r="B570" s="263">
        <v>67069.710000000006</v>
      </c>
      <c r="C570" s="112">
        <v>923366</v>
      </c>
      <c r="D570" s="112">
        <v>971805.6</v>
      </c>
      <c r="E570" s="263">
        <v>115509.31</v>
      </c>
    </row>
    <row r="571" spans="1:5">
      <c r="A571" s="13" t="s">
        <v>1770</v>
      </c>
      <c r="B571" s="263">
        <v>67069.710000000006</v>
      </c>
      <c r="C571" s="112">
        <v>938603</v>
      </c>
      <c r="D571" s="112">
        <v>971805.6</v>
      </c>
      <c r="E571" s="263">
        <v>100272.31</v>
      </c>
    </row>
    <row r="572" spans="1:5">
      <c r="A572" s="13" t="s">
        <v>1771</v>
      </c>
      <c r="B572" s="263">
        <v>1353980.85</v>
      </c>
      <c r="C572" s="112">
        <v>1603681</v>
      </c>
      <c r="D572" s="112">
        <v>1371540</v>
      </c>
      <c r="E572" s="263">
        <v>1121839.8500000001</v>
      </c>
    </row>
    <row r="573" spans="1:5">
      <c r="A573" s="13" t="s">
        <v>1772</v>
      </c>
      <c r="B573" s="263">
        <v>1353980.85</v>
      </c>
      <c r="C573" s="112">
        <v>1926042</v>
      </c>
      <c r="D573" s="112">
        <v>1371540</v>
      </c>
      <c r="E573" s="263">
        <v>799478.85</v>
      </c>
    </row>
    <row r="574" spans="1:5">
      <c r="A574" s="13" t="s">
        <v>1773</v>
      </c>
      <c r="B574" s="263">
        <v>916819.69</v>
      </c>
      <c r="C574" s="112">
        <v>406099</v>
      </c>
      <c r="D574" s="112">
        <v>3458958.77</v>
      </c>
      <c r="E574" s="263">
        <v>3969679.46</v>
      </c>
    </row>
    <row r="575" spans="1:5">
      <c r="A575" s="13" t="s">
        <v>1774</v>
      </c>
      <c r="B575" s="263">
        <v>790857.69</v>
      </c>
      <c r="C575" s="112">
        <v>164772</v>
      </c>
      <c r="D575" s="112">
        <v>3458958.77</v>
      </c>
      <c r="E575" s="263">
        <v>4085044.46</v>
      </c>
    </row>
    <row r="576" spans="1:5">
      <c r="A576" s="13" t="s">
        <v>1775</v>
      </c>
      <c r="B576" s="263">
        <v>179765</v>
      </c>
      <c r="C576" s="112">
        <v>303103</v>
      </c>
      <c r="D576" s="112">
        <v>32669.279999999999</v>
      </c>
      <c r="E576" s="267">
        <v>90668.72</v>
      </c>
    </row>
    <row r="577" spans="1:5">
      <c r="A577" s="13" t="s">
        <v>1776</v>
      </c>
      <c r="B577" s="263">
        <v>123017</v>
      </c>
      <c r="C577" s="112">
        <v>318147</v>
      </c>
      <c r="D577" s="112">
        <v>32669.279999999999</v>
      </c>
      <c r="E577" s="267">
        <v>162460.72</v>
      </c>
    </row>
    <row r="578" spans="1:5">
      <c r="A578" s="1" t="s">
        <v>134</v>
      </c>
      <c r="B578" s="270">
        <v>117150</v>
      </c>
      <c r="C578" s="108"/>
      <c r="D578" s="108"/>
      <c r="E578" s="270">
        <v>117150</v>
      </c>
    </row>
    <row r="579" spans="1:5">
      <c r="A579" s="13" t="s">
        <v>135</v>
      </c>
      <c r="B579" s="267">
        <v>116150</v>
      </c>
      <c r="C579" s="95"/>
      <c r="D579" s="95"/>
      <c r="E579" s="267">
        <v>116150</v>
      </c>
    </row>
    <row r="580" spans="1:5">
      <c r="A580" s="13" t="s">
        <v>136</v>
      </c>
      <c r="B580" s="267">
        <v>1000</v>
      </c>
      <c r="C580" s="95"/>
      <c r="D580" s="95"/>
      <c r="E580" s="267">
        <v>1000</v>
      </c>
    </row>
    <row r="581" spans="1:5">
      <c r="A581" s="1" t="s">
        <v>137</v>
      </c>
      <c r="B581" s="270">
        <v>68780802.920000002</v>
      </c>
      <c r="C581" s="93">
        <v>33254243.129999999</v>
      </c>
      <c r="D581" s="93">
        <v>39133498</v>
      </c>
      <c r="E581" s="270">
        <v>62901548.049999997</v>
      </c>
    </row>
    <row r="582" spans="1:5">
      <c r="A582" s="14" t="s">
        <v>29</v>
      </c>
      <c r="B582" s="271">
        <v>51671812.670000002</v>
      </c>
      <c r="C582" s="110">
        <v>19623443.5</v>
      </c>
      <c r="D582" s="110">
        <v>25527964</v>
      </c>
      <c r="E582" s="271">
        <v>45767292.170000002</v>
      </c>
    </row>
    <row r="583" spans="1:5">
      <c r="A583" s="15" t="s">
        <v>894</v>
      </c>
      <c r="B583" s="198">
        <v>23000</v>
      </c>
      <c r="C583" s="96"/>
      <c r="D583" s="96"/>
      <c r="E583" s="198">
        <v>23000</v>
      </c>
    </row>
    <row r="584" spans="1:5">
      <c r="A584" s="15" t="s">
        <v>895</v>
      </c>
      <c r="B584" s="198">
        <v>6258</v>
      </c>
      <c r="C584" s="96"/>
      <c r="D584" s="96"/>
      <c r="E584" s="198">
        <v>6258</v>
      </c>
    </row>
    <row r="585" spans="1:5">
      <c r="A585" s="15" t="s">
        <v>896</v>
      </c>
      <c r="B585" s="198">
        <v>2852</v>
      </c>
      <c r="C585" s="96"/>
      <c r="D585" s="96"/>
      <c r="E585" s="198">
        <v>2852</v>
      </c>
    </row>
    <row r="586" spans="1:5">
      <c r="A586" s="15" t="s">
        <v>897</v>
      </c>
      <c r="B586" s="198">
        <v>3792</v>
      </c>
      <c r="C586" s="96"/>
      <c r="D586" s="96"/>
      <c r="E586" s="198">
        <v>3792</v>
      </c>
    </row>
    <row r="587" spans="1:5">
      <c r="A587" s="15" t="s">
        <v>898</v>
      </c>
      <c r="B587" s="198">
        <v>13000</v>
      </c>
      <c r="C587" s="96"/>
      <c r="D587" s="96"/>
      <c r="E587" s="198">
        <v>13000</v>
      </c>
    </row>
    <row r="588" spans="1:5">
      <c r="A588" s="15" t="s">
        <v>899</v>
      </c>
      <c r="B588" s="198">
        <v>35000</v>
      </c>
      <c r="C588" s="96"/>
      <c r="D588" s="96"/>
      <c r="E588" s="198">
        <v>35000</v>
      </c>
    </row>
    <row r="589" spans="1:5">
      <c r="A589" s="15" t="s">
        <v>900</v>
      </c>
      <c r="B589" s="198">
        <v>10000</v>
      </c>
      <c r="C589" s="96"/>
      <c r="D589" s="96"/>
      <c r="E589" s="198">
        <v>10000</v>
      </c>
    </row>
    <row r="590" spans="1:5">
      <c r="A590" s="17" t="s">
        <v>901</v>
      </c>
      <c r="B590" s="198">
        <v>130161</v>
      </c>
      <c r="C590" s="96"/>
      <c r="D590" s="96"/>
      <c r="E590" s="198">
        <v>130161</v>
      </c>
    </row>
    <row r="591" spans="1:5">
      <c r="A591" s="17" t="s">
        <v>902</v>
      </c>
      <c r="B591" s="198">
        <v>48314.43</v>
      </c>
      <c r="C591" s="96"/>
      <c r="D591" s="96"/>
      <c r="E591" s="198">
        <v>48314.43</v>
      </c>
    </row>
    <row r="592" spans="1:5">
      <c r="A592" s="15" t="s">
        <v>903</v>
      </c>
      <c r="B592" s="198">
        <v>56000</v>
      </c>
      <c r="C592" s="96"/>
      <c r="D592" s="96"/>
      <c r="E592" s="198">
        <v>56000</v>
      </c>
    </row>
    <row r="593" spans="1:5">
      <c r="A593" s="17" t="s">
        <v>904</v>
      </c>
      <c r="B593" s="198">
        <v>4781.92</v>
      </c>
      <c r="C593" s="96"/>
      <c r="D593" s="96"/>
      <c r="E593" s="198">
        <v>4781.92</v>
      </c>
    </row>
    <row r="594" spans="1:5">
      <c r="A594" s="17" t="s">
        <v>905</v>
      </c>
      <c r="B594" s="198">
        <v>20556</v>
      </c>
      <c r="C594" s="96"/>
      <c r="D594" s="96"/>
      <c r="E594" s="198">
        <v>20556</v>
      </c>
    </row>
    <row r="595" spans="1:5">
      <c r="A595" s="13" t="s">
        <v>906</v>
      </c>
      <c r="B595" s="198">
        <v>50835537.43</v>
      </c>
      <c r="C595" s="104">
        <v>19623443.5</v>
      </c>
      <c r="D595" s="104">
        <v>25527964</v>
      </c>
      <c r="E595" s="198">
        <v>44931016.93</v>
      </c>
    </row>
    <row r="596" spans="1:5">
      <c r="A596" s="15" t="s">
        <v>907</v>
      </c>
      <c r="B596" s="198">
        <v>149259.89000000001</v>
      </c>
      <c r="C596" s="96"/>
      <c r="D596" s="96"/>
      <c r="E596" s="198">
        <v>149259.89000000001</v>
      </c>
    </row>
    <row r="597" spans="1:5">
      <c r="A597" s="17" t="s">
        <v>908</v>
      </c>
      <c r="B597" s="198">
        <v>4000</v>
      </c>
      <c r="C597" s="96"/>
      <c r="D597" s="96"/>
      <c r="E597" s="198">
        <v>4000</v>
      </c>
    </row>
    <row r="598" spans="1:5">
      <c r="A598" s="15" t="s">
        <v>909</v>
      </c>
      <c r="B598" s="198">
        <v>176124</v>
      </c>
      <c r="C598" s="96"/>
      <c r="D598" s="96"/>
      <c r="E598" s="198">
        <v>176124</v>
      </c>
    </row>
    <row r="599" spans="1:5">
      <c r="A599" s="15" t="s">
        <v>910</v>
      </c>
      <c r="B599" s="198">
        <v>145476</v>
      </c>
      <c r="C599" s="96"/>
      <c r="D599" s="96"/>
      <c r="E599" s="198">
        <v>145476</v>
      </c>
    </row>
    <row r="600" spans="1:5">
      <c r="A600" s="17" t="s">
        <v>911</v>
      </c>
      <c r="B600" s="198">
        <v>7700</v>
      </c>
      <c r="C600" s="96"/>
      <c r="D600" s="96"/>
      <c r="E600" s="198">
        <v>7700</v>
      </c>
    </row>
    <row r="601" spans="1:5">
      <c r="A601" s="14" t="s">
        <v>138</v>
      </c>
      <c r="B601" s="272">
        <v>7324216.9000000004</v>
      </c>
      <c r="C601" s="106">
        <v>6200649.6299999999</v>
      </c>
      <c r="D601" s="106">
        <v>5256223</v>
      </c>
      <c r="E601" s="272">
        <v>8268643.5300000003</v>
      </c>
    </row>
    <row r="602" spans="1:5">
      <c r="A602" s="13" t="s">
        <v>921</v>
      </c>
      <c r="B602" s="198">
        <v>7324216.9000000004</v>
      </c>
      <c r="C602" s="104">
        <v>6200649.6299999999</v>
      </c>
      <c r="D602" s="104">
        <v>5256223</v>
      </c>
      <c r="E602" s="198">
        <v>8268643.5300000003</v>
      </c>
    </row>
    <row r="603" spans="1:5">
      <c r="A603" s="13" t="s">
        <v>139</v>
      </c>
      <c r="B603" s="267">
        <v>6720750</v>
      </c>
      <c r="C603" s="112">
        <v>5816000</v>
      </c>
      <c r="D603" s="112">
        <v>6720750</v>
      </c>
      <c r="E603" s="267">
        <v>5816000</v>
      </c>
    </row>
    <row r="604" spans="1:5">
      <c r="A604" s="13" t="s">
        <v>140</v>
      </c>
      <c r="B604" s="267">
        <v>40000</v>
      </c>
      <c r="C604" s="95"/>
      <c r="D604" s="95"/>
      <c r="E604" s="267">
        <v>40000</v>
      </c>
    </row>
    <row r="605" spans="1:5">
      <c r="A605" s="13" t="s">
        <v>923</v>
      </c>
      <c r="B605" s="267">
        <v>48000</v>
      </c>
      <c r="C605" s="95"/>
      <c r="D605" s="95"/>
      <c r="E605" s="267">
        <v>48000</v>
      </c>
    </row>
    <row r="606" spans="1:5">
      <c r="A606" s="13" t="s">
        <v>141</v>
      </c>
      <c r="B606" s="267">
        <v>1343115</v>
      </c>
      <c r="C606" s="95"/>
      <c r="D606" s="112">
        <v>333000</v>
      </c>
      <c r="E606" s="267">
        <v>1010115</v>
      </c>
    </row>
    <row r="607" spans="1:5">
      <c r="A607" s="13" t="s">
        <v>142</v>
      </c>
      <c r="B607" s="267">
        <v>9530</v>
      </c>
      <c r="C607" s="95"/>
      <c r="D607" s="95"/>
      <c r="E607" s="267">
        <v>9530</v>
      </c>
    </row>
    <row r="608" spans="1:5">
      <c r="A608" s="13" t="s">
        <v>143</v>
      </c>
      <c r="B608" s="267">
        <v>445600</v>
      </c>
      <c r="C608" s="112">
        <v>223600</v>
      </c>
      <c r="D608" s="112">
        <v>82800</v>
      </c>
      <c r="E608" s="267">
        <v>586400</v>
      </c>
    </row>
    <row r="609" spans="1:5">
      <c r="A609" s="13" t="s">
        <v>144</v>
      </c>
      <c r="B609" s="267">
        <v>5500</v>
      </c>
      <c r="C609" s="95"/>
      <c r="D609" s="95"/>
      <c r="E609" s="267">
        <v>5500</v>
      </c>
    </row>
    <row r="610" spans="1:5">
      <c r="A610" s="13" t="s">
        <v>145</v>
      </c>
      <c r="B610" s="267">
        <v>294213</v>
      </c>
      <c r="C610" s="95"/>
      <c r="D610" s="112">
        <v>8100</v>
      </c>
      <c r="E610" s="267">
        <v>286113</v>
      </c>
    </row>
    <row r="611" spans="1:5">
      <c r="A611" s="13" t="s">
        <v>146</v>
      </c>
      <c r="B611" s="267">
        <v>13150</v>
      </c>
      <c r="C611" s="95"/>
      <c r="D611" s="95"/>
      <c r="E611" s="267">
        <v>13150</v>
      </c>
    </row>
    <row r="612" spans="1:5">
      <c r="A612" s="13" t="s">
        <v>147</v>
      </c>
      <c r="B612" s="267">
        <v>424087</v>
      </c>
      <c r="C612" s="112">
        <v>241500</v>
      </c>
      <c r="D612" s="112">
        <v>224000</v>
      </c>
      <c r="E612" s="267">
        <v>441587</v>
      </c>
    </row>
    <row r="613" spans="1:5">
      <c r="A613" s="13" t="s">
        <v>148</v>
      </c>
      <c r="B613" s="267">
        <v>279287.34999999998</v>
      </c>
      <c r="C613" s="112">
        <v>49353</v>
      </c>
      <c r="D613" s="95"/>
      <c r="E613" s="267">
        <v>328640.34999999998</v>
      </c>
    </row>
    <row r="614" spans="1:5">
      <c r="A614" s="13" t="s">
        <v>149</v>
      </c>
      <c r="B614" s="267">
        <v>132959</v>
      </c>
      <c r="C614" s="112">
        <v>1099697</v>
      </c>
      <c r="D614" s="112">
        <v>980661</v>
      </c>
      <c r="E614" s="267">
        <v>251995</v>
      </c>
    </row>
    <row r="615" spans="1:5">
      <c r="A615" s="13" t="s">
        <v>150</v>
      </c>
      <c r="B615" s="267">
        <v>28582</v>
      </c>
      <c r="C615" s="95"/>
      <c r="D615" s="95"/>
      <c r="E615" s="267">
        <v>28582</v>
      </c>
    </row>
    <row r="616" spans="1:5">
      <c r="A616" s="1" t="s">
        <v>151</v>
      </c>
      <c r="B616" s="264">
        <v>220284038.06</v>
      </c>
      <c r="C616" s="93">
        <v>6462480</v>
      </c>
      <c r="D616" s="108"/>
      <c r="E616" s="264">
        <v>213821558.06</v>
      </c>
    </row>
    <row r="617" spans="1:5">
      <c r="A617" s="13" t="s">
        <v>152</v>
      </c>
      <c r="B617" s="267">
        <v>82195790</v>
      </c>
      <c r="C617" s="112">
        <v>5360595</v>
      </c>
      <c r="D617" s="95"/>
      <c r="E617" s="267">
        <v>87556385</v>
      </c>
    </row>
    <row r="618" spans="1:5">
      <c r="A618" s="13" t="s">
        <v>153</v>
      </c>
      <c r="B618" s="267">
        <v>14342681</v>
      </c>
      <c r="C618" s="112">
        <v>1101885</v>
      </c>
      <c r="D618" s="95"/>
      <c r="E618" s="267">
        <v>15444566</v>
      </c>
    </row>
    <row r="619" spans="1:5">
      <c r="A619" s="13" t="s">
        <v>154</v>
      </c>
      <c r="B619" s="263">
        <v>44374031.420000002</v>
      </c>
      <c r="C619" s="95"/>
      <c r="D619" s="95"/>
      <c r="E619" s="263">
        <v>44374031.420000002</v>
      </c>
    </row>
    <row r="620" spans="1:5">
      <c r="A620" s="13" t="s">
        <v>155</v>
      </c>
      <c r="B620" s="263">
        <v>272448477.63999999</v>
      </c>
      <c r="C620" s="95"/>
      <c r="D620" s="95"/>
      <c r="E620" s="263">
        <v>272448477.63999999</v>
      </c>
    </row>
    <row r="621" spans="1:5">
      <c r="A621" s="1" t="s">
        <v>156</v>
      </c>
      <c r="B621" s="264">
        <v>150000</v>
      </c>
      <c r="C621" s="93">
        <v>150000</v>
      </c>
      <c r="D621" s="108"/>
      <c r="E621" s="109"/>
    </row>
    <row r="622" spans="1:5">
      <c r="A622" s="14" t="s">
        <v>157</v>
      </c>
      <c r="B622" s="265">
        <v>150000</v>
      </c>
      <c r="C622" s="110">
        <v>150000</v>
      </c>
      <c r="D622" s="111"/>
      <c r="E622" s="111"/>
    </row>
    <row r="623" spans="1:5">
      <c r="A623" s="15" t="s">
        <v>1537</v>
      </c>
      <c r="B623" s="199">
        <v>150000</v>
      </c>
      <c r="C623" s="104">
        <v>150000</v>
      </c>
      <c r="D623" s="96"/>
      <c r="E623" s="95"/>
    </row>
    <row r="624" spans="1:5">
      <c r="A624" s="1" t="s">
        <v>158</v>
      </c>
      <c r="B624" s="109"/>
      <c r="C624" s="93">
        <v>22500000</v>
      </c>
      <c r="D624" s="108"/>
      <c r="E624" s="270">
        <v>22500000</v>
      </c>
    </row>
    <row r="625" spans="1:5">
      <c r="A625" s="16" t="s">
        <v>158</v>
      </c>
      <c r="B625" s="96"/>
      <c r="C625" s="112">
        <v>22500000</v>
      </c>
      <c r="D625" s="95"/>
      <c r="E625" s="267">
        <v>22500000</v>
      </c>
    </row>
    <row r="626" spans="1:5">
      <c r="A626" s="1" t="s">
        <v>159</v>
      </c>
      <c r="B626" s="270">
        <v>22500000</v>
      </c>
      <c r="C626" s="108"/>
      <c r="D626" s="93">
        <v>22500000</v>
      </c>
      <c r="E626" s="109"/>
    </row>
    <row r="627" spans="1:5">
      <c r="A627" s="13" t="s">
        <v>1223</v>
      </c>
      <c r="B627" s="267">
        <v>22500000</v>
      </c>
      <c r="C627" s="95"/>
      <c r="D627" s="112">
        <v>22500000</v>
      </c>
      <c r="E627" s="96"/>
    </row>
    <row r="628" spans="1:5">
      <c r="A628" s="2" t="s">
        <v>74</v>
      </c>
      <c r="B628" s="199">
        <v>201203939.09</v>
      </c>
      <c r="C628" s="96"/>
      <c r="D628" s="96"/>
      <c r="E628" s="199">
        <v>201203939.09</v>
      </c>
    </row>
    <row r="629" spans="1:5">
      <c r="A629" s="19" t="s">
        <v>75</v>
      </c>
      <c r="B629" s="102"/>
      <c r="C629" s="201">
        <v>1718550232.72</v>
      </c>
      <c r="D629" s="201">
        <v>1718550232.72</v>
      </c>
      <c r="E629" s="102"/>
    </row>
  </sheetData>
  <mergeCells count="13">
    <mergeCell ref="A6:C6"/>
    <mergeCell ref="H11:K11"/>
    <mergeCell ref="H10:K10"/>
    <mergeCell ref="I12:J12"/>
    <mergeCell ref="A7:C7"/>
    <mergeCell ref="B8:E8"/>
    <mergeCell ref="B9:E9"/>
    <mergeCell ref="C10:D10"/>
    <mergeCell ref="A1:C1"/>
    <mergeCell ref="A2:C2"/>
    <mergeCell ref="A3:C3"/>
    <mergeCell ref="A4:C4"/>
    <mergeCell ref="A5:C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N933"/>
  <sheetViews>
    <sheetView topLeftCell="A824" workbookViewId="0">
      <selection activeCell="C824" sqref="C824"/>
    </sheetView>
  </sheetViews>
  <sheetFormatPr defaultColWidth="9.44140625" defaultRowHeight="14.4"/>
  <cols>
    <col min="1" max="1" width="36.44140625" bestFit="1" customWidth="1"/>
    <col min="2" max="2" width="15.44140625" bestFit="1" customWidth="1"/>
    <col min="3" max="4" width="14.44140625" bestFit="1" customWidth="1"/>
    <col min="5" max="5" width="15.44140625" bestFit="1" customWidth="1"/>
    <col min="6" max="7" width="12.5546875" customWidth="1"/>
    <col min="8" max="8" width="35.44140625" customWidth="1"/>
    <col min="9" max="9" width="15.44140625" bestFit="1" customWidth="1"/>
    <col min="10" max="11" width="14.44140625" bestFit="1" customWidth="1"/>
    <col min="12" max="12" width="15.44140625" bestFit="1" customWidth="1"/>
    <col min="13" max="13" width="14.44140625" bestFit="1" customWidth="1"/>
    <col min="14" max="14" width="12.5546875" bestFit="1" customWidth="1"/>
  </cols>
  <sheetData>
    <row r="1" spans="1:14" ht="15.75" customHeight="1">
      <c r="A1" s="3309" t="s">
        <v>1661</v>
      </c>
      <c r="B1" s="3309"/>
      <c r="C1" s="3309"/>
      <c r="D1" s="385"/>
      <c r="E1" s="385"/>
      <c r="F1" t="s">
        <v>1158</v>
      </c>
      <c r="H1" s="3328" t="s">
        <v>1783</v>
      </c>
      <c r="I1" s="3328"/>
      <c r="J1" s="3328"/>
      <c r="K1" s="422"/>
      <c r="L1" s="422"/>
    </row>
    <row r="2" spans="1:14" ht="15" customHeight="1">
      <c r="A2" s="3310" t="s">
        <v>1662</v>
      </c>
      <c r="B2" s="3310"/>
      <c r="C2" s="3310"/>
      <c r="D2" s="385"/>
      <c r="E2" s="385"/>
      <c r="F2" t="s">
        <v>1158</v>
      </c>
      <c r="H2" s="3328" t="s">
        <v>81</v>
      </c>
      <c r="I2" s="3328"/>
      <c r="J2" s="3328"/>
      <c r="K2" s="422"/>
      <c r="L2" s="422"/>
    </row>
    <row r="3" spans="1:14" ht="15" customHeight="1">
      <c r="A3" s="3311" t="s">
        <v>1663</v>
      </c>
      <c r="B3" s="3311"/>
      <c r="C3" s="3311"/>
      <c r="D3" s="385"/>
      <c r="E3" s="385"/>
      <c r="F3" t="s">
        <v>2206</v>
      </c>
      <c r="H3" s="3329" t="s">
        <v>2177</v>
      </c>
      <c r="I3" s="3329"/>
      <c r="J3" s="3329"/>
      <c r="K3" s="422"/>
      <c r="L3" s="422"/>
    </row>
    <row r="4" spans="1:14" ht="15" customHeight="1">
      <c r="A4" s="3312" t="s">
        <v>1664</v>
      </c>
      <c r="B4" s="3312"/>
      <c r="C4" s="3312"/>
      <c r="D4" s="3312"/>
      <c r="E4" s="3312"/>
      <c r="F4" t="s">
        <v>1158</v>
      </c>
      <c r="H4" s="3330" t="s">
        <v>82</v>
      </c>
      <c r="I4" s="3330"/>
      <c r="J4" s="3330"/>
      <c r="K4" s="3330"/>
      <c r="L4" s="3330"/>
    </row>
    <row r="5" spans="1:14" ht="15" customHeight="1">
      <c r="A5" s="3313" t="s">
        <v>1665</v>
      </c>
      <c r="B5" s="3314"/>
      <c r="C5" s="3314"/>
      <c r="D5" s="3314"/>
      <c r="E5" s="3314"/>
      <c r="F5" t="s">
        <v>1158</v>
      </c>
      <c r="H5" s="3331" t="s">
        <v>1</v>
      </c>
      <c r="I5" s="3332"/>
      <c r="J5" s="3332"/>
      <c r="K5" s="3332"/>
      <c r="L5" s="3332"/>
    </row>
    <row r="6" spans="1:14" ht="15.75" customHeight="1">
      <c r="A6" s="3315" t="s">
        <v>81</v>
      </c>
      <c r="B6" s="3314"/>
      <c r="C6" s="3314"/>
      <c r="D6" s="3316"/>
      <c r="E6" s="386"/>
      <c r="F6" t="s">
        <v>1158</v>
      </c>
      <c r="H6" s="3333" t="s">
        <v>82</v>
      </c>
      <c r="I6" s="3334"/>
      <c r="J6" s="3334"/>
      <c r="K6" s="3335"/>
      <c r="L6" s="423" t="s">
        <v>1333</v>
      </c>
    </row>
    <row r="7" spans="1:14" ht="15" customHeight="1">
      <c r="A7" s="3302" t="s">
        <v>2177</v>
      </c>
      <c r="B7" s="3303"/>
      <c r="C7" s="3304"/>
      <c r="D7" s="387"/>
      <c r="E7" s="388"/>
      <c r="F7" t="s">
        <v>1158</v>
      </c>
      <c r="H7" s="3317" t="s">
        <v>82</v>
      </c>
      <c r="I7" s="3318"/>
      <c r="J7" s="3319"/>
      <c r="K7" s="425" t="s">
        <v>67</v>
      </c>
      <c r="L7" s="424" t="s">
        <v>1196</v>
      </c>
    </row>
    <row r="8" spans="1:14" ht="15" customHeight="1">
      <c r="A8" s="389" t="s">
        <v>82</v>
      </c>
      <c r="B8" s="3305" t="s">
        <v>1667</v>
      </c>
      <c r="C8" s="3306"/>
      <c r="D8" s="3306"/>
      <c r="E8" s="3306"/>
      <c r="F8" t="s">
        <v>1158</v>
      </c>
      <c r="H8" s="426" t="s">
        <v>1158</v>
      </c>
      <c r="I8" s="3320">
        <v>1318152.53</v>
      </c>
      <c r="J8" s="3321"/>
      <c r="K8" s="3321"/>
      <c r="L8" s="3322"/>
    </row>
    <row r="9" spans="1:14" ht="15" customHeight="1">
      <c r="A9" s="390" t="s">
        <v>1</v>
      </c>
      <c r="B9" s="3307" t="s">
        <v>2177</v>
      </c>
      <c r="C9" s="3306"/>
      <c r="D9" s="3306"/>
      <c r="E9" s="3306"/>
      <c r="F9" t="s">
        <v>1158</v>
      </c>
      <c r="H9" s="427" t="s">
        <v>1158</v>
      </c>
      <c r="I9" s="3323">
        <v>1318152.53</v>
      </c>
      <c r="J9" s="3324"/>
      <c r="K9" s="3324"/>
      <c r="L9" s="3325"/>
    </row>
    <row r="10" spans="1:14" ht="15" customHeight="1">
      <c r="A10" s="390" t="s">
        <v>82</v>
      </c>
      <c r="B10" s="391" t="s">
        <v>1331</v>
      </c>
      <c r="C10" s="3305" t="s">
        <v>1332</v>
      </c>
      <c r="D10" s="3308"/>
      <c r="E10" s="391" t="s">
        <v>1333</v>
      </c>
      <c r="F10" t="s">
        <v>2206</v>
      </c>
      <c r="H10" s="427"/>
      <c r="I10" s="428"/>
      <c r="J10" s="429"/>
      <c r="K10" s="429"/>
      <c r="L10" s="430"/>
    </row>
    <row r="11" spans="1:14" ht="15" customHeight="1">
      <c r="A11" s="392" t="s">
        <v>82</v>
      </c>
      <c r="B11" s="393" t="s">
        <v>1196</v>
      </c>
      <c r="C11" s="394" t="s">
        <v>66</v>
      </c>
      <c r="D11" s="394" t="s">
        <v>67</v>
      </c>
      <c r="E11" s="393" t="s">
        <v>1196</v>
      </c>
      <c r="F11" t="s">
        <v>1158</v>
      </c>
      <c r="H11" s="427"/>
      <c r="I11" s="428"/>
      <c r="J11" s="429"/>
      <c r="K11" s="429"/>
      <c r="L11" s="430"/>
    </row>
    <row r="12" spans="1:14" ht="15" customHeight="1">
      <c r="A12" s="395" t="s">
        <v>84</v>
      </c>
      <c r="B12" s="396">
        <v>7147460</v>
      </c>
      <c r="C12" s="397"/>
      <c r="D12" s="397"/>
      <c r="E12" s="396">
        <v>7147460</v>
      </c>
      <c r="F12" t="s">
        <v>1158</v>
      </c>
      <c r="H12" s="431" t="s">
        <v>39</v>
      </c>
      <c r="I12" s="432">
        <v>57034</v>
      </c>
      <c r="J12" s="3326"/>
      <c r="K12" s="3327"/>
      <c r="L12" s="433">
        <v>57034</v>
      </c>
      <c r="M12" s="466">
        <f>E28+L12</f>
        <v>54036108.259999998</v>
      </c>
      <c r="N12" t="s">
        <v>2205</v>
      </c>
    </row>
    <row r="13" spans="1:14" ht="15" customHeight="1">
      <c r="A13" s="398" t="s">
        <v>85</v>
      </c>
      <c r="B13" s="399">
        <v>7147460</v>
      </c>
      <c r="C13" s="400"/>
      <c r="D13" s="400"/>
      <c r="E13" s="399">
        <v>7147460</v>
      </c>
      <c r="F13" t="s">
        <v>2206</v>
      </c>
      <c r="G13" t="s">
        <v>1158</v>
      </c>
      <c r="H13" s="434" t="s">
        <v>1158</v>
      </c>
      <c r="I13" s="435">
        <v>57034</v>
      </c>
      <c r="J13" s="436"/>
      <c r="K13" s="436"/>
      <c r="L13" s="435">
        <v>57034</v>
      </c>
    </row>
    <row r="14" spans="1:14" ht="15" customHeight="1">
      <c r="A14" s="398"/>
      <c r="B14" s="399"/>
      <c r="C14" s="400"/>
      <c r="D14" s="400"/>
      <c r="E14" s="399"/>
      <c r="F14" t="s">
        <v>1158</v>
      </c>
      <c r="H14" s="437" t="s">
        <v>96</v>
      </c>
      <c r="I14" s="438">
        <v>25000</v>
      </c>
      <c r="J14" s="439"/>
      <c r="K14" s="439"/>
      <c r="L14" s="438">
        <v>25000</v>
      </c>
      <c r="M14" s="100">
        <f>E36+L14</f>
        <v>85653536.280000001</v>
      </c>
      <c r="N14" t="s">
        <v>2205</v>
      </c>
    </row>
    <row r="15" spans="1:14" ht="15" customHeight="1">
      <c r="A15" s="398"/>
      <c r="B15" s="399"/>
      <c r="C15" s="400"/>
      <c r="D15" s="400"/>
      <c r="E15" s="399"/>
      <c r="F15" t="s">
        <v>1158</v>
      </c>
      <c r="H15" s="440" t="s">
        <v>97</v>
      </c>
      <c r="I15" s="441">
        <v>25000</v>
      </c>
      <c r="J15" s="442" t="s">
        <v>1158</v>
      </c>
      <c r="K15" s="442"/>
      <c r="L15" s="441">
        <v>25000</v>
      </c>
    </row>
    <row r="16" spans="1:14" ht="15" customHeight="1">
      <c r="A16" s="395" t="s">
        <v>86</v>
      </c>
      <c r="B16" s="401">
        <v>17479003.719999999</v>
      </c>
      <c r="C16" s="402">
        <v>196491049.09999999</v>
      </c>
      <c r="D16" s="402">
        <v>176217827.75</v>
      </c>
      <c r="E16" s="403">
        <v>2794217.63</v>
      </c>
      <c r="F16" t="s">
        <v>1158</v>
      </c>
      <c r="G16" t="s">
        <v>1158</v>
      </c>
      <c r="H16" s="440"/>
      <c r="I16" s="441"/>
      <c r="J16" s="442" t="s">
        <v>2206</v>
      </c>
      <c r="K16" s="442"/>
      <c r="L16" s="441"/>
    </row>
    <row r="17" spans="1:13" ht="15" customHeight="1">
      <c r="A17" s="398" t="s">
        <v>87</v>
      </c>
      <c r="B17" s="404"/>
      <c r="C17" s="405">
        <v>30000</v>
      </c>
      <c r="D17" s="400"/>
      <c r="E17" s="406">
        <v>30000</v>
      </c>
      <c r="F17" t="s">
        <v>1158</v>
      </c>
      <c r="G17" t="s">
        <v>2206</v>
      </c>
      <c r="H17" s="440" t="s">
        <v>1158</v>
      </c>
      <c r="I17" s="441"/>
      <c r="J17" s="442"/>
      <c r="K17" s="442"/>
      <c r="L17" s="441" t="s">
        <v>1158</v>
      </c>
    </row>
    <row r="18" spans="1:13" ht="15" customHeight="1">
      <c r="A18" s="398" t="s">
        <v>89</v>
      </c>
      <c r="B18" s="399">
        <v>8693021.5800000001</v>
      </c>
      <c r="C18" s="405">
        <v>166554223.09999999</v>
      </c>
      <c r="D18" s="405">
        <v>157020304.75</v>
      </c>
      <c r="E18" s="406">
        <v>840896.77</v>
      </c>
      <c r="F18" t="s">
        <v>1158</v>
      </c>
      <c r="H18" s="437" t="s">
        <v>100</v>
      </c>
      <c r="I18" s="443" t="s">
        <v>1158</v>
      </c>
      <c r="J18" s="444">
        <v>16536361.050000001</v>
      </c>
      <c r="K18" s="444">
        <v>32975864.100000001</v>
      </c>
      <c r="L18" s="443" t="s">
        <v>2206</v>
      </c>
      <c r="M18" t="s">
        <v>2208</v>
      </c>
    </row>
    <row r="19" spans="1:13" ht="15" customHeight="1">
      <c r="A19" s="398" t="s">
        <v>2013</v>
      </c>
      <c r="B19" s="399">
        <v>412000</v>
      </c>
      <c r="C19" s="405">
        <v>412000</v>
      </c>
      <c r="D19" s="400"/>
      <c r="E19" s="404"/>
      <c r="F19" t="s">
        <v>2206</v>
      </c>
      <c r="H19" s="440" t="s">
        <v>823</v>
      </c>
      <c r="I19" s="445">
        <v>2</v>
      </c>
      <c r="J19" s="442"/>
      <c r="K19" s="442"/>
      <c r="L19" s="445" t="s">
        <v>1158</v>
      </c>
    </row>
    <row r="20" spans="1:13" ht="15" customHeight="1">
      <c r="A20" s="398" t="s">
        <v>1177</v>
      </c>
      <c r="B20" s="404"/>
      <c r="C20" s="405">
        <v>14294920</v>
      </c>
      <c r="D20" s="405">
        <v>14294920</v>
      </c>
      <c r="E20" s="404"/>
      <c r="F20" t="s">
        <v>1158</v>
      </c>
      <c r="H20" s="440" t="s">
        <v>1839</v>
      </c>
      <c r="I20" s="441">
        <v>41936</v>
      </c>
      <c r="J20" s="446">
        <v>670441</v>
      </c>
      <c r="K20" s="446">
        <v>689334</v>
      </c>
      <c r="L20" s="441" t="s">
        <v>1158</v>
      </c>
    </row>
    <row r="21" spans="1:13" ht="15" customHeight="1">
      <c r="A21" s="398" t="s">
        <v>2014</v>
      </c>
      <c r="B21" s="404"/>
      <c r="C21" s="405">
        <v>2938363</v>
      </c>
      <c r="D21" s="405">
        <v>2938363</v>
      </c>
      <c r="E21" s="404"/>
      <c r="F21" t="s">
        <v>1158</v>
      </c>
      <c r="H21" s="440" t="s">
        <v>1505</v>
      </c>
      <c r="I21" s="441">
        <v>5875</v>
      </c>
      <c r="J21" s="442"/>
      <c r="K21" s="442"/>
      <c r="L21" s="441" t="s">
        <v>1158</v>
      </c>
    </row>
    <row r="22" spans="1:13" ht="15" customHeight="1">
      <c r="A22" s="398" t="s">
        <v>1062</v>
      </c>
      <c r="B22" s="407">
        <v>78862</v>
      </c>
      <c r="C22" s="408"/>
      <c r="D22" s="408"/>
      <c r="E22" s="407">
        <v>78862</v>
      </c>
      <c r="F22" t="s">
        <v>1158</v>
      </c>
      <c r="H22" s="440" t="s">
        <v>833</v>
      </c>
      <c r="I22" s="441">
        <v>6924</v>
      </c>
      <c r="J22" s="442"/>
      <c r="K22" s="442"/>
      <c r="L22" s="441" t="s">
        <v>2206</v>
      </c>
    </row>
    <row r="23" spans="1:13" ht="15" customHeight="1">
      <c r="A23" s="398" t="s">
        <v>2015</v>
      </c>
      <c r="B23" s="399">
        <v>7968570</v>
      </c>
      <c r="C23" s="405">
        <v>12221896</v>
      </c>
      <c r="D23" s="405">
        <v>1924593</v>
      </c>
      <c r="E23" s="406">
        <v>2328733</v>
      </c>
      <c r="F23" t="s">
        <v>1158</v>
      </c>
      <c r="H23" s="440" t="s">
        <v>1506</v>
      </c>
      <c r="I23" s="445">
        <v>41010</v>
      </c>
      <c r="J23" s="442"/>
      <c r="K23" s="442"/>
      <c r="L23" s="445" t="s">
        <v>1158</v>
      </c>
    </row>
    <row r="24" spans="1:13" ht="15" customHeight="1">
      <c r="A24" s="398" t="s">
        <v>91</v>
      </c>
      <c r="B24" s="399">
        <v>294347</v>
      </c>
      <c r="C24" s="405">
        <v>39647</v>
      </c>
      <c r="D24" s="405">
        <v>39647</v>
      </c>
      <c r="E24" s="399">
        <v>294347</v>
      </c>
      <c r="F24" t="s">
        <v>2206</v>
      </c>
      <c r="H24" s="440" t="s">
        <v>2046</v>
      </c>
      <c r="I24" s="447">
        <v>1811</v>
      </c>
      <c r="J24" s="444">
        <v>1143263</v>
      </c>
      <c r="K24" s="444">
        <v>1145074</v>
      </c>
      <c r="L24" s="448" t="s">
        <v>1158</v>
      </c>
    </row>
    <row r="25" spans="1:13" ht="15" customHeight="1">
      <c r="A25" s="398" t="s">
        <v>1063</v>
      </c>
      <c r="B25" s="399">
        <v>32203.14</v>
      </c>
      <c r="C25" s="400"/>
      <c r="D25" s="400"/>
      <c r="E25" s="399">
        <v>32203.14</v>
      </c>
      <c r="F25" t="s">
        <v>1158</v>
      </c>
      <c r="H25" s="440" t="s">
        <v>1841</v>
      </c>
      <c r="I25" s="441">
        <v>23368</v>
      </c>
      <c r="J25" s="446">
        <v>4786525.05</v>
      </c>
      <c r="K25" s="446">
        <v>4786654.05</v>
      </c>
      <c r="L25" s="441" t="s">
        <v>1158</v>
      </c>
    </row>
    <row r="26" spans="1:13" ht="15" customHeight="1">
      <c r="A26" s="398"/>
      <c r="B26" s="399"/>
      <c r="C26" s="400"/>
      <c r="D26" s="400"/>
      <c r="E26" s="399"/>
      <c r="F26" t="s">
        <v>1158</v>
      </c>
      <c r="H26" s="440" t="s">
        <v>1516</v>
      </c>
      <c r="I26" s="445">
        <v>60</v>
      </c>
      <c r="J26" s="442"/>
      <c r="K26" s="442"/>
      <c r="L26" s="445" t="s">
        <v>1158</v>
      </c>
    </row>
    <row r="27" spans="1:13" ht="15" customHeight="1">
      <c r="A27" s="398"/>
      <c r="B27" s="399"/>
      <c r="C27" s="400"/>
      <c r="D27" s="400"/>
      <c r="E27" s="399"/>
      <c r="F27" t="s">
        <v>1158</v>
      </c>
      <c r="H27" s="440" t="s">
        <v>941</v>
      </c>
      <c r="I27" s="441">
        <v>3752</v>
      </c>
      <c r="J27" s="442"/>
      <c r="K27" s="442"/>
      <c r="L27" s="441" t="s">
        <v>2206</v>
      </c>
    </row>
    <row r="28" spans="1:13" ht="15" customHeight="1">
      <c r="A28" s="395" t="s">
        <v>39</v>
      </c>
      <c r="B28" s="403">
        <v>45919593.259999998</v>
      </c>
      <c r="C28" s="402">
        <v>8059481</v>
      </c>
      <c r="D28" s="408"/>
      <c r="E28" s="403">
        <v>53979074.259999998</v>
      </c>
      <c r="F28" t="s">
        <v>2206</v>
      </c>
      <c r="H28" s="440" t="s">
        <v>2050</v>
      </c>
      <c r="I28" s="448"/>
      <c r="J28" s="444">
        <v>943278</v>
      </c>
      <c r="K28" s="444">
        <v>943278</v>
      </c>
      <c r="L28" s="448" t="s">
        <v>1158</v>
      </c>
    </row>
    <row r="29" spans="1:13" ht="15" customHeight="1">
      <c r="A29" s="398" t="s">
        <v>92</v>
      </c>
      <c r="B29" s="409">
        <v>868251</v>
      </c>
      <c r="C29" s="408"/>
      <c r="D29" s="408"/>
      <c r="E29" s="409">
        <v>868251</v>
      </c>
      <c r="F29" t="s">
        <v>1158</v>
      </c>
      <c r="H29" s="440" t="s">
        <v>2202</v>
      </c>
      <c r="I29" s="448"/>
      <c r="J29" s="444">
        <v>90200</v>
      </c>
      <c r="K29" s="444">
        <v>90200</v>
      </c>
      <c r="L29" s="448"/>
    </row>
    <row r="30" spans="1:13" ht="15" customHeight="1">
      <c r="A30" s="398" t="s">
        <v>93</v>
      </c>
      <c r="B30" s="406">
        <v>742727.8</v>
      </c>
      <c r="C30" s="405">
        <v>217883</v>
      </c>
      <c r="D30" s="400"/>
      <c r="E30" s="406">
        <v>960610.8</v>
      </c>
      <c r="F30" t="s">
        <v>1158</v>
      </c>
      <c r="H30" s="440" t="s">
        <v>1517</v>
      </c>
      <c r="I30" s="441">
        <v>29772</v>
      </c>
      <c r="J30" s="442"/>
      <c r="K30" s="442"/>
      <c r="L30" s="441">
        <v>29772</v>
      </c>
    </row>
    <row r="31" spans="1:13" ht="15" customHeight="1">
      <c r="A31" s="398" t="s">
        <v>94</v>
      </c>
      <c r="B31" s="407">
        <v>66044.649999999994</v>
      </c>
      <c r="C31" s="408"/>
      <c r="D31" s="408"/>
      <c r="E31" s="407">
        <v>66044.649999999994</v>
      </c>
      <c r="F31" t="s">
        <v>1158</v>
      </c>
      <c r="H31" s="440" t="s">
        <v>1240</v>
      </c>
      <c r="I31" s="447">
        <v>15054</v>
      </c>
      <c r="J31" s="448"/>
      <c r="K31" s="448"/>
      <c r="L31" s="447">
        <v>15054</v>
      </c>
    </row>
    <row r="32" spans="1:13" ht="15" customHeight="1">
      <c r="A32" s="398" t="s">
        <v>1267</v>
      </c>
      <c r="B32" s="406">
        <v>39882554.630000003</v>
      </c>
      <c r="C32" s="405">
        <v>7764316</v>
      </c>
      <c r="D32" s="400"/>
      <c r="E32" s="406">
        <v>47646870.630000003</v>
      </c>
      <c r="F32" t="s">
        <v>1158</v>
      </c>
      <c r="H32" s="440" t="s">
        <v>2203</v>
      </c>
      <c r="I32" s="449"/>
      <c r="J32" s="446">
        <v>7201436</v>
      </c>
      <c r="K32" s="446">
        <v>7145762</v>
      </c>
      <c r="L32" s="441">
        <v>55674</v>
      </c>
    </row>
    <row r="33" spans="1:13" ht="15" customHeight="1">
      <c r="A33" s="398" t="s">
        <v>1266</v>
      </c>
      <c r="B33" s="406">
        <v>4492104.4800000004</v>
      </c>
      <c r="C33" s="405">
        <v>77282</v>
      </c>
      <c r="D33" s="400"/>
      <c r="E33" s="406">
        <v>4569386.4800000004</v>
      </c>
      <c r="F33" t="s">
        <v>2207</v>
      </c>
      <c r="H33" s="440" t="s">
        <v>856</v>
      </c>
      <c r="I33" s="445">
        <v>3682429</v>
      </c>
      <c r="J33" s="442"/>
      <c r="K33" s="446">
        <v>943278</v>
      </c>
      <c r="L33" s="445">
        <v>4625707</v>
      </c>
    </row>
    <row r="34" spans="1:13" ht="15" customHeight="1">
      <c r="A34" s="398"/>
      <c r="B34" s="406"/>
      <c r="C34" s="405"/>
      <c r="D34" s="400"/>
      <c r="E34" s="406"/>
      <c r="F34" t="s">
        <v>2206</v>
      </c>
      <c r="H34" s="440" t="s">
        <v>857</v>
      </c>
      <c r="I34" s="450">
        <v>155952519</v>
      </c>
      <c r="J34" s="448"/>
      <c r="K34" s="444">
        <v>11386532</v>
      </c>
      <c r="L34" s="450">
        <v>167339051</v>
      </c>
    </row>
    <row r="35" spans="1:13" ht="15" customHeight="1">
      <c r="A35" s="398"/>
      <c r="B35" s="406"/>
      <c r="C35" s="405"/>
      <c r="D35" s="400"/>
      <c r="E35" s="406"/>
      <c r="F35" t="s">
        <v>1158</v>
      </c>
      <c r="H35" s="440" t="s">
        <v>858</v>
      </c>
      <c r="I35" s="445">
        <v>74297495.25</v>
      </c>
      <c r="J35" s="446">
        <v>27368</v>
      </c>
      <c r="K35" s="446">
        <v>4179183.05</v>
      </c>
      <c r="L35" s="445">
        <v>78449310.299999997</v>
      </c>
    </row>
    <row r="36" spans="1:13" ht="15" customHeight="1">
      <c r="A36" s="395" t="s">
        <v>96</v>
      </c>
      <c r="B36" s="403">
        <v>95820505.019999996</v>
      </c>
      <c r="C36" s="402">
        <v>1108641377.3800001</v>
      </c>
      <c r="D36" s="402">
        <v>1118833346.1199999</v>
      </c>
      <c r="E36" s="403">
        <v>85628536.280000001</v>
      </c>
      <c r="F36" t="s">
        <v>2205</v>
      </c>
      <c r="H36" s="440" t="s">
        <v>1528</v>
      </c>
      <c r="I36" s="449"/>
      <c r="J36" s="446">
        <v>47140</v>
      </c>
      <c r="K36" s="446">
        <v>47140</v>
      </c>
      <c r="L36" s="449"/>
    </row>
    <row r="37" spans="1:13" ht="15" customHeight="1">
      <c r="A37" s="398" t="s">
        <v>1265</v>
      </c>
      <c r="B37" s="404"/>
      <c r="C37" s="400"/>
      <c r="D37" s="400"/>
      <c r="E37" s="404"/>
      <c r="H37" s="440" t="s">
        <v>1237</v>
      </c>
      <c r="I37" s="441">
        <v>69540</v>
      </c>
      <c r="J37" s="442"/>
      <c r="K37" s="442"/>
      <c r="L37" s="441">
        <v>69540</v>
      </c>
    </row>
    <row r="38" spans="1:13" ht="15" customHeight="1">
      <c r="A38" s="398" t="s">
        <v>97</v>
      </c>
      <c r="B38" s="406">
        <v>22168775</v>
      </c>
      <c r="C38" s="400"/>
      <c r="D38" s="400"/>
      <c r="E38" s="406">
        <v>22168775</v>
      </c>
      <c r="H38" s="440" t="s">
        <v>863</v>
      </c>
      <c r="I38" s="447">
        <v>6023</v>
      </c>
      <c r="J38" s="448"/>
      <c r="K38" s="448"/>
      <c r="L38" s="447">
        <v>6023</v>
      </c>
    </row>
    <row r="39" spans="1:13" ht="15" customHeight="1">
      <c r="A39" s="398" t="s">
        <v>98</v>
      </c>
      <c r="B39" s="406">
        <v>34679553.009999998</v>
      </c>
      <c r="C39" s="405">
        <v>384791567.10000002</v>
      </c>
      <c r="D39" s="405">
        <v>375098967.66000003</v>
      </c>
      <c r="E39" s="406">
        <v>44372152.450000003</v>
      </c>
      <c r="H39" s="440" t="s">
        <v>1089</v>
      </c>
      <c r="I39" s="441">
        <v>40029.199999999997</v>
      </c>
      <c r="J39" s="442"/>
      <c r="K39" s="442"/>
      <c r="L39" s="441">
        <v>40029.199999999997</v>
      </c>
    </row>
    <row r="40" spans="1:13" ht="15" customHeight="1">
      <c r="A40" s="398"/>
      <c r="B40" s="406"/>
      <c r="C40" s="405"/>
      <c r="D40" s="405"/>
      <c r="E40" s="406"/>
      <c r="H40" s="440" t="s">
        <v>1236</v>
      </c>
      <c r="I40" s="441">
        <v>38444</v>
      </c>
      <c r="J40" s="442"/>
      <c r="K40" s="442"/>
      <c r="L40" s="441">
        <v>38444</v>
      </c>
    </row>
    <row r="41" spans="1:13" ht="15" customHeight="1">
      <c r="A41" s="398"/>
      <c r="B41" s="406"/>
      <c r="C41" s="405"/>
      <c r="D41" s="405"/>
      <c r="E41" s="406"/>
      <c r="H41" s="440" t="s">
        <v>2204</v>
      </c>
      <c r="I41" s="448"/>
      <c r="J41" s="444">
        <v>956699</v>
      </c>
      <c r="K41" s="444">
        <v>949418</v>
      </c>
      <c r="L41" s="447">
        <v>7281</v>
      </c>
    </row>
    <row r="42" spans="1:13" ht="15" customHeight="1">
      <c r="A42" s="395" t="s">
        <v>1247</v>
      </c>
      <c r="B42" s="403">
        <v>54632</v>
      </c>
      <c r="C42" s="402">
        <v>40914060</v>
      </c>
      <c r="D42" s="402">
        <v>40958771</v>
      </c>
      <c r="E42" s="403">
        <v>9921</v>
      </c>
      <c r="H42" s="440" t="s">
        <v>1530</v>
      </c>
      <c r="I42" s="441">
        <v>18273</v>
      </c>
      <c r="J42" s="446">
        <v>670011</v>
      </c>
      <c r="K42" s="446">
        <v>670011</v>
      </c>
      <c r="L42" s="441">
        <v>18273</v>
      </c>
    </row>
    <row r="43" spans="1:13" ht="15" customHeight="1">
      <c r="A43" s="410" t="s">
        <v>70</v>
      </c>
      <c r="B43" s="411">
        <v>20073247.010000002</v>
      </c>
      <c r="C43" s="405">
        <v>672208284.27999997</v>
      </c>
      <c r="D43" s="405">
        <v>678814545.46000004</v>
      </c>
      <c r="E43" s="411">
        <v>13466985.83</v>
      </c>
      <c r="F43" t="s">
        <v>1158</v>
      </c>
      <c r="H43" s="440"/>
      <c r="I43" s="441"/>
      <c r="J43" s="446"/>
      <c r="K43" s="446"/>
      <c r="L43" s="441" t="s">
        <v>1158</v>
      </c>
    </row>
    <row r="44" spans="1:13" ht="15" customHeight="1">
      <c r="A44" s="398" t="s">
        <v>99</v>
      </c>
      <c r="B44" s="406">
        <v>18844298</v>
      </c>
      <c r="C44" s="405">
        <v>10727466</v>
      </c>
      <c r="D44" s="405">
        <v>23961062</v>
      </c>
      <c r="E44" s="406">
        <v>5610702</v>
      </c>
      <c r="H44" s="440"/>
      <c r="I44" s="441"/>
      <c r="J44" s="446"/>
      <c r="K44" s="446"/>
      <c r="L44" s="441" t="s">
        <v>1158</v>
      </c>
    </row>
    <row r="45" spans="1:13" ht="15" customHeight="1">
      <c r="A45" s="398"/>
      <c r="B45" s="406"/>
      <c r="C45" s="405"/>
      <c r="D45" s="405"/>
      <c r="E45" s="406"/>
      <c r="H45" s="437" t="s">
        <v>104</v>
      </c>
      <c r="I45" s="451"/>
      <c r="J45" s="444">
        <v>9603900.0500000007</v>
      </c>
      <c r="K45" s="448"/>
      <c r="L45" s="452" t="s">
        <v>1158</v>
      </c>
      <c r="M45" t="s">
        <v>2208</v>
      </c>
    </row>
    <row r="46" spans="1:13" ht="15" customHeight="1">
      <c r="A46" s="398"/>
      <c r="B46" s="406"/>
      <c r="C46" s="405"/>
      <c r="D46" s="405"/>
      <c r="E46" s="406"/>
      <c r="G46" t="s">
        <v>2207</v>
      </c>
      <c r="H46" s="440" t="s">
        <v>116</v>
      </c>
      <c r="I46" s="448"/>
      <c r="J46" s="444">
        <v>199975</v>
      </c>
      <c r="K46" s="448"/>
      <c r="L46" s="447" t="s">
        <v>1158</v>
      </c>
    </row>
    <row r="47" spans="1:13" ht="15" customHeight="1">
      <c r="A47" s="395" t="s">
        <v>100</v>
      </c>
      <c r="B47" s="403">
        <v>238290375.80000001</v>
      </c>
      <c r="C47" s="402">
        <v>159099160.80000001</v>
      </c>
      <c r="D47" s="402">
        <v>141097791.05000001</v>
      </c>
      <c r="E47" s="403">
        <v>256291745.55000001</v>
      </c>
      <c r="F47">
        <v>250694158.5</v>
      </c>
      <c r="G47" t="s">
        <v>1158</v>
      </c>
      <c r="H47" s="440" t="s">
        <v>117</v>
      </c>
      <c r="I47" s="449"/>
      <c r="J47" s="446">
        <v>41650</v>
      </c>
      <c r="K47" s="442"/>
      <c r="L47" s="441" t="s">
        <v>1158</v>
      </c>
    </row>
    <row r="48" spans="1:13" ht="15" customHeight="1">
      <c r="A48" s="398" t="s">
        <v>2036</v>
      </c>
      <c r="B48" s="406">
        <v>109460</v>
      </c>
      <c r="C48" s="405">
        <v>2212764</v>
      </c>
      <c r="D48" s="405">
        <v>2322224</v>
      </c>
      <c r="E48" s="404"/>
      <c r="F48" s="100">
        <v>256874651.55000001</v>
      </c>
      <c r="H48" s="440" t="s">
        <v>119</v>
      </c>
      <c r="I48" s="449"/>
      <c r="J48" s="446">
        <v>776100</v>
      </c>
      <c r="K48" s="442"/>
      <c r="L48" s="441" t="s">
        <v>1158</v>
      </c>
    </row>
    <row r="49" spans="1:12" ht="15" customHeight="1">
      <c r="A49" s="398" t="s">
        <v>2037</v>
      </c>
      <c r="B49" s="406">
        <v>217196</v>
      </c>
      <c r="C49" s="405">
        <v>4058790</v>
      </c>
      <c r="D49" s="405">
        <v>4275986</v>
      </c>
      <c r="E49" s="404"/>
      <c r="F49">
        <f>SUM(F47:F48)</f>
        <v>507568810.05000001</v>
      </c>
      <c r="H49" s="440" t="s">
        <v>120</v>
      </c>
      <c r="I49" s="449"/>
      <c r="J49" s="446">
        <v>629110</v>
      </c>
      <c r="K49" s="442"/>
      <c r="L49" s="441">
        <v>629110</v>
      </c>
    </row>
    <row r="50" spans="1:12" ht="15" customHeight="1">
      <c r="A50" s="398" t="s">
        <v>822</v>
      </c>
      <c r="B50" s="407">
        <v>201</v>
      </c>
      <c r="C50" s="408"/>
      <c r="D50" s="408"/>
      <c r="E50" s="407">
        <v>201</v>
      </c>
      <c r="F50">
        <v>507675215</v>
      </c>
      <c r="H50" s="440" t="s">
        <v>939</v>
      </c>
      <c r="I50" s="449"/>
      <c r="J50" s="446">
        <v>92372</v>
      </c>
      <c r="K50" s="442"/>
      <c r="L50" s="441">
        <v>92372</v>
      </c>
    </row>
    <row r="51" spans="1:12" ht="15" customHeight="1">
      <c r="A51" s="398" t="s">
        <v>1246</v>
      </c>
      <c r="B51" s="399">
        <v>34050</v>
      </c>
      <c r="C51" s="400"/>
      <c r="D51" s="400"/>
      <c r="E51" s="399">
        <v>34050</v>
      </c>
      <c r="F51">
        <f>F49-F50</f>
        <v>-106404.94999998808</v>
      </c>
      <c r="H51" s="440" t="s">
        <v>938</v>
      </c>
      <c r="I51" s="449"/>
      <c r="J51" s="446">
        <v>562473</v>
      </c>
      <c r="K51" s="442"/>
      <c r="L51" s="441">
        <v>562473</v>
      </c>
    </row>
    <row r="52" spans="1:12" ht="15" customHeight="1">
      <c r="A52" s="398" t="s">
        <v>1245</v>
      </c>
      <c r="B52" s="399">
        <v>1544</v>
      </c>
      <c r="C52" s="400"/>
      <c r="D52" s="400"/>
      <c r="E52" s="399">
        <v>1544</v>
      </c>
      <c r="H52" s="440" t="s">
        <v>936</v>
      </c>
      <c r="I52" s="449"/>
      <c r="J52" s="446">
        <v>290801</v>
      </c>
      <c r="K52" s="442"/>
      <c r="L52" s="441">
        <v>290801</v>
      </c>
    </row>
    <row r="53" spans="1:12" ht="15" customHeight="1">
      <c r="A53" s="398" t="s">
        <v>1158</v>
      </c>
      <c r="B53" s="406" t="s">
        <v>1158</v>
      </c>
      <c r="C53" s="405" t="s">
        <v>1158</v>
      </c>
      <c r="D53" s="405" t="s">
        <v>1158</v>
      </c>
      <c r="E53" s="406" t="s">
        <v>2206</v>
      </c>
      <c r="F53" t="s">
        <v>1158</v>
      </c>
      <c r="H53" s="440" t="s">
        <v>935</v>
      </c>
      <c r="I53" s="449"/>
      <c r="J53" s="446">
        <v>28892.05</v>
      </c>
      <c r="K53" s="442"/>
      <c r="L53" s="441">
        <v>28892.05</v>
      </c>
    </row>
    <row r="54" spans="1:12" ht="15" customHeight="1">
      <c r="A54" s="398" t="s">
        <v>2039</v>
      </c>
      <c r="B54" s="406">
        <v>14076</v>
      </c>
      <c r="C54" s="405">
        <v>817844</v>
      </c>
      <c r="D54" s="405">
        <v>831920</v>
      </c>
      <c r="E54" s="404"/>
      <c r="H54" s="440" t="s">
        <v>121</v>
      </c>
      <c r="I54" s="449"/>
      <c r="J54" s="446">
        <v>196328</v>
      </c>
      <c r="K54" s="442"/>
      <c r="L54" s="441">
        <v>196328</v>
      </c>
    </row>
    <row r="55" spans="1:12" ht="15" customHeight="1">
      <c r="A55" s="398" t="s">
        <v>2040</v>
      </c>
      <c r="B55" s="406">
        <v>37345</v>
      </c>
      <c r="C55" s="405">
        <v>5040</v>
      </c>
      <c r="D55" s="405">
        <v>41085</v>
      </c>
      <c r="E55" s="406">
        <v>1300</v>
      </c>
      <c r="H55" s="440" t="s">
        <v>934</v>
      </c>
      <c r="I55" s="449"/>
      <c r="J55" s="446">
        <v>158358</v>
      </c>
      <c r="K55" s="442"/>
      <c r="L55" s="441">
        <v>158358</v>
      </c>
    </row>
    <row r="56" spans="1:12" ht="15" customHeight="1">
      <c r="A56" s="398" t="s">
        <v>2041</v>
      </c>
      <c r="B56" s="406">
        <v>3155</v>
      </c>
      <c r="C56" s="405">
        <v>2527785</v>
      </c>
      <c r="D56" s="405">
        <v>2530940</v>
      </c>
      <c r="E56" s="404"/>
      <c r="F56" t="s">
        <v>1158</v>
      </c>
      <c r="H56" s="453" t="s">
        <v>112</v>
      </c>
      <c r="I56" s="449"/>
      <c r="J56" s="446">
        <v>1464650</v>
      </c>
      <c r="K56" s="442"/>
      <c r="L56" s="441">
        <v>1464650</v>
      </c>
    </row>
    <row r="57" spans="1:12" ht="15" customHeight="1">
      <c r="A57" s="398" t="s">
        <v>824</v>
      </c>
      <c r="B57" s="399">
        <v>800</v>
      </c>
      <c r="C57" s="400"/>
      <c r="D57" s="400"/>
      <c r="E57" s="399">
        <v>800</v>
      </c>
      <c r="F57" t="s">
        <v>1158</v>
      </c>
      <c r="H57" s="453" t="s">
        <v>122</v>
      </c>
      <c r="I57" s="448"/>
      <c r="J57" s="444">
        <v>1577739</v>
      </c>
      <c r="K57" s="448"/>
      <c r="L57" s="447">
        <v>1577739</v>
      </c>
    </row>
    <row r="58" spans="1:12" ht="15" customHeight="1">
      <c r="A58" s="398" t="s">
        <v>825</v>
      </c>
      <c r="B58" s="406">
        <v>2727</v>
      </c>
      <c r="C58" s="400"/>
      <c r="D58" s="400"/>
      <c r="E58" s="406">
        <v>2727</v>
      </c>
      <c r="F58" t="s">
        <v>1158</v>
      </c>
      <c r="H58" s="440" t="s">
        <v>933</v>
      </c>
      <c r="I58" s="449"/>
      <c r="J58" s="446">
        <v>185969</v>
      </c>
      <c r="K58" s="442"/>
      <c r="L58" s="441">
        <v>185969</v>
      </c>
    </row>
    <row r="59" spans="1:12" ht="15" customHeight="1">
      <c r="A59" s="398" t="s">
        <v>1078</v>
      </c>
      <c r="B59" s="406">
        <v>45000</v>
      </c>
      <c r="C59" s="400"/>
      <c r="D59" s="400"/>
      <c r="E59" s="406">
        <v>45000</v>
      </c>
      <c r="F59" t="s">
        <v>2206</v>
      </c>
      <c r="H59" s="440" t="s">
        <v>123</v>
      </c>
      <c r="I59" s="449"/>
      <c r="J59" s="446">
        <v>2080782</v>
      </c>
      <c r="K59" s="442"/>
      <c r="L59" s="441">
        <v>2080782</v>
      </c>
    </row>
    <row r="60" spans="1:12" ht="15" customHeight="1">
      <c r="A60" s="398" t="s">
        <v>2042</v>
      </c>
      <c r="B60" s="406">
        <v>91620</v>
      </c>
      <c r="C60" s="405">
        <v>4600100</v>
      </c>
      <c r="D60" s="405">
        <v>4691720</v>
      </c>
      <c r="E60" s="404"/>
      <c r="F60" t="s">
        <v>1158</v>
      </c>
      <c r="H60" s="453" t="s">
        <v>932</v>
      </c>
      <c r="I60" s="448"/>
      <c r="J60" s="444">
        <v>639762</v>
      </c>
      <c r="K60" s="448"/>
      <c r="L60" s="447">
        <v>639762</v>
      </c>
    </row>
    <row r="61" spans="1:12" ht="15" customHeight="1">
      <c r="A61" s="398" t="s">
        <v>1733</v>
      </c>
      <c r="B61" s="409">
        <v>166417</v>
      </c>
      <c r="C61" s="402">
        <v>6883333</v>
      </c>
      <c r="D61" s="402">
        <v>6971684</v>
      </c>
      <c r="E61" s="409">
        <v>78066</v>
      </c>
      <c r="F61" t="s">
        <v>1158</v>
      </c>
      <c r="H61" s="440" t="s">
        <v>124</v>
      </c>
      <c r="I61" s="449"/>
      <c r="J61" s="446">
        <v>29356</v>
      </c>
      <c r="K61" s="442"/>
      <c r="L61" s="441">
        <v>29356</v>
      </c>
    </row>
    <row r="62" spans="1:12" ht="15" customHeight="1">
      <c r="A62" s="398" t="s">
        <v>2178</v>
      </c>
      <c r="B62" s="404"/>
      <c r="C62" s="405">
        <v>3005613</v>
      </c>
      <c r="D62" s="405">
        <v>2790461</v>
      </c>
      <c r="E62" s="406">
        <v>215152</v>
      </c>
      <c r="F62" t="s">
        <v>1158</v>
      </c>
      <c r="H62" s="440" t="s">
        <v>931</v>
      </c>
      <c r="I62" s="449"/>
      <c r="J62" s="446">
        <v>649583</v>
      </c>
      <c r="K62" s="442"/>
      <c r="L62" s="441">
        <v>649583</v>
      </c>
    </row>
    <row r="63" spans="1:12" ht="15" customHeight="1">
      <c r="A63" s="398" t="s">
        <v>830</v>
      </c>
      <c r="B63" s="399">
        <v>500</v>
      </c>
      <c r="C63" s="405">
        <v>10825315.25</v>
      </c>
      <c r="D63" s="405">
        <v>10813355.25</v>
      </c>
      <c r="E63" s="406">
        <v>11460</v>
      </c>
      <c r="F63" t="s">
        <v>2206</v>
      </c>
      <c r="H63" s="440"/>
      <c r="I63" s="449"/>
      <c r="J63" s="446"/>
      <c r="K63" s="442"/>
      <c r="L63" s="441"/>
    </row>
    <row r="64" spans="1:12" ht="15" customHeight="1">
      <c r="A64" s="398" t="s">
        <v>2179</v>
      </c>
      <c r="B64" s="408"/>
      <c r="C64" s="402">
        <v>4021717</v>
      </c>
      <c r="D64" s="402">
        <v>3875241</v>
      </c>
      <c r="E64" s="409">
        <v>146476</v>
      </c>
      <c r="F64" t="s">
        <v>1158</v>
      </c>
      <c r="H64" s="440"/>
      <c r="I64" s="449"/>
      <c r="J64" s="446"/>
      <c r="K64" s="442"/>
      <c r="L64" s="441"/>
    </row>
    <row r="65" spans="1:12" ht="15" customHeight="1">
      <c r="A65" s="398" t="s">
        <v>2043</v>
      </c>
      <c r="B65" s="406">
        <v>256119</v>
      </c>
      <c r="C65" s="405">
        <v>8449347</v>
      </c>
      <c r="D65" s="405">
        <v>8641520</v>
      </c>
      <c r="E65" s="406">
        <v>63946</v>
      </c>
      <c r="F65" t="s">
        <v>1158</v>
      </c>
      <c r="H65" s="437" t="s">
        <v>160</v>
      </c>
      <c r="I65" s="451"/>
      <c r="J65" s="444">
        <v>7298353</v>
      </c>
      <c r="K65" s="448"/>
      <c r="L65" s="452">
        <v>7298353</v>
      </c>
    </row>
    <row r="66" spans="1:12" ht="15" customHeight="1">
      <c r="A66" s="398" t="s">
        <v>2180</v>
      </c>
      <c r="B66" s="404"/>
      <c r="C66" s="405">
        <v>434250</v>
      </c>
      <c r="D66" s="405">
        <v>299912</v>
      </c>
      <c r="E66" s="406">
        <v>134338</v>
      </c>
      <c r="F66" t="s">
        <v>1158</v>
      </c>
      <c r="H66" s="440" t="s">
        <v>161</v>
      </c>
      <c r="I66" s="449"/>
      <c r="J66" s="446">
        <v>7096138</v>
      </c>
      <c r="K66" s="442"/>
      <c r="L66" s="441">
        <v>7096138</v>
      </c>
    </row>
    <row r="67" spans="1:12" ht="15" customHeight="1">
      <c r="A67" s="398" t="s">
        <v>835</v>
      </c>
      <c r="B67" s="399">
        <v>2000</v>
      </c>
      <c r="C67" s="400"/>
      <c r="D67" s="400"/>
      <c r="E67" s="399">
        <v>2000</v>
      </c>
      <c r="F67" t="s">
        <v>2206</v>
      </c>
      <c r="H67" s="440" t="s">
        <v>178</v>
      </c>
      <c r="I67" s="449"/>
      <c r="J67" s="446">
        <v>202215</v>
      </c>
      <c r="K67" s="442"/>
      <c r="L67" s="441">
        <v>202215</v>
      </c>
    </row>
    <row r="68" spans="1:12" ht="15" customHeight="1">
      <c r="A68" s="398" t="s">
        <v>2044</v>
      </c>
      <c r="B68" s="404"/>
      <c r="C68" s="405">
        <v>587792</v>
      </c>
      <c r="D68" s="405">
        <v>587792</v>
      </c>
      <c r="E68" s="404"/>
      <c r="F68" t="s">
        <v>1158</v>
      </c>
      <c r="H68" s="440"/>
      <c r="I68" s="449"/>
      <c r="J68" s="446"/>
      <c r="K68" s="442"/>
      <c r="L68" s="441"/>
    </row>
    <row r="69" spans="1:12" ht="15" customHeight="1">
      <c r="A69" s="398" t="s">
        <v>2045</v>
      </c>
      <c r="B69" s="406">
        <v>138374</v>
      </c>
      <c r="C69" s="405">
        <v>2044498</v>
      </c>
      <c r="D69" s="405">
        <v>2136846</v>
      </c>
      <c r="E69" s="406">
        <v>46026</v>
      </c>
      <c r="F69" t="s">
        <v>1158</v>
      </c>
      <c r="H69" s="440"/>
      <c r="I69" s="449"/>
      <c r="J69" s="446"/>
      <c r="K69" s="442"/>
      <c r="L69" s="441"/>
    </row>
    <row r="70" spans="1:12" ht="15" customHeight="1">
      <c r="A70" s="398" t="s">
        <v>1737</v>
      </c>
      <c r="B70" s="399">
        <v>11728</v>
      </c>
      <c r="C70" s="405">
        <v>209883</v>
      </c>
      <c r="D70" s="405">
        <v>264010</v>
      </c>
      <c r="E70" s="399">
        <v>65855</v>
      </c>
      <c r="F70" t="s">
        <v>1158</v>
      </c>
      <c r="H70" s="437" t="s">
        <v>192</v>
      </c>
      <c r="I70" s="451"/>
      <c r="J70" s="444">
        <v>196577</v>
      </c>
      <c r="K70" s="448"/>
      <c r="L70" s="452">
        <v>196577</v>
      </c>
    </row>
    <row r="71" spans="1:12" ht="15" customHeight="1">
      <c r="A71" s="398" t="s">
        <v>2047</v>
      </c>
      <c r="B71" s="406">
        <v>265583</v>
      </c>
      <c r="C71" s="405">
        <v>9038867</v>
      </c>
      <c r="D71" s="405">
        <v>9283905</v>
      </c>
      <c r="E71" s="406">
        <v>20545</v>
      </c>
      <c r="F71" t="s">
        <v>1158</v>
      </c>
      <c r="H71" s="440" t="s">
        <v>57</v>
      </c>
      <c r="I71" s="449"/>
      <c r="J71" s="446">
        <v>28018</v>
      </c>
      <c r="K71" s="442"/>
      <c r="L71" s="441">
        <v>28018</v>
      </c>
    </row>
    <row r="72" spans="1:12" ht="15" customHeight="1">
      <c r="A72" s="398" t="s">
        <v>2181</v>
      </c>
      <c r="B72" s="404"/>
      <c r="C72" s="405">
        <v>1751050</v>
      </c>
      <c r="D72" s="405">
        <v>1407363</v>
      </c>
      <c r="E72" s="406">
        <v>343687</v>
      </c>
      <c r="F72" t="s">
        <v>1158</v>
      </c>
      <c r="H72" s="440" t="s">
        <v>201</v>
      </c>
      <c r="I72" s="449"/>
      <c r="J72" s="446">
        <v>16234</v>
      </c>
      <c r="K72" s="442"/>
      <c r="L72" s="441">
        <v>16234</v>
      </c>
    </row>
    <row r="73" spans="1:12" ht="15" customHeight="1">
      <c r="A73" s="398" t="s">
        <v>836</v>
      </c>
      <c r="B73" s="406">
        <v>88647</v>
      </c>
      <c r="C73" s="400"/>
      <c r="D73" s="400"/>
      <c r="E73" s="406">
        <v>88647</v>
      </c>
      <c r="F73" t="s">
        <v>2206</v>
      </c>
      <c r="H73" s="440" t="s">
        <v>930</v>
      </c>
      <c r="I73" s="449"/>
      <c r="J73" s="446">
        <v>22120</v>
      </c>
      <c r="K73" s="442"/>
      <c r="L73" s="441">
        <v>22120</v>
      </c>
    </row>
    <row r="74" spans="1:12" ht="15" customHeight="1">
      <c r="A74" s="398" t="s">
        <v>1243</v>
      </c>
      <c r="B74" s="406">
        <v>32269</v>
      </c>
      <c r="C74" s="400"/>
      <c r="D74" s="400"/>
      <c r="E74" s="406">
        <v>32269</v>
      </c>
      <c r="F74" t="s">
        <v>1158</v>
      </c>
      <c r="H74" s="440" t="s">
        <v>203</v>
      </c>
      <c r="I74" s="449"/>
      <c r="J74" s="446">
        <v>83494</v>
      </c>
      <c r="K74" s="442"/>
      <c r="L74" s="441">
        <v>83494</v>
      </c>
    </row>
    <row r="75" spans="1:12" ht="15" customHeight="1">
      <c r="A75" s="398" t="s">
        <v>2048</v>
      </c>
      <c r="B75" s="406">
        <v>82384</v>
      </c>
      <c r="C75" s="405">
        <v>301740</v>
      </c>
      <c r="D75" s="405">
        <v>387124</v>
      </c>
      <c r="E75" s="399">
        <v>3000</v>
      </c>
      <c r="F75" t="s">
        <v>1158</v>
      </c>
      <c r="H75" s="440" t="s">
        <v>213</v>
      </c>
      <c r="I75" s="449"/>
      <c r="J75" s="446">
        <v>3205</v>
      </c>
      <c r="K75" s="442"/>
      <c r="L75" s="441">
        <v>3205</v>
      </c>
    </row>
    <row r="76" spans="1:12" ht="15" customHeight="1">
      <c r="A76" s="398" t="s">
        <v>837</v>
      </c>
      <c r="B76" s="406">
        <v>75</v>
      </c>
      <c r="C76" s="400"/>
      <c r="D76" s="400"/>
      <c r="E76" s="406">
        <v>75</v>
      </c>
      <c r="F76" t="s">
        <v>1158</v>
      </c>
      <c r="H76" s="440" t="s">
        <v>928</v>
      </c>
      <c r="I76" s="449"/>
      <c r="J76" s="446">
        <v>7420</v>
      </c>
      <c r="K76" s="442"/>
      <c r="L76" s="441">
        <v>7420</v>
      </c>
    </row>
    <row r="77" spans="1:12" ht="15" customHeight="1">
      <c r="A77" s="398" t="s">
        <v>838</v>
      </c>
      <c r="B77" s="406">
        <v>5578</v>
      </c>
      <c r="C77" s="400"/>
      <c r="D77" s="400"/>
      <c r="E77" s="406">
        <v>5578</v>
      </c>
      <c r="F77" t="s">
        <v>1158</v>
      </c>
      <c r="H77" s="440" t="s">
        <v>77</v>
      </c>
      <c r="I77" s="449"/>
      <c r="J77" s="446">
        <v>1098</v>
      </c>
      <c r="K77" s="442"/>
      <c r="L77" s="441">
        <v>1098</v>
      </c>
    </row>
    <row r="78" spans="1:12" ht="15" customHeight="1">
      <c r="A78" s="398" t="s">
        <v>839</v>
      </c>
      <c r="B78" s="406">
        <v>22244</v>
      </c>
      <c r="C78" s="400"/>
      <c r="D78" s="400"/>
      <c r="E78" s="406">
        <v>22244</v>
      </c>
      <c r="H78" s="440" t="s">
        <v>71</v>
      </c>
      <c r="I78" s="449"/>
      <c r="J78" s="446">
        <v>23138</v>
      </c>
      <c r="K78" s="442"/>
      <c r="L78" s="441">
        <v>23138</v>
      </c>
    </row>
    <row r="79" spans="1:12" ht="15" customHeight="1">
      <c r="A79" s="398" t="s">
        <v>840</v>
      </c>
      <c r="B79" s="406">
        <v>18095</v>
      </c>
      <c r="C79" s="400"/>
      <c r="D79" s="400"/>
      <c r="E79" s="406">
        <v>18095</v>
      </c>
      <c r="H79" s="440" t="s">
        <v>926</v>
      </c>
      <c r="I79" s="449"/>
      <c r="J79" s="446">
        <v>11850</v>
      </c>
      <c r="K79" s="442"/>
      <c r="L79" s="441">
        <v>11850</v>
      </c>
    </row>
    <row r="80" spans="1:12" ht="15" customHeight="1">
      <c r="A80" s="398" t="s">
        <v>841</v>
      </c>
      <c r="B80" s="406">
        <v>31056</v>
      </c>
      <c r="C80" s="400"/>
      <c r="D80" s="400"/>
      <c r="E80" s="406">
        <v>31056</v>
      </c>
      <c r="H80" s="454" t="s">
        <v>74</v>
      </c>
      <c r="I80" s="441">
        <v>234908832.58000001</v>
      </c>
      <c r="J80" s="449"/>
      <c r="K80" s="449"/>
      <c r="L80" s="441">
        <v>234908832.58000001</v>
      </c>
    </row>
    <row r="81" spans="1:12" ht="15" customHeight="1">
      <c r="A81" s="398" t="s">
        <v>842</v>
      </c>
      <c r="B81" s="406">
        <v>27512</v>
      </c>
      <c r="C81" s="400"/>
      <c r="D81" s="400"/>
      <c r="E81" s="406">
        <v>27512</v>
      </c>
      <c r="H81" s="455" t="s">
        <v>75</v>
      </c>
      <c r="I81" s="456"/>
      <c r="J81" s="457">
        <v>48060296.100000001</v>
      </c>
      <c r="K81" s="457">
        <v>48060296.100000001</v>
      </c>
      <c r="L81" s="456"/>
    </row>
    <row r="82" spans="1:12" ht="15" customHeight="1">
      <c r="A82" s="398" t="s">
        <v>843</v>
      </c>
      <c r="B82" s="407">
        <v>2000</v>
      </c>
      <c r="C82" s="408"/>
      <c r="D82" s="408"/>
      <c r="E82" s="407">
        <v>2000</v>
      </c>
      <c r="H82" s="440" t="s">
        <v>843</v>
      </c>
      <c r="I82" s="450">
        <v>2000</v>
      </c>
      <c r="J82" s="448"/>
      <c r="K82" s="448"/>
      <c r="L82" s="450">
        <v>2000</v>
      </c>
    </row>
    <row r="83" spans="1:12" ht="15" customHeight="1">
      <c r="A83" s="398" t="s">
        <v>844</v>
      </c>
      <c r="B83" s="399">
        <v>2100</v>
      </c>
      <c r="C83" s="400"/>
      <c r="D83" s="400"/>
      <c r="E83" s="399">
        <v>2100</v>
      </c>
      <c r="H83" s="440" t="s">
        <v>844</v>
      </c>
      <c r="I83" s="445">
        <v>2100</v>
      </c>
      <c r="J83" s="442"/>
      <c r="K83" s="442"/>
      <c r="L83" s="445">
        <v>2100</v>
      </c>
    </row>
    <row r="84" spans="1:12" ht="15" customHeight="1">
      <c r="A84" s="398" t="s">
        <v>845</v>
      </c>
      <c r="B84" s="399">
        <v>5745</v>
      </c>
      <c r="C84" s="400"/>
      <c r="D84" s="400"/>
      <c r="E84" s="399">
        <v>5745</v>
      </c>
      <c r="H84" s="440" t="s">
        <v>845</v>
      </c>
      <c r="I84" s="445">
        <v>5745</v>
      </c>
      <c r="J84" s="442"/>
      <c r="K84" s="442"/>
      <c r="L84" s="445">
        <v>5745</v>
      </c>
    </row>
    <row r="85" spans="1:12" ht="15" customHeight="1">
      <c r="A85" s="398" t="s">
        <v>846</v>
      </c>
      <c r="B85" s="406">
        <v>3188</v>
      </c>
      <c r="C85" s="400"/>
      <c r="D85" s="400"/>
      <c r="E85" s="406">
        <v>3188</v>
      </c>
      <c r="H85" s="440" t="s">
        <v>846</v>
      </c>
      <c r="I85" s="441">
        <v>3188</v>
      </c>
      <c r="J85" s="442"/>
      <c r="K85" s="442"/>
      <c r="L85" s="441">
        <v>3188</v>
      </c>
    </row>
    <row r="86" spans="1:12" ht="15" customHeight="1">
      <c r="A86" s="398" t="s">
        <v>2182</v>
      </c>
      <c r="B86" s="406">
        <v>204479.85</v>
      </c>
      <c r="C86" s="405">
        <v>18666008.5</v>
      </c>
      <c r="D86" s="405">
        <v>18634254.800000001</v>
      </c>
      <c r="E86" s="406">
        <v>236233.55</v>
      </c>
      <c r="H86" s="440" t="s">
        <v>2182</v>
      </c>
      <c r="I86" s="441">
        <v>204479.85</v>
      </c>
      <c r="J86" s="446">
        <v>18666008.5</v>
      </c>
      <c r="K86" s="446">
        <v>18634254.800000001</v>
      </c>
      <c r="L86" s="441">
        <v>236233.55</v>
      </c>
    </row>
    <row r="87" spans="1:12" ht="15" customHeight="1">
      <c r="A87" s="398" t="s">
        <v>849</v>
      </c>
      <c r="B87" s="399">
        <v>1000</v>
      </c>
      <c r="C87" s="400"/>
      <c r="D87" s="400"/>
      <c r="E87" s="399">
        <v>1000</v>
      </c>
      <c r="H87" s="440" t="s">
        <v>849</v>
      </c>
      <c r="I87" s="445">
        <v>1000</v>
      </c>
      <c r="J87" s="442"/>
      <c r="K87" s="442"/>
      <c r="L87" s="445">
        <v>1000</v>
      </c>
    </row>
    <row r="88" spans="1:12" ht="15" customHeight="1">
      <c r="A88" s="398" t="s">
        <v>850</v>
      </c>
      <c r="B88" s="406">
        <v>2950</v>
      </c>
      <c r="C88" s="400"/>
      <c r="D88" s="400"/>
      <c r="E88" s="406">
        <v>2950</v>
      </c>
      <c r="H88" s="440" t="s">
        <v>850</v>
      </c>
      <c r="I88" s="441">
        <v>2950</v>
      </c>
      <c r="J88" s="442"/>
      <c r="K88" s="442"/>
      <c r="L88" s="441">
        <v>2950</v>
      </c>
    </row>
    <row r="89" spans="1:12" ht="15" customHeight="1">
      <c r="A89" s="398" t="s">
        <v>2183</v>
      </c>
      <c r="B89" s="404"/>
      <c r="C89" s="405">
        <v>306000</v>
      </c>
      <c r="D89" s="405">
        <v>167929</v>
      </c>
      <c r="E89" s="406">
        <v>138071</v>
      </c>
      <c r="H89" s="440" t="s">
        <v>2183</v>
      </c>
      <c r="I89" s="449"/>
      <c r="J89" s="446">
        <v>306000</v>
      </c>
      <c r="K89" s="446">
        <v>167929</v>
      </c>
      <c r="L89" s="441">
        <v>138071</v>
      </c>
    </row>
    <row r="90" spans="1:12" ht="15" customHeight="1">
      <c r="A90" s="412" t="s">
        <v>1739</v>
      </c>
      <c r="B90" s="413">
        <v>5501</v>
      </c>
      <c r="C90" s="414"/>
      <c r="D90" s="414"/>
      <c r="E90" s="413">
        <v>5501</v>
      </c>
      <c r="F90" t="s">
        <v>1158</v>
      </c>
      <c r="H90" s="458" t="s">
        <v>1739</v>
      </c>
      <c r="I90" s="459">
        <v>5501</v>
      </c>
      <c r="J90" s="460"/>
      <c r="K90" s="460"/>
      <c r="L90" s="459">
        <v>5501</v>
      </c>
    </row>
    <row r="91" spans="1:12" ht="15" customHeight="1">
      <c r="A91" s="398" t="s">
        <v>2184</v>
      </c>
      <c r="B91" s="404"/>
      <c r="C91" s="405">
        <v>10317027</v>
      </c>
      <c r="D91" s="405">
        <v>10153478</v>
      </c>
      <c r="E91" s="406">
        <v>163549</v>
      </c>
      <c r="F91" t="s">
        <v>1158</v>
      </c>
      <c r="H91" s="440" t="s">
        <v>2184</v>
      </c>
      <c r="I91" s="449"/>
      <c r="J91" s="446">
        <v>10317027</v>
      </c>
      <c r="K91" s="446">
        <v>10153478</v>
      </c>
      <c r="L91" s="441">
        <v>163549</v>
      </c>
    </row>
    <row r="92" spans="1:12" ht="15" customHeight="1">
      <c r="A92" s="398" t="s">
        <v>2185</v>
      </c>
      <c r="B92" s="404"/>
      <c r="C92" s="405">
        <v>2187521</v>
      </c>
      <c r="D92" s="405">
        <v>1900746</v>
      </c>
      <c r="E92" s="406">
        <v>286775</v>
      </c>
      <c r="F92" t="s">
        <v>1158</v>
      </c>
      <c r="H92" s="440" t="s">
        <v>2185</v>
      </c>
      <c r="I92" s="449"/>
      <c r="J92" s="446">
        <v>2187521</v>
      </c>
      <c r="K92" s="446">
        <v>1900746</v>
      </c>
      <c r="L92" s="441">
        <v>286775</v>
      </c>
    </row>
    <row r="93" spans="1:12" ht="15" customHeight="1">
      <c r="A93" s="398" t="s">
        <v>2186</v>
      </c>
      <c r="B93" s="404"/>
      <c r="C93" s="405">
        <v>1106268</v>
      </c>
      <c r="D93" s="405">
        <v>838218</v>
      </c>
      <c r="E93" s="406">
        <v>268050</v>
      </c>
      <c r="F93" t="s">
        <v>1158</v>
      </c>
      <c r="H93" s="440" t="s">
        <v>2186</v>
      </c>
      <c r="I93" s="449"/>
      <c r="J93" s="446">
        <v>1106268</v>
      </c>
      <c r="K93" s="446">
        <v>838218</v>
      </c>
      <c r="L93" s="441">
        <v>268050</v>
      </c>
    </row>
    <row r="94" spans="1:12" ht="15" customHeight="1">
      <c r="A94" s="398" t="s">
        <v>854</v>
      </c>
      <c r="B94" s="399">
        <v>2494</v>
      </c>
      <c r="C94" s="400"/>
      <c r="D94" s="400"/>
      <c r="E94" s="399">
        <v>2494</v>
      </c>
      <c r="F94" t="s">
        <v>2206</v>
      </c>
      <c r="H94" s="440" t="s">
        <v>854</v>
      </c>
      <c r="I94" s="445">
        <v>2494</v>
      </c>
      <c r="J94" s="442"/>
      <c r="K94" s="442"/>
      <c r="L94" s="445">
        <v>2494</v>
      </c>
    </row>
    <row r="95" spans="1:12" ht="15" customHeight="1">
      <c r="A95" s="398" t="s">
        <v>2187</v>
      </c>
      <c r="B95" s="404"/>
      <c r="C95" s="405">
        <v>96055</v>
      </c>
      <c r="D95" s="405">
        <v>53603</v>
      </c>
      <c r="E95" s="406">
        <v>42452</v>
      </c>
      <c r="F95" t="s">
        <v>1158</v>
      </c>
      <c r="H95" s="440" t="s">
        <v>2187</v>
      </c>
      <c r="I95" s="449"/>
      <c r="J95" s="446">
        <v>96055</v>
      </c>
      <c r="K95" s="446">
        <v>53603</v>
      </c>
      <c r="L95" s="441">
        <v>42452</v>
      </c>
    </row>
    <row r="96" spans="1:12" ht="15" customHeight="1">
      <c r="A96" s="398" t="s">
        <v>1521</v>
      </c>
      <c r="B96" s="399">
        <v>1577</v>
      </c>
      <c r="C96" s="400"/>
      <c r="D96" s="400"/>
      <c r="E96" s="399">
        <v>1577</v>
      </c>
      <c r="F96" t="s">
        <v>1158</v>
      </c>
      <c r="H96" s="440" t="s">
        <v>1521</v>
      </c>
      <c r="I96" s="445">
        <v>1577</v>
      </c>
      <c r="J96" s="442"/>
      <c r="K96" s="442"/>
      <c r="L96" s="445">
        <v>1577</v>
      </c>
    </row>
    <row r="97" spans="1:12" ht="15" customHeight="1">
      <c r="A97" s="398" t="s">
        <v>2188</v>
      </c>
      <c r="B97" s="404"/>
      <c r="C97" s="405">
        <v>1026528</v>
      </c>
      <c r="D97" s="405">
        <v>710047</v>
      </c>
      <c r="E97" s="406">
        <v>316481</v>
      </c>
      <c r="F97" t="s">
        <v>1158</v>
      </c>
      <c r="H97" s="440" t="s">
        <v>2188</v>
      </c>
      <c r="I97" s="449"/>
      <c r="J97" s="446">
        <v>1026528</v>
      </c>
      <c r="K97" s="446">
        <v>710047</v>
      </c>
      <c r="L97" s="441">
        <v>316481</v>
      </c>
    </row>
    <row r="98" spans="1:12" ht="15" customHeight="1">
      <c r="A98" s="398" t="s">
        <v>2189</v>
      </c>
      <c r="B98" s="404"/>
      <c r="C98" s="405">
        <v>8928479</v>
      </c>
      <c r="D98" s="405">
        <v>8302758</v>
      </c>
      <c r="E98" s="406">
        <v>625721</v>
      </c>
      <c r="F98" t="s">
        <v>1158</v>
      </c>
      <c r="H98" s="440" t="s">
        <v>2189</v>
      </c>
      <c r="I98" s="449"/>
      <c r="J98" s="446">
        <v>8928479</v>
      </c>
      <c r="K98" s="446">
        <v>8302758</v>
      </c>
      <c r="L98" s="441">
        <v>625721</v>
      </c>
    </row>
    <row r="99" spans="1:12" ht="15" customHeight="1">
      <c r="A99" s="398" t="s">
        <v>2190</v>
      </c>
      <c r="B99" s="404"/>
      <c r="C99" s="405">
        <v>5000</v>
      </c>
      <c r="D99" s="400"/>
      <c r="E99" s="406">
        <v>5000</v>
      </c>
      <c r="F99" t="s">
        <v>2206</v>
      </c>
      <c r="H99" s="440" t="s">
        <v>2190</v>
      </c>
      <c r="I99" s="449"/>
      <c r="J99" s="446">
        <v>5000</v>
      </c>
      <c r="K99" s="442"/>
      <c r="L99" s="441">
        <v>5000</v>
      </c>
    </row>
    <row r="100" spans="1:12" ht="15" customHeight="1">
      <c r="A100" s="398" t="s">
        <v>1743</v>
      </c>
      <c r="B100" s="406">
        <v>3530</v>
      </c>
      <c r="C100" s="405">
        <v>40755</v>
      </c>
      <c r="D100" s="405">
        <v>40755</v>
      </c>
      <c r="E100" s="406">
        <v>3530</v>
      </c>
      <c r="F100" t="s">
        <v>1158</v>
      </c>
      <c r="H100" s="440" t="s">
        <v>1743</v>
      </c>
      <c r="I100" s="441">
        <v>3530</v>
      </c>
      <c r="J100" s="446">
        <v>40755</v>
      </c>
      <c r="K100" s="446">
        <v>40755</v>
      </c>
      <c r="L100" s="441">
        <v>3530</v>
      </c>
    </row>
    <row r="101" spans="1:12" ht="15" customHeight="1">
      <c r="A101" s="398" t="s">
        <v>1744</v>
      </c>
      <c r="B101" s="406">
        <v>32292</v>
      </c>
      <c r="C101" s="405">
        <v>74292</v>
      </c>
      <c r="D101" s="405">
        <v>106584</v>
      </c>
      <c r="E101" s="404"/>
      <c r="F101" t="s">
        <v>1158</v>
      </c>
      <c r="H101" s="440" t="s">
        <v>1744</v>
      </c>
      <c r="I101" s="441">
        <v>32292</v>
      </c>
      <c r="J101" s="446">
        <v>74292</v>
      </c>
      <c r="K101" s="446">
        <v>106584</v>
      </c>
      <c r="L101" s="449"/>
    </row>
    <row r="102" spans="1:12" ht="15" customHeight="1">
      <c r="A102" s="398" t="s">
        <v>2052</v>
      </c>
      <c r="B102" s="406">
        <v>42762</v>
      </c>
      <c r="C102" s="405">
        <v>4021744</v>
      </c>
      <c r="D102" s="405">
        <v>4064506</v>
      </c>
      <c r="E102" s="404"/>
      <c r="F102" t="s">
        <v>1158</v>
      </c>
      <c r="H102" s="440" t="s">
        <v>2052</v>
      </c>
      <c r="I102" s="441">
        <v>42762</v>
      </c>
      <c r="J102" s="446">
        <v>4021744</v>
      </c>
      <c r="K102" s="446">
        <v>4064506</v>
      </c>
      <c r="L102" s="449"/>
    </row>
    <row r="103" spans="1:12" ht="15" customHeight="1">
      <c r="A103" s="398" t="s">
        <v>2053</v>
      </c>
      <c r="B103" s="406">
        <v>900100</v>
      </c>
      <c r="C103" s="405">
        <v>17128336</v>
      </c>
      <c r="D103" s="405">
        <v>17693552</v>
      </c>
      <c r="E103" s="406">
        <v>334884</v>
      </c>
      <c r="F103" t="s">
        <v>1158</v>
      </c>
      <c r="H103" s="440" t="s">
        <v>2053</v>
      </c>
      <c r="I103" s="441">
        <v>900100</v>
      </c>
      <c r="J103" s="446">
        <v>17128336</v>
      </c>
      <c r="K103" s="446">
        <v>17693552</v>
      </c>
      <c r="L103" s="441">
        <v>334884</v>
      </c>
    </row>
    <row r="104" spans="1:12" ht="15" customHeight="1">
      <c r="A104" s="398" t="s">
        <v>2191</v>
      </c>
      <c r="B104" s="404"/>
      <c r="C104" s="405">
        <v>2848730</v>
      </c>
      <c r="D104" s="405">
        <v>2411533</v>
      </c>
      <c r="E104" s="406">
        <v>437197</v>
      </c>
      <c r="F104" t="s">
        <v>2206</v>
      </c>
      <c r="H104" s="440" t="s">
        <v>2191</v>
      </c>
      <c r="I104" s="449"/>
      <c r="J104" s="446">
        <v>2848730</v>
      </c>
      <c r="K104" s="446">
        <v>2411533</v>
      </c>
      <c r="L104" s="441">
        <v>437197</v>
      </c>
    </row>
    <row r="105" spans="1:12" ht="15" customHeight="1">
      <c r="A105" s="398" t="s">
        <v>855</v>
      </c>
      <c r="B105" s="406">
        <v>1184066.7</v>
      </c>
      <c r="C105" s="405">
        <v>130000</v>
      </c>
      <c r="D105" s="400"/>
      <c r="E105" s="406">
        <v>1314066.7</v>
      </c>
      <c r="F105" t="s">
        <v>1158</v>
      </c>
      <c r="H105" s="440" t="s">
        <v>855</v>
      </c>
      <c r="I105" s="441">
        <v>1184066.7</v>
      </c>
      <c r="J105" s="446">
        <v>130000</v>
      </c>
      <c r="K105" s="442"/>
      <c r="L105" s="441">
        <v>1314066.7</v>
      </c>
    </row>
    <row r="106" spans="1:12" ht="15" customHeight="1">
      <c r="A106" s="398" t="s">
        <v>2192</v>
      </c>
      <c r="B106" s="404"/>
      <c r="C106" s="405">
        <v>2236576</v>
      </c>
      <c r="D106" s="405">
        <v>2397037</v>
      </c>
      <c r="E106" s="399">
        <v>160461</v>
      </c>
      <c r="F106" t="s">
        <v>1158</v>
      </c>
      <c r="H106" s="440" t="s">
        <v>2192</v>
      </c>
      <c r="I106" s="449"/>
      <c r="J106" s="446">
        <v>2236576</v>
      </c>
      <c r="K106" s="446">
        <v>2397037</v>
      </c>
      <c r="L106" s="445">
        <v>160461</v>
      </c>
    </row>
    <row r="107" spans="1:12" ht="15" customHeight="1">
      <c r="A107" s="398" t="s">
        <v>1239</v>
      </c>
      <c r="B107" s="406">
        <v>1500</v>
      </c>
      <c r="C107" s="400"/>
      <c r="D107" s="400"/>
      <c r="E107" s="406">
        <v>1500</v>
      </c>
      <c r="F107" t="s">
        <v>1158</v>
      </c>
      <c r="H107" s="440" t="s">
        <v>1239</v>
      </c>
      <c r="I107" s="441">
        <v>1500</v>
      </c>
      <c r="J107" s="442"/>
      <c r="K107" s="442"/>
      <c r="L107" s="441">
        <v>1500</v>
      </c>
    </row>
    <row r="108" spans="1:12" ht="15" customHeight="1">
      <c r="A108" s="398" t="s">
        <v>256</v>
      </c>
      <c r="B108" s="406">
        <v>233932443.25</v>
      </c>
      <c r="C108" s="405">
        <v>16550265.050000001</v>
      </c>
      <c r="D108" s="405">
        <v>68640</v>
      </c>
      <c r="E108" s="406">
        <v>250414068.30000001</v>
      </c>
      <c r="F108" t="s">
        <v>2206</v>
      </c>
      <c r="H108" s="440" t="s">
        <v>256</v>
      </c>
      <c r="I108" s="441">
        <v>233932443.25</v>
      </c>
      <c r="J108" s="446">
        <v>16550265.050000001</v>
      </c>
      <c r="K108" s="446">
        <v>68640</v>
      </c>
      <c r="L108" s="441">
        <v>250414068.30000001</v>
      </c>
    </row>
    <row r="109" spans="1:12" ht="15" customHeight="1">
      <c r="A109" s="398" t="s">
        <v>859</v>
      </c>
      <c r="B109" s="406">
        <v>10812</v>
      </c>
      <c r="C109" s="400"/>
      <c r="D109" s="400"/>
      <c r="E109" s="406">
        <v>10812</v>
      </c>
      <c r="F109" t="s">
        <v>1158</v>
      </c>
      <c r="H109" s="440" t="s">
        <v>859</v>
      </c>
      <c r="I109" s="441">
        <v>10812</v>
      </c>
      <c r="J109" s="442"/>
      <c r="K109" s="442"/>
      <c r="L109" s="441">
        <v>10812</v>
      </c>
    </row>
    <row r="110" spans="1:12" ht="15" customHeight="1">
      <c r="A110" s="398" t="s">
        <v>860</v>
      </c>
      <c r="B110" s="406">
        <v>6042</v>
      </c>
      <c r="C110" s="400"/>
      <c r="D110" s="400"/>
      <c r="E110" s="406">
        <v>6042</v>
      </c>
      <c r="F110" t="s">
        <v>1158</v>
      </c>
      <c r="H110" s="440" t="s">
        <v>860</v>
      </c>
      <c r="I110" s="441">
        <v>6042</v>
      </c>
      <c r="J110" s="442"/>
      <c r="K110" s="442"/>
      <c r="L110" s="441">
        <v>6042</v>
      </c>
    </row>
    <row r="111" spans="1:12" ht="15" customHeight="1">
      <c r="A111" s="398" t="s">
        <v>861</v>
      </c>
      <c r="B111" s="399">
        <v>6589</v>
      </c>
      <c r="C111" s="400"/>
      <c r="D111" s="400"/>
      <c r="E111" s="399">
        <v>6589</v>
      </c>
      <c r="F111" t="s">
        <v>1158</v>
      </c>
      <c r="H111" s="440" t="s">
        <v>861</v>
      </c>
      <c r="I111" s="445">
        <v>6589</v>
      </c>
      <c r="J111" s="442"/>
      <c r="K111" s="442"/>
      <c r="L111" s="445">
        <v>6589</v>
      </c>
    </row>
    <row r="112" spans="1:12" ht="15" customHeight="1">
      <c r="A112" s="398" t="s">
        <v>2054</v>
      </c>
      <c r="B112" s="406">
        <v>38664</v>
      </c>
      <c r="C112" s="405">
        <v>222096</v>
      </c>
      <c r="D112" s="405">
        <v>260760</v>
      </c>
      <c r="E112" s="404"/>
      <c r="F112" t="s">
        <v>1158</v>
      </c>
      <c r="H112" s="440" t="s">
        <v>2054</v>
      </c>
      <c r="I112" s="441">
        <v>38664</v>
      </c>
      <c r="J112" s="446">
        <v>222096</v>
      </c>
      <c r="K112" s="446">
        <v>260760</v>
      </c>
      <c r="L112" s="449"/>
    </row>
    <row r="113" spans="1:13" ht="15" customHeight="1">
      <c r="A113" s="398" t="s">
        <v>2193</v>
      </c>
      <c r="B113" s="404"/>
      <c r="C113" s="405">
        <v>5678642</v>
      </c>
      <c r="D113" s="405">
        <v>5663453</v>
      </c>
      <c r="E113" s="406">
        <v>15189</v>
      </c>
      <c r="F113" t="s">
        <v>2206</v>
      </c>
      <c r="H113" s="440" t="s">
        <v>2193</v>
      </c>
      <c r="I113" s="449"/>
      <c r="J113" s="446">
        <v>5678642</v>
      </c>
      <c r="K113" s="446">
        <v>5663453</v>
      </c>
      <c r="L113" s="441">
        <v>15189</v>
      </c>
    </row>
    <row r="114" spans="1:13" ht="15" customHeight="1">
      <c r="A114" s="398" t="s">
        <v>1529</v>
      </c>
      <c r="B114" s="406">
        <v>50068</v>
      </c>
      <c r="C114" s="405">
        <v>12000</v>
      </c>
      <c r="D114" s="405">
        <v>62068</v>
      </c>
      <c r="E114" s="404"/>
      <c r="F114" t="s">
        <v>1158</v>
      </c>
      <c r="H114" s="440" t="s">
        <v>1529</v>
      </c>
      <c r="I114" s="441">
        <v>50068</v>
      </c>
      <c r="J114" s="446">
        <v>12000</v>
      </c>
      <c r="K114" s="446">
        <v>62068</v>
      </c>
      <c r="L114" s="449"/>
    </row>
    <row r="115" spans="1:13" ht="15" customHeight="1">
      <c r="A115" s="398" t="s">
        <v>1235</v>
      </c>
      <c r="B115" s="399">
        <v>2987</v>
      </c>
      <c r="C115" s="400"/>
      <c r="D115" s="400"/>
      <c r="E115" s="399">
        <v>2987</v>
      </c>
      <c r="F115" t="s">
        <v>1158</v>
      </c>
      <c r="H115" s="440" t="s">
        <v>1235</v>
      </c>
      <c r="I115" s="445">
        <v>2987</v>
      </c>
      <c r="J115" s="442"/>
      <c r="K115" s="442"/>
      <c r="L115" s="445">
        <v>2987</v>
      </c>
    </row>
    <row r="116" spans="1:13" ht="15" customHeight="1">
      <c r="A116" s="398" t="s">
        <v>864</v>
      </c>
      <c r="B116" s="406">
        <v>19090</v>
      </c>
      <c r="C116" s="400"/>
      <c r="D116" s="400"/>
      <c r="E116" s="406">
        <v>19090</v>
      </c>
      <c r="F116" t="s">
        <v>2206</v>
      </c>
      <c r="H116" s="440" t="s">
        <v>864</v>
      </c>
      <c r="I116" s="441">
        <v>19090</v>
      </c>
      <c r="J116" s="442"/>
      <c r="K116" s="442"/>
      <c r="L116" s="441">
        <v>19090</v>
      </c>
    </row>
    <row r="117" spans="1:13" ht="15" customHeight="1">
      <c r="A117" s="398" t="s">
        <v>2194</v>
      </c>
      <c r="B117" s="404"/>
      <c r="C117" s="405">
        <v>1677634</v>
      </c>
      <c r="D117" s="405">
        <v>1095586</v>
      </c>
      <c r="E117" s="406">
        <v>582048</v>
      </c>
      <c r="F117" t="s">
        <v>1158</v>
      </c>
      <c r="H117" s="440" t="s">
        <v>2194</v>
      </c>
      <c r="I117" s="449"/>
      <c r="J117" s="446">
        <v>1677634</v>
      </c>
      <c r="K117" s="446">
        <v>1095586</v>
      </c>
      <c r="L117" s="441">
        <v>582048</v>
      </c>
    </row>
    <row r="118" spans="1:13" ht="15" customHeight="1">
      <c r="A118" s="398" t="s">
        <v>865</v>
      </c>
      <c r="B118" s="406">
        <v>6188</v>
      </c>
      <c r="C118" s="400"/>
      <c r="D118" s="400"/>
      <c r="E118" s="406">
        <v>6188</v>
      </c>
      <c r="F118" t="s">
        <v>1158</v>
      </c>
      <c r="H118" s="440" t="s">
        <v>865</v>
      </c>
      <c r="I118" s="441">
        <v>6188</v>
      </c>
      <c r="J118" s="442"/>
      <c r="K118" s="442"/>
      <c r="L118" s="441">
        <v>6188</v>
      </c>
    </row>
    <row r="119" spans="1:13" ht="15" customHeight="1">
      <c r="A119" s="398" t="s">
        <v>866</v>
      </c>
      <c r="B119" s="406">
        <v>6576</v>
      </c>
      <c r="C119" s="400"/>
      <c r="D119" s="400"/>
      <c r="E119" s="406">
        <v>6576</v>
      </c>
      <c r="F119" t="s">
        <v>1158</v>
      </c>
      <c r="H119" s="440" t="s">
        <v>866</v>
      </c>
      <c r="I119" s="441">
        <v>6576</v>
      </c>
      <c r="J119" s="442"/>
      <c r="K119" s="442"/>
      <c r="L119" s="441">
        <v>6576</v>
      </c>
    </row>
    <row r="120" spans="1:13" ht="15" customHeight="1">
      <c r="A120" s="398" t="s">
        <v>867</v>
      </c>
      <c r="B120" s="406">
        <v>486</v>
      </c>
      <c r="C120" s="400"/>
      <c r="D120" s="400"/>
      <c r="E120" s="406">
        <v>486</v>
      </c>
      <c r="F120" t="s">
        <v>1158</v>
      </c>
      <c r="H120" s="440" t="s">
        <v>867</v>
      </c>
      <c r="I120" s="441">
        <v>486</v>
      </c>
      <c r="J120" s="442"/>
      <c r="K120" s="442"/>
      <c r="L120" s="441">
        <v>486</v>
      </c>
    </row>
    <row r="121" spans="1:13" ht="15" customHeight="1">
      <c r="A121" s="398" t="s">
        <v>868</v>
      </c>
      <c r="B121" s="406">
        <v>2101</v>
      </c>
      <c r="C121" s="400"/>
      <c r="D121" s="400"/>
      <c r="E121" s="406">
        <v>2101</v>
      </c>
      <c r="F121" t="s">
        <v>1158</v>
      </c>
      <c r="H121" s="440" t="s">
        <v>868</v>
      </c>
      <c r="I121" s="441">
        <v>2101</v>
      </c>
      <c r="J121" s="442"/>
      <c r="K121" s="442"/>
      <c r="L121" s="441">
        <v>2101</v>
      </c>
    </row>
    <row r="122" spans="1:13" ht="15" customHeight="1">
      <c r="A122" s="398" t="s">
        <v>869</v>
      </c>
      <c r="B122" s="399">
        <v>300</v>
      </c>
      <c r="C122" s="400"/>
      <c r="D122" s="400"/>
      <c r="E122" s="399">
        <v>300</v>
      </c>
      <c r="F122" t="s">
        <v>1158</v>
      </c>
      <c r="H122" s="440" t="s">
        <v>869</v>
      </c>
      <c r="I122" s="445">
        <v>300</v>
      </c>
      <c r="J122" s="442"/>
      <c r="K122" s="442"/>
      <c r="L122" s="445">
        <v>300</v>
      </c>
    </row>
    <row r="123" spans="1:13" ht="15" customHeight="1">
      <c r="A123" s="398"/>
      <c r="B123" s="399"/>
      <c r="C123" s="400"/>
      <c r="D123" s="400"/>
      <c r="E123" s="399"/>
      <c r="F123" t="s">
        <v>2206</v>
      </c>
      <c r="H123" s="440"/>
      <c r="I123" s="445"/>
      <c r="J123" s="442"/>
      <c r="K123" s="442"/>
      <c r="L123" s="445"/>
    </row>
    <row r="124" spans="1:13" ht="15" customHeight="1">
      <c r="A124" s="398"/>
      <c r="B124" s="399"/>
      <c r="C124" s="400"/>
      <c r="D124" s="400"/>
      <c r="E124" s="399"/>
      <c r="F124" t="s">
        <v>1158</v>
      </c>
      <c r="H124" s="440"/>
      <c r="I124" s="445"/>
      <c r="J124" s="442"/>
      <c r="K124" s="442"/>
      <c r="L124" s="445"/>
    </row>
    <row r="125" spans="1:13" ht="15" customHeight="1">
      <c r="A125" s="415" t="s">
        <v>101</v>
      </c>
      <c r="B125" s="403">
        <v>273232</v>
      </c>
      <c r="C125" s="402">
        <v>36636991</v>
      </c>
      <c r="D125" s="402">
        <v>35341157</v>
      </c>
      <c r="E125" s="403">
        <v>1569066</v>
      </c>
      <c r="F125" t="s">
        <v>2205</v>
      </c>
      <c r="H125" s="461" t="s">
        <v>101</v>
      </c>
      <c r="I125" s="452">
        <v>273232</v>
      </c>
      <c r="J125" s="444">
        <v>36636991</v>
      </c>
      <c r="K125" s="444">
        <v>35341157</v>
      </c>
      <c r="L125" s="452">
        <v>1569066</v>
      </c>
      <c r="M125" t="s">
        <v>2205</v>
      </c>
    </row>
    <row r="126" spans="1:13" ht="15" customHeight="1">
      <c r="A126" s="398" t="s">
        <v>2195</v>
      </c>
      <c r="B126" s="404"/>
      <c r="C126" s="405">
        <v>25500</v>
      </c>
      <c r="D126" s="405">
        <v>10000</v>
      </c>
      <c r="E126" s="406">
        <v>15500</v>
      </c>
      <c r="F126" t="s">
        <v>2206</v>
      </c>
      <c r="H126" s="440" t="s">
        <v>2195</v>
      </c>
      <c r="I126" s="449"/>
      <c r="J126" s="446">
        <v>25500</v>
      </c>
      <c r="K126" s="446">
        <v>10000</v>
      </c>
      <c r="L126" s="441">
        <v>15500</v>
      </c>
    </row>
    <row r="127" spans="1:13" ht="15" customHeight="1">
      <c r="A127" s="398" t="s">
        <v>2196</v>
      </c>
      <c r="B127" s="404"/>
      <c r="C127" s="405">
        <v>5000</v>
      </c>
      <c r="D127" s="405">
        <v>5000</v>
      </c>
      <c r="E127" s="404"/>
      <c r="F127" t="s">
        <v>1158</v>
      </c>
      <c r="H127" s="440" t="s">
        <v>2196</v>
      </c>
      <c r="I127" s="449"/>
      <c r="J127" s="446">
        <v>5000</v>
      </c>
      <c r="K127" s="446">
        <v>5000</v>
      </c>
      <c r="L127" s="449"/>
      <c r="M127" s="100"/>
    </row>
    <row r="128" spans="1:13" ht="15" customHeight="1">
      <c r="A128" s="398" t="s">
        <v>870</v>
      </c>
      <c r="B128" s="406">
        <v>2171.5</v>
      </c>
      <c r="C128" s="405">
        <v>253944</v>
      </c>
      <c r="D128" s="405">
        <v>242172</v>
      </c>
      <c r="E128" s="406">
        <v>13943.5</v>
      </c>
      <c r="F128" t="s">
        <v>1158</v>
      </c>
      <c r="H128" s="440" t="s">
        <v>870</v>
      </c>
      <c r="I128" s="441">
        <v>2171.5</v>
      </c>
      <c r="J128" s="446">
        <v>253944</v>
      </c>
      <c r="K128" s="446">
        <v>242172</v>
      </c>
      <c r="L128" s="441">
        <v>13943.5</v>
      </c>
    </row>
    <row r="129" spans="1:12" ht="15" customHeight="1">
      <c r="A129" s="398" t="s">
        <v>2197</v>
      </c>
      <c r="B129" s="404"/>
      <c r="C129" s="405">
        <v>5000</v>
      </c>
      <c r="D129" s="405">
        <v>5000</v>
      </c>
      <c r="E129" s="404"/>
      <c r="F129" t="s">
        <v>1158</v>
      </c>
      <c r="H129" s="440" t="s">
        <v>2197</v>
      </c>
      <c r="I129" s="449"/>
      <c r="J129" s="446">
        <v>5000</v>
      </c>
      <c r="K129" s="446">
        <v>5000</v>
      </c>
      <c r="L129" s="449"/>
    </row>
    <row r="130" spans="1:12" ht="15" customHeight="1">
      <c r="A130" s="398" t="s">
        <v>871</v>
      </c>
      <c r="B130" s="406">
        <v>1922.5</v>
      </c>
      <c r="C130" s="405">
        <v>50280</v>
      </c>
      <c r="D130" s="405">
        <v>52295</v>
      </c>
      <c r="E130" s="399">
        <v>92.5</v>
      </c>
      <c r="F130" t="s">
        <v>1158</v>
      </c>
      <c r="H130" s="440" t="s">
        <v>871</v>
      </c>
      <c r="I130" s="441">
        <v>1922.5</v>
      </c>
      <c r="J130" s="446">
        <v>50280</v>
      </c>
      <c r="K130" s="446">
        <v>52295</v>
      </c>
      <c r="L130" s="445">
        <v>92.5</v>
      </c>
    </row>
    <row r="131" spans="1:12" ht="15" customHeight="1">
      <c r="A131" s="398" t="s">
        <v>872</v>
      </c>
      <c r="B131" s="404"/>
      <c r="C131" s="405">
        <v>43686</v>
      </c>
      <c r="D131" s="405">
        <v>38686</v>
      </c>
      <c r="E131" s="406">
        <v>5000</v>
      </c>
      <c r="F131" t="s">
        <v>1158</v>
      </c>
      <c r="H131" s="440" t="s">
        <v>872</v>
      </c>
      <c r="I131" s="449"/>
      <c r="J131" s="446">
        <v>43686</v>
      </c>
      <c r="K131" s="446">
        <v>38686</v>
      </c>
      <c r="L131" s="441">
        <v>5000</v>
      </c>
    </row>
    <row r="132" spans="1:12" ht="15" customHeight="1">
      <c r="A132" s="398" t="s">
        <v>873</v>
      </c>
      <c r="B132" s="406">
        <v>2037</v>
      </c>
      <c r="C132" s="405">
        <v>296800</v>
      </c>
      <c r="D132" s="405">
        <v>282753</v>
      </c>
      <c r="E132" s="406">
        <v>16084</v>
      </c>
      <c r="F132" t="s">
        <v>1158</v>
      </c>
      <c r="H132" s="440" t="s">
        <v>873</v>
      </c>
      <c r="I132" s="441">
        <v>2037</v>
      </c>
      <c r="J132" s="446">
        <v>296800</v>
      </c>
      <c r="K132" s="446">
        <v>282753</v>
      </c>
      <c r="L132" s="441">
        <v>16084</v>
      </c>
    </row>
    <row r="133" spans="1:12" ht="15" customHeight="1">
      <c r="A133" s="398" t="s">
        <v>2198</v>
      </c>
      <c r="B133" s="404"/>
      <c r="C133" s="405">
        <v>3000</v>
      </c>
      <c r="D133" s="400"/>
      <c r="E133" s="406">
        <v>3000</v>
      </c>
      <c r="F133" t="s">
        <v>2206</v>
      </c>
      <c r="H133" s="440" t="s">
        <v>2198</v>
      </c>
      <c r="I133" s="449"/>
      <c r="J133" s="446">
        <v>3000</v>
      </c>
      <c r="K133" s="442"/>
      <c r="L133" s="441">
        <v>3000</v>
      </c>
    </row>
    <row r="134" spans="1:12" ht="15" customHeight="1">
      <c r="A134" s="398" t="s">
        <v>874</v>
      </c>
      <c r="B134" s="406">
        <v>23534.2</v>
      </c>
      <c r="C134" s="405">
        <v>126000</v>
      </c>
      <c r="D134" s="405">
        <v>122398</v>
      </c>
      <c r="E134" s="406">
        <v>27136.2</v>
      </c>
      <c r="F134" t="s">
        <v>1158</v>
      </c>
      <c r="H134" s="440" t="s">
        <v>874</v>
      </c>
      <c r="I134" s="441">
        <v>23534.2</v>
      </c>
      <c r="J134" s="446">
        <v>126000</v>
      </c>
      <c r="K134" s="446">
        <v>122398</v>
      </c>
      <c r="L134" s="441">
        <v>27136.2</v>
      </c>
    </row>
    <row r="135" spans="1:12" ht="15" customHeight="1">
      <c r="A135" s="398" t="s">
        <v>875</v>
      </c>
      <c r="B135" s="406">
        <v>908</v>
      </c>
      <c r="C135" s="400"/>
      <c r="D135" s="400"/>
      <c r="E135" s="406">
        <v>908</v>
      </c>
      <c r="F135" t="s">
        <v>1158</v>
      </c>
      <c r="H135" s="440" t="s">
        <v>875</v>
      </c>
      <c r="I135" s="441">
        <v>908</v>
      </c>
      <c r="J135" s="442"/>
      <c r="K135" s="442"/>
      <c r="L135" s="441">
        <v>908</v>
      </c>
    </row>
    <row r="136" spans="1:12" ht="15" customHeight="1">
      <c r="A136" s="398" t="s">
        <v>2055</v>
      </c>
      <c r="B136" s="404"/>
      <c r="C136" s="405">
        <v>10000</v>
      </c>
      <c r="D136" s="405">
        <v>10000</v>
      </c>
      <c r="E136" s="404"/>
      <c r="F136" t="s">
        <v>2206</v>
      </c>
      <c r="H136" s="440" t="s">
        <v>2055</v>
      </c>
      <c r="I136" s="449"/>
      <c r="J136" s="446">
        <v>10000</v>
      </c>
      <c r="K136" s="446">
        <v>10000</v>
      </c>
      <c r="L136" s="449"/>
    </row>
    <row r="137" spans="1:12" ht="15" customHeight="1">
      <c r="A137" s="398" t="s">
        <v>1747</v>
      </c>
      <c r="B137" s="406">
        <v>29105</v>
      </c>
      <c r="C137" s="405">
        <v>2227</v>
      </c>
      <c r="D137" s="400"/>
      <c r="E137" s="406">
        <v>31332</v>
      </c>
      <c r="F137" t="s">
        <v>1158</v>
      </c>
      <c r="H137" s="440" t="s">
        <v>1747</v>
      </c>
      <c r="I137" s="441">
        <v>29105</v>
      </c>
      <c r="J137" s="446">
        <v>2227</v>
      </c>
      <c r="K137" s="442"/>
      <c r="L137" s="441">
        <v>31332</v>
      </c>
    </row>
    <row r="138" spans="1:12" ht="15" customHeight="1">
      <c r="A138" s="398" t="s">
        <v>876</v>
      </c>
      <c r="B138" s="406">
        <v>5128</v>
      </c>
      <c r="C138" s="405">
        <v>2500</v>
      </c>
      <c r="D138" s="400"/>
      <c r="E138" s="406">
        <v>7628</v>
      </c>
      <c r="F138" t="s">
        <v>1158</v>
      </c>
      <c r="H138" s="440" t="s">
        <v>876</v>
      </c>
      <c r="I138" s="441">
        <v>5128</v>
      </c>
      <c r="J138" s="446">
        <v>2500</v>
      </c>
      <c r="K138" s="442"/>
      <c r="L138" s="441">
        <v>7628</v>
      </c>
    </row>
    <row r="139" spans="1:12" ht="15" customHeight="1">
      <c r="A139" s="398" t="s">
        <v>2057</v>
      </c>
      <c r="B139" s="406">
        <v>15000</v>
      </c>
      <c r="C139" s="400"/>
      <c r="D139" s="405">
        <v>15000</v>
      </c>
      <c r="E139" s="404"/>
      <c r="F139" t="s">
        <v>1158</v>
      </c>
      <c r="H139" s="440" t="s">
        <v>2057</v>
      </c>
      <c r="I139" s="441">
        <v>15000</v>
      </c>
      <c r="J139" s="442"/>
      <c r="K139" s="446">
        <v>15000</v>
      </c>
      <c r="L139" s="449"/>
    </row>
    <row r="140" spans="1:12" ht="15" customHeight="1">
      <c r="A140" s="398" t="s">
        <v>2199</v>
      </c>
      <c r="B140" s="404"/>
      <c r="C140" s="405">
        <v>11431</v>
      </c>
      <c r="D140" s="405">
        <v>11431</v>
      </c>
      <c r="E140" s="404"/>
      <c r="F140" t="s">
        <v>1158</v>
      </c>
      <c r="H140" s="440" t="s">
        <v>2199</v>
      </c>
      <c r="I140" s="449"/>
      <c r="J140" s="446">
        <v>11431</v>
      </c>
      <c r="K140" s="446">
        <v>11431</v>
      </c>
      <c r="L140" s="449"/>
    </row>
    <row r="141" spans="1:12" ht="15" customHeight="1">
      <c r="A141" s="398" t="s">
        <v>877</v>
      </c>
      <c r="B141" s="406">
        <v>169004</v>
      </c>
      <c r="C141" s="405">
        <v>6989</v>
      </c>
      <c r="D141" s="405">
        <v>4000</v>
      </c>
      <c r="E141" s="406">
        <v>171993</v>
      </c>
      <c r="F141" t="s">
        <v>1158</v>
      </c>
      <c r="H141" s="440" t="s">
        <v>877</v>
      </c>
      <c r="I141" s="441">
        <v>169004</v>
      </c>
      <c r="J141" s="446">
        <v>6989</v>
      </c>
      <c r="K141" s="446">
        <v>4000</v>
      </c>
      <c r="L141" s="441">
        <v>171993</v>
      </c>
    </row>
    <row r="142" spans="1:12" ht="15" customHeight="1">
      <c r="A142" s="398" t="s">
        <v>2062</v>
      </c>
      <c r="B142" s="399">
        <v>3000</v>
      </c>
      <c r="C142" s="400"/>
      <c r="D142" s="400"/>
      <c r="E142" s="399">
        <v>3000</v>
      </c>
      <c r="F142" t="s">
        <v>2206</v>
      </c>
      <c r="H142" s="440" t="s">
        <v>2062</v>
      </c>
      <c r="I142" s="445">
        <v>3000</v>
      </c>
      <c r="J142" s="442"/>
      <c r="K142" s="442"/>
      <c r="L142" s="445">
        <v>3000</v>
      </c>
    </row>
    <row r="143" spans="1:12" ht="15" customHeight="1">
      <c r="A143" s="398" t="s">
        <v>879</v>
      </c>
      <c r="B143" s="399">
        <v>24410</v>
      </c>
      <c r="C143" s="405">
        <v>55000</v>
      </c>
      <c r="D143" s="405">
        <v>25987</v>
      </c>
      <c r="E143" s="406">
        <v>4603</v>
      </c>
      <c r="F143" t="s">
        <v>1158</v>
      </c>
      <c r="H143" s="440" t="s">
        <v>879</v>
      </c>
      <c r="I143" s="445">
        <v>24410</v>
      </c>
      <c r="J143" s="446">
        <v>55000</v>
      </c>
      <c r="K143" s="446">
        <v>25987</v>
      </c>
      <c r="L143" s="441">
        <v>4603</v>
      </c>
    </row>
    <row r="144" spans="1:12" ht="15" customHeight="1">
      <c r="A144" s="398" t="s">
        <v>2063</v>
      </c>
      <c r="B144" s="399">
        <v>6000</v>
      </c>
      <c r="C144" s="405">
        <v>129000</v>
      </c>
      <c r="D144" s="405">
        <v>129764</v>
      </c>
      <c r="E144" s="399">
        <v>6764</v>
      </c>
      <c r="F144" t="s">
        <v>1158</v>
      </c>
      <c r="H144" s="440" t="s">
        <v>2063</v>
      </c>
      <c r="I144" s="445">
        <v>6000</v>
      </c>
      <c r="J144" s="446">
        <v>129000</v>
      </c>
      <c r="K144" s="446">
        <v>129764</v>
      </c>
      <c r="L144" s="445">
        <v>6764</v>
      </c>
    </row>
    <row r="145" spans="1:12" ht="15" customHeight="1">
      <c r="A145" s="398" t="s">
        <v>1532</v>
      </c>
      <c r="B145" s="399">
        <v>1</v>
      </c>
      <c r="C145" s="400"/>
      <c r="D145" s="400"/>
      <c r="E145" s="399">
        <v>1</v>
      </c>
      <c r="F145" t="s">
        <v>2206</v>
      </c>
      <c r="H145" s="440" t="s">
        <v>1532</v>
      </c>
      <c r="I145" s="445">
        <v>1</v>
      </c>
      <c r="J145" s="442"/>
      <c r="K145" s="442"/>
      <c r="L145" s="445">
        <v>1</v>
      </c>
    </row>
    <row r="146" spans="1:12" ht="15" customHeight="1">
      <c r="A146" s="398" t="s">
        <v>880</v>
      </c>
      <c r="B146" s="406">
        <v>4362.5</v>
      </c>
      <c r="C146" s="405">
        <v>62867</v>
      </c>
      <c r="D146" s="405">
        <v>65312</v>
      </c>
      <c r="E146" s="406">
        <v>1917.5</v>
      </c>
      <c r="F146" t="s">
        <v>1158</v>
      </c>
      <c r="H146" s="440" t="s">
        <v>880</v>
      </c>
      <c r="I146" s="441">
        <v>4362.5</v>
      </c>
      <c r="J146" s="446">
        <v>62867</v>
      </c>
      <c r="K146" s="446">
        <v>65312</v>
      </c>
      <c r="L146" s="441">
        <v>1917.5</v>
      </c>
    </row>
    <row r="147" spans="1:12" ht="15" customHeight="1">
      <c r="A147" s="398" t="s">
        <v>881</v>
      </c>
      <c r="B147" s="404"/>
      <c r="C147" s="405">
        <v>8000</v>
      </c>
      <c r="D147" s="400"/>
      <c r="E147" s="406">
        <v>8000</v>
      </c>
      <c r="F147" t="s">
        <v>1158</v>
      </c>
      <c r="H147" s="440" t="s">
        <v>881</v>
      </c>
      <c r="I147" s="449"/>
      <c r="J147" s="446">
        <v>8000</v>
      </c>
      <c r="K147" s="442"/>
      <c r="L147" s="441">
        <v>8000</v>
      </c>
    </row>
    <row r="148" spans="1:12" ht="15" customHeight="1">
      <c r="A148" s="398" t="s">
        <v>1533</v>
      </c>
      <c r="B148" s="406">
        <v>11866</v>
      </c>
      <c r="C148" s="405">
        <v>135500</v>
      </c>
      <c r="D148" s="405">
        <v>92229</v>
      </c>
      <c r="E148" s="406">
        <v>55137</v>
      </c>
      <c r="F148" t="s">
        <v>1158</v>
      </c>
      <c r="H148" s="440" t="s">
        <v>1533</v>
      </c>
      <c r="I148" s="441">
        <v>11866</v>
      </c>
      <c r="J148" s="446">
        <v>135500</v>
      </c>
      <c r="K148" s="446">
        <v>92229</v>
      </c>
      <c r="L148" s="441">
        <v>55137</v>
      </c>
    </row>
    <row r="149" spans="1:12" ht="15" customHeight="1">
      <c r="A149" s="398" t="s">
        <v>1534</v>
      </c>
      <c r="B149" s="406">
        <v>4415</v>
      </c>
      <c r="C149" s="400"/>
      <c r="D149" s="400"/>
      <c r="E149" s="406">
        <v>4415</v>
      </c>
      <c r="F149" t="s">
        <v>1158</v>
      </c>
      <c r="H149" s="440" t="s">
        <v>1534</v>
      </c>
      <c r="I149" s="441">
        <v>4415</v>
      </c>
      <c r="J149" s="442"/>
      <c r="K149" s="442"/>
      <c r="L149" s="441">
        <v>4415</v>
      </c>
    </row>
    <row r="150" spans="1:12" ht="15" customHeight="1">
      <c r="A150" s="398" t="s">
        <v>883</v>
      </c>
      <c r="B150" s="406">
        <v>6125</v>
      </c>
      <c r="C150" s="405">
        <v>90759</v>
      </c>
      <c r="D150" s="405">
        <v>90208</v>
      </c>
      <c r="E150" s="406">
        <v>6676</v>
      </c>
      <c r="F150" t="s">
        <v>1158</v>
      </c>
      <c r="H150" s="440" t="s">
        <v>883</v>
      </c>
      <c r="I150" s="441">
        <v>6125</v>
      </c>
      <c r="J150" s="446">
        <v>90759</v>
      </c>
      <c r="K150" s="446">
        <v>90208</v>
      </c>
      <c r="L150" s="441">
        <v>6676</v>
      </c>
    </row>
    <row r="151" spans="1:12" ht="15" customHeight="1">
      <c r="A151" s="398" t="s">
        <v>884</v>
      </c>
      <c r="B151" s="399">
        <v>3988.7</v>
      </c>
      <c r="C151" s="405">
        <v>526770</v>
      </c>
      <c r="D151" s="405">
        <v>480293</v>
      </c>
      <c r="E151" s="406">
        <v>42488.3</v>
      </c>
      <c r="F151" t="s">
        <v>2206</v>
      </c>
      <c r="H151" s="440" t="s">
        <v>884</v>
      </c>
      <c r="I151" s="445">
        <v>3988.7</v>
      </c>
      <c r="J151" s="446">
        <v>526770</v>
      </c>
      <c r="K151" s="446">
        <v>480293</v>
      </c>
      <c r="L151" s="441">
        <v>42488.3</v>
      </c>
    </row>
    <row r="152" spans="1:12" ht="15" customHeight="1">
      <c r="A152" s="398" t="s">
        <v>885</v>
      </c>
      <c r="B152" s="406">
        <v>5134</v>
      </c>
      <c r="C152" s="405">
        <v>79900</v>
      </c>
      <c r="D152" s="405">
        <v>84434</v>
      </c>
      <c r="E152" s="406">
        <v>600</v>
      </c>
      <c r="F152" t="s">
        <v>1158</v>
      </c>
      <c r="H152" s="440" t="s">
        <v>885</v>
      </c>
      <c r="I152" s="441">
        <v>5134</v>
      </c>
      <c r="J152" s="446">
        <v>79900</v>
      </c>
      <c r="K152" s="446">
        <v>84434</v>
      </c>
      <c r="L152" s="441">
        <v>600</v>
      </c>
    </row>
    <row r="153" spans="1:12" ht="15" customHeight="1">
      <c r="A153" s="398" t="s">
        <v>2064</v>
      </c>
      <c r="B153" s="404"/>
      <c r="C153" s="405">
        <v>34611039</v>
      </c>
      <c r="D153" s="405">
        <v>33485550</v>
      </c>
      <c r="E153" s="406">
        <v>1125489</v>
      </c>
      <c r="F153" t="s">
        <v>1158</v>
      </c>
      <c r="H153" s="440" t="s">
        <v>2064</v>
      </c>
      <c r="I153" s="449"/>
      <c r="J153" s="446">
        <v>34611039</v>
      </c>
      <c r="K153" s="446">
        <v>33485550</v>
      </c>
      <c r="L153" s="441">
        <v>1125489</v>
      </c>
    </row>
    <row r="154" spans="1:12" ht="15" customHeight="1">
      <c r="A154" s="398" t="s">
        <v>1748</v>
      </c>
      <c r="B154" s="406">
        <v>18383</v>
      </c>
      <c r="C154" s="400"/>
      <c r="D154" s="400"/>
      <c r="E154" s="406">
        <v>18383</v>
      </c>
      <c r="F154" t="s">
        <v>2206</v>
      </c>
      <c r="H154" s="440" t="s">
        <v>1748</v>
      </c>
      <c r="I154" s="441">
        <v>18383</v>
      </c>
      <c r="J154" s="442"/>
      <c r="K154" s="442"/>
      <c r="L154" s="441">
        <v>18383</v>
      </c>
    </row>
    <row r="155" spans="1:12" ht="15" customHeight="1">
      <c r="A155" s="398" t="s">
        <v>2065</v>
      </c>
      <c r="B155" s="406">
        <v>886</v>
      </c>
      <c r="C155" s="400"/>
      <c r="D155" s="405">
        <v>886</v>
      </c>
      <c r="E155" s="404"/>
      <c r="F155" t="s">
        <v>1158</v>
      </c>
      <c r="H155" s="440" t="s">
        <v>2065</v>
      </c>
      <c r="I155" s="441">
        <v>886</v>
      </c>
      <c r="J155" s="442"/>
      <c r="K155" s="446">
        <v>886</v>
      </c>
      <c r="L155" s="449"/>
    </row>
    <row r="156" spans="1:12" ht="15" customHeight="1">
      <c r="A156" s="398" t="s">
        <v>2066</v>
      </c>
      <c r="B156" s="406">
        <v>1495</v>
      </c>
      <c r="C156" s="405">
        <v>4000</v>
      </c>
      <c r="D156" s="400"/>
      <c r="E156" s="406">
        <v>5495</v>
      </c>
      <c r="F156" t="s">
        <v>1158</v>
      </c>
      <c r="H156" s="440" t="s">
        <v>2066</v>
      </c>
      <c r="I156" s="441">
        <v>1495</v>
      </c>
      <c r="J156" s="446">
        <v>4000</v>
      </c>
      <c r="K156" s="442"/>
      <c r="L156" s="441">
        <v>5495</v>
      </c>
    </row>
    <row r="157" spans="1:12" ht="15" customHeight="1">
      <c r="A157" s="398" t="s">
        <v>1233</v>
      </c>
      <c r="B157" s="404"/>
      <c r="C157" s="405">
        <v>3000</v>
      </c>
      <c r="D157" s="400"/>
      <c r="E157" s="406">
        <v>3000</v>
      </c>
      <c r="F157" t="s">
        <v>1158</v>
      </c>
      <c r="H157" s="440" t="s">
        <v>1233</v>
      </c>
      <c r="I157" s="449"/>
      <c r="J157" s="446">
        <v>3000</v>
      </c>
      <c r="K157" s="442"/>
      <c r="L157" s="441">
        <v>3000</v>
      </c>
    </row>
    <row r="158" spans="1:12" ht="15" customHeight="1">
      <c r="A158" s="398" t="s">
        <v>2200</v>
      </c>
      <c r="B158" s="404"/>
      <c r="C158" s="405">
        <v>5299</v>
      </c>
      <c r="D158" s="405">
        <v>5299</v>
      </c>
      <c r="E158" s="404"/>
      <c r="F158" t="s">
        <v>1158</v>
      </c>
      <c r="H158" s="440" t="s">
        <v>2200</v>
      </c>
      <c r="I158" s="449"/>
      <c r="J158" s="446">
        <v>5299</v>
      </c>
      <c r="K158" s="446">
        <v>5299</v>
      </c>
      <c r="L158" s="449"/>
    </row>
    <row r="159" spans="1:12" ht="15" customHeight="1">
      <c r="A159" s="398" t="s">
        <v>1749</v>
      </c>
      <c r="B159" s="406">
        <v>3000</v>
      </c>
      <c r="C159" s="400"/>
      <c r="D159" s="400"/>
      <c r="E159" s="406">
        <v>3000</v>
      </c>
      <c r="F159" t="s">
        <v>1158</v>
      </c>
      <c r="H159" s="440" t="s">
        <v>1749</v>
      </c>
      <c r="I159" s="441">
        <v>3000</v>
      </c>
      <c r="J159" s="442"/>
      <c r="K159" s="442"/>
      <c r="L159" s="441">
        <v>3000</v>
      </c>
    </row>
    <row r="160" spans="1:12" ht="15" customHeight="1">
      <c r="A160" s="398" t="s">
        <v>1093</v>
      </c>
      <c r="B160" s="404"/>
      <c r="C160" s="405">
        <v>64000</v>
      </c>
      <c r="D160" s="405">
        <v>63000</v>
      </c>
      <c r="E160" s="406">
        <v>1000</v>
      </c>
      <c r="F160" t="s">
        <v>2206</v>
      </c>
      <c r="H160" s="440" t="s">
        <v>1093</v>
      </c>
      <c r="I160" s="449"/>
      <c r="J160" s="446">
        <v>64000</v>
      </c>
      <c r="K160" s="446">
        <v>63000</v>
      </c>
      <c r="L160" s="441">
        <v>1000</v>
      </c>
    </row>
    <row r="161" spans="1:14" ht="15" customHeight="1">
      <c r="A161" s="398" t="s">
        <v>887</v>
      </c>
      <c r="B161" s="406">
        <v>500</v>
      </c>
      <c r="C161" s="400"/>
      <c r="D161" s="400"/>
      <c r="E161" s="406">
        <v>500</v>
      </c>
      <c r="F161" t="s">
        <v>1158</v>
      </c>
      <c r="H161" s="440" t="s">
        <v>887</v>
      </c>
      <c r="I161" s="441">
        <v>500</v>
      </c>
      <c r="J161" s="442"/>
      <c r="K161" s="442"/>
      <c r="L161" s="441">
        <v>500</v>
      </c>
    </row>
    <row r="162" spans="1:14" ht="15" customHeight="1">
      <c r="A162" s="398" t="s">
        <v>888</v>
      </c>
      <c r="B162" s="406">
        <v>750</v>
      </c>
      <c r="C162" s="400"/>
      <c r="D162" s="400"/>
      <c r="E162" s="406">
        <v>750</v>
      </c>
      <c r="F162" t="s">
        <v>1158</v>
      </c>
      <c r="H162" s="440" t="s">
        <v>888</v>
      </c>
      <c r="I162" s="441">
        <v>750</v>
      </c>
      <c r="J162" s="442"/>
      <c r="K162" s="442"/>
      <c r="L162" s="441">
        <v>750</v>
      </c>
    </row>
    <row r="163" spans="1:14" ht="15" customHeight="1">
      <c r="A163" s="398" t="s">
        <v>889</v>
      </c>
      <c r="B163" s="406">
        <v>1500</v>
      </c>
      <c r="C163" s="400"/>
      <c r="D163" s="405">
        <v>1500</v>
      </c>
      <c r="E163" s="404"/>
      <c r="F163" t="s">
        <v>1158</v>
      </c>
      <c r="H163" s="440" t="s">
        <v>889</v>
      </c>
      <c r="I163" s="441">
        <v>1500</v>
      </c>
      <c r="J163" s="442"/>
      <c r="K163" s="446">
        <v>1500</v>
      </c>
      <c r="L163" s="449"/>
    </row>
    <row r="164" spans="1:14" ht="15" customHeight="1">
      <c r="A164" s="398" t="s">
        <v>1750</v>
      </c>
      <c r="B164" s="406">
        <v>3405</v>
      </c>
      <c r="C164" s="405">
        <v>2000</v>
      </c>
      <c r="D164" s="405">
        <v>1000</v>
      </c>
      <c r="E164" s="406">
        <v>4405</v>
      </c>
      <c r="F164" t="s">
        <v>2206</v>
      </c>
      <c r="H164" s="440" t="s">
        <v>1750</v>
      </c>
      <c r="I164" s="441">
        <v>3405</v>
      </c>
      <c r="J164" s="446">
        <v>2000</v>
      </c>
      <c r="K164" s="446">
        <v>1000</v>
      </c>
      <c r="L164" s="441">
        <v>4405</v>
      </c>
    </row>
    <row r="165" spans="1:14" ht="15" customHeight="1">
      <c r="A165" s="398" t="s">
        <v>2067</v>
      </c>
      <c r="B165" s="404"/>
      <c r="C165" s="405">
        <v>17500</v>
      </c>
      <c r="D165" s="405">
        <v>16960</v>
      </c>
      <c r="E165" s="406">
        <v>540</v>
      </c>
      <c r="F165" t="s">
        <v>1158</v>
      </c>
      <c r="H165" s="440" t="s">
        <v>2067</v>
      </c>
      <c r="I165" s="449"/>
      <c r="J165" s="446">
        <v>17500</v>
      </c>
      <c r="K165" s="446">
        <v>16960</v>
      </c>
      <c r="L165" s="441">
        <v>540</v>
      </c>
    </row>
    <row r="166" spans="1:14" ht="15" customHeight="1">
      <c r="A166" s="398"/>
      <c r="B166" s="404"/>
      <c r="C166" s="405"/>
      <c r="D166" s="405"/>
      <c r="E166" s="406"/>
      <c r="F166" t="s">
        <v>1158</v>
      </c>
      <c r="H166" s="440"/>
      <c r="I166" s="449"/>
      <c r="J166" s="446"/>
      <c r="K166" s="446"/>
      <c r="L166" s="441"/>
    </row>
    <row r="167" spans="1:14" ht="15" customHeight="1">
      <c r="A167" s="398"/>
      <c r="B167" s="404"/>
      <c r="C167" s="405"/>
      <c r="D167" s="405"/>
      <c r="E167" s="406"/>
      <c r="F167" t="s">
        <v>1158</v>
      </c>
      <c r="H167" s="440"/>
      <c r="I167" s="449"/>
      <c r="J167" s="446"/>
      <c r="K167" s="446"/>
      <c r="L167" s="441"/>
    </row>
    <row r="168" spans="1:14" ht="15" customHeight="1">
      <c r="A168" s="415" t="s">
        <v>102</v>
      </c>
      <c r="B168" s="416"/>
      <c r="C168" s="402">
        <v>3790</v>
      </c>
      <c r="D168" s="402">
        <v>328961538.06</v>
      </c>
      <c r="E168" s="401">
        <v>328957748.06</v>
      </c>
      <c r="F168" t="s">
        <v>2205</v>
      </c>
      <c r="H168" s="461" t="s">
        <v>102</v>
      </c>
      <c r="I168" s="451"/>
      <c r="J168" s="444">
        <v>3790</v>
      </c>
      <c r="K168" s="444">
        <v>328961538.06</v>
      </c>
      <c r="L168" s="443">
        <v>328957748.06</v>
      </c>
      <c r="M168" t="s">
        <v>2205</v>
      </c>
    </row>
    <row r="169" spans="1:14" ht="15" customHeight="1">
      <c r="A169" s="398" t="s">
        <v>103</v>
      </c>
      <c r="B169" s="404"/>
      <c r="C169" s="405">
        <v>3790</v>
      </c>
      <c r="D169" s="405">
        <v>328210468.06</v>
      </c>
      <c r="E169" s="399">
        <v>328206678.06</v>
      </c>
      <c r="F169" t="s">
        <v>1158</v>
      </c>
      <c r="H169" s="440" t="s">
        <v>103</v>
      </c>
      <c r="I169" s="449"/>
      <c r="J169" s="446">
        <v>3790</v>
      </c>
      <c r="K169" s="446">
        <v>328210468.06</v>
      </c>
      <c r="L169" s="445">
        <v>328206678.06</v>
      </c>
    </row>
    <row r="170" spans="1:14" ht="15" customHeight="1">
      <c r="A170" s="398" t="s">
        <v>2201</v>
      </c>
      <c r="B170" s="404"/>
      <c r="C170" s="400"/>
      <c r="D170" s="405">
        <v>751070</v>
      </c>
      <c r="E170" s="399">
        <v>751070</v>
      </c>
      <c r="F170" t="s">
        <v>1158</v>
      </c>
      <c r="H170" s="440" t="s">
        <v>2201</v>
      </c>
      <c r="I170" s="449"/>
      <c r="J170" s="442"/>
      <c r="K170" s="446">
        <v>751070</v>
      </c>
      <c r="L170" s="445">
        <v>751070</v>
      </c>
    </row>
    <row r="171" spans="1:14" ht="15" customHeight="1">
      <c r="A171" s="398"/>
      <c r="B171" s="404"/>
      <c r="C171" s="400"/>
      <c r="D171" s="405"/>
      <c r="E171" s="399"/>
      <c r="F171" t="s">
        <v>1158</v>
      </c>
      <c r="H171" s="440"/>
      <c r="I171" s="449"/>
      <c r="J171" s="442"/>
      <c r="K171" s="446"/>
      <c r="L171" s="445"/>
    </row>
    <row r="172" spans="1:14" ht="15" customHeight="1">
      <c r="A172" s="398"/>
      <c r="B172" s="404"/>
      <c r="C172" s="400"/>
      <c r="D172" s="405"/>
      <c r="E172" s="399"/>
      <c r="F172" t="s">
        <v>1158</v>
      </c>
      <c r="H172" s="440"/>
      <c r="I172" s="449"/>
      <c r="J172" s="442"/>
      <c r="K172" s="446"/>
      <c r="L172" s="445"/>
    </row>
    <row r="173" spans="1:14" ht="15" customHeight="1">
      <c r="A173" s="415" t="s">
        <v>104</v>
      </c>
      <c r="B173" s="416"/>
      <c r="C173" s="402">
        <v>71836780</v>
      </c>
      <c r="D173" s="402">
        <v>9716</v>
      </c>
      <c r="E173" s="403">
        <v>71827064</v>
      </c>
      <c r="F173" t="s">
        <v>2205</v>
      </c>
      <c r="H173" s="461" t="s">
        <v>104</v>
      </c>
      <c r="I173" s="451"/>
      <c r="J173" s="444">
        <v>71836780</v>
      </c>
      <c r="K173" s="444">
        <v>9716</v>
      </c>
      <c r="L173" s="452">
        <v>71827064</v>
      </c>
      <c r="M173" t="s">
        <v>2205</v>
      </c>
      <c r="N173" s="100">
        <f>E173+L173</f>
        <v>143654128</v>
      </c>
    </row>
    <row r="174" spans="1:14" ht="15" customHeight="1">
      <c r="A174" s="398" t="s">
        <v>105</v>
      </c>
      <c r="B174" s="404"/>
      <c r="C174" s="405">
        <v>764695</v>
      </c>
      <c r="D174" s="405">
        <v>1332</v>
      </c>
      <c r="E174" s="406">
        <v>763363</v>
      </c>
      <c r="H174" s="440" t="s">
        <v>105</v>
      </c>
      <c r="I174" s="449"/>
      <c r="J174" s="446">
        <v>764695</v>
      </c>
      <c r="K174" s="446">
        <v>1332</v>
      </c>
      <c r="L174" s="441">
        <v>763363</v>
      </c>
    </row>
    <row r="175" spans="1:14" ht="15" customHeight="1">
      <c r="A175" s="398" t="s">
        <v>115</v>
      </c>
      <c r="B175" s="404"/>
      <c r="C175" s="405">
        <v>959407</v>
      </c>
      <c r="D175" s="400"/>
      <c r="E175" s="406">
        <v>959407</v>
      </c>
      <c r="H175" s="440" t="s">
        <v>115</v>
      </c>
      <c r="I175" s="449"/>
      <c r="J175" s="446">
        <v>959407</v>
      </c>
      <c r="K175" s="442"/>
      <c r="L175" s="441">
        <v>959407</v>
      </c>
    </row>
    <row r="176" spans="1:14" ht="15" customHeight="1">
      <c r="A176" s="398" t="s">
        <v>116</v>
      </c>
      <c r="B176" s="404"/>
      <c r="C176" s="405">
        <v>3447384</v>
      </c>
      <c r="D176" s="400"/>
      <c r="E176" s="406">
        <v>3447384</v>
      </c>
      <c r="H176" s="440" t="s">
        <v>116</v>
      </c>
      <c r="I176" s="449"/>
      <c r="J176" s="446">
        <v>3447384</v>
      </c>
      <c r="K176" s="442"/>
      <c r="L176" s="441">
        <v>3447384</v>
      </c>
    </row>
    <row r="177" spans="1:12" ht="15" customHeight="1">
      <c r="A177" s="398" t="s">
        <v>117</v>
      </c>
      <c r="B177" s="404"/>
      <c r="C177" s="405">
        <v>4200</v>
      </c>
      <c r="D177" s="400"/>
      <c r="E177" s="406">
        <v>4200</v>
      </c>
      <c r="H177" s="440" t="s">
        <v>117</v>
      </c>
      <c r="I177" s="449"/>
      <c r="J177" s="446">
        <v>4200</v>
      </c>
      <c r="K177" s="442"/>
      <c r="L177" s="441">
        <v>4200</v>
      </c>
    </row>
    <row r="178" spans="1:12" ht="15" customHeight="1">
      <c r="A178" s="398" t="s">
        <v>106</v>
      </c>
      <c r="B178" s="404"/>
      <c r="C178" s="405">
        <v>789848</v>
      </c>
      <c r="D178" s="400"/>
      <c r="E178" s="406">
        <v>789848</v>
      </c>
      <c r="H178" s="440" t="s">
        <v>106</v>
      </c>
      <c r="I178" s="449"/>
      <c r="J178" s="446">
        <v>789848</v>
      </c>
      <c r="K178" s="442"/>
      <c r="L178" s="441">
        <v>789848</v>
      </c>
    </row>
    <row r="179" spans="1:12" ht="15" customHeight="1">
      <c r="A179" s="398" t="s">
        <v>107</v>
      </c>
      <c r="B179" s="404"/>
      <c r="C179" s="405">
        <v>978022</v>
      </c>
      <c r="D179" s="400"/>
      <c r="E179" s="406">
        <v>978022</v>
      </c>
      <c r="H179" s="440" t="s">
        <v>107</v>
      </c>
      <c r="I179" s="449"/>
      <c r="J179" s="446">
        <v>978022</v>
      </c>
      <c r="K179" s="442"/>
      <c r="L179" s="441">
        <v>978022</v>
      </c>
    </row>
    <row r="180" spans="1:12" ht="15" customHeight="1">
      <c r="A180" s="398" t="s">
        <v>1232</v>
      </c>
      <c r="B180" s="404"/>
      <c r="C180" s="405">
        <v>716535</v>
      </c>
      <c r="D180" s="400"/>
      <c r="E180" s="406">
        <v>716535</v>
      </c>
      <c r="H180" s="440" t="s">
        <v>1232</v>
      </c>
      <c r="I180" s="449"/>
      <c r="J180" s="446">
        <v>716535</v>
      </c>
      <c r="K180" s="442"/>
      <c r="L180" s="441">
        <v>716535</v>
      </c>
    </row>
    <row r="181" spans="1:12" ht="15" customHeight="1">
      <c r="A181" s="398" t="s">
        <v>108</v>
      </c>
      <c r="B181" s="404"/>
      <c r="C181" s="405">
        <v>439837</v>
      </c>
      <c r="D181" s="400"/>
      <c r="E181" s="406">
        <v>439837</v>
      </c>
      <c r="H181" s="440" t="s">
        <v>108</v>
      </c>
      <c r="I181" s="449"/>
      <c r="J181" s="446">
        <v>439837</v>
      </c>
      <c r="K181" s="442"/>
      <c r="L181" s="441">
        <v>439837</v>
      </c>
    </row>
    <row r="182" spans="1:12" ht="15" customHeight="1">
      <c r="A182" s="398" t="s">
        <v>119</v>
      </c>
      <c r="B182" s="404"/>
      <c r="C182" s="405">
        <v>250120</v>
      </c>
      <c r="D182" s="400"/>
      <c r="E182" s="406">
        <v>250120</v>
      </c>
      <c r="F182" t="s">
        <v>1158</v>
      </c>
      <c r="H182" s="440" t="s">
        <v>119</v>
      </c>
      <c r="I182" s="449"/>
      <c r="J182" s="446">
        <v>250120</v>
      </c>
      <c r="K182" s="442"/>
      <c r="L182" s="441">
        <v>250120</v>
      </c>
    </row>
    <row r="183" spans="1:12" ht="15" customHeight="1">
      <c r="A183" s="398" t="s">
        <v>120</v>
      </c>
      <c r="B183" s="404"/>
      <c r="C183" s="405">
        <v>2213530</v>
      </c>
      <c r="D183" s="400"/>
      <c r="E183" s="406">
        <v>2213530</v>
      </c>
      <c r="F183" t="s">
        <v>1158</v>
      </c>
      <c r="H183" s="440" t="s">
        <v>120</v>
      </c>
      <c r="I183" s="449"/>
      <c r="J183" s="446">
        <v>2213530</v>
      </c>
      <c r="K183" s="442"/>
      <c r="L183" s="441">
        <v>2213530</v>
      </c>
    </row>
    <row r="184" spans="1:12" ht="15" customHeight="1">
      <c r="A184" s="398" t="s">
        <v>109</v>
      </c>
      <c r="B184" s="404"/>
      <c r="C184" s="405">
        <v>386686</v>
      </c>
      <c r="D184" s="400"/>
      <c r="E184" s="406">
        <v>386686</v>
      </c>
      <c r="F184" t="s">
        <v>1158</v>
      </c>
      <c r="H184" s="440" t="s">
        <v>109</v>
      </c>
      <c r="I184" s="449"/>
      <c r="J184" s="446">
        <v>386686</v>
      </c>
      <c r="K184" s="442"/>
      <c r="L184" s="441">
        <v>386686</v>
      </c>
    </row>
    <row r="185" spans="1:12" ht="15" customHeight="1">
      <c r="A185" s="398" t="s">
        <v>1231</v>
      </c>
      <c r="B185" s="404"/>
      <c r="C185" s="405">
        <v>5696041.5499999998</v>
      </c>
      <c r="D185" s="400"/>
      <c r="E185" s="406">
        <v>5696041.5499999998</v>
      </c>
      <c r="H185" s="440" t="s">
        <v>1231</v>
      </c>
      <c r="I185" s="449"/>
      <c r="J185" s="446">
        <v>5696041.5499999998</v>
      </c>
      <c r="K185" s="442"/>
      <c r="L185" s="441">
        <v>5696041.5499999998</v>
      </c>
    </row>
    <row r="186" spans="1:12" ht="15" customHeight="1">
      <c r="A186" s="398" t="s">
        <v>1230</v>
      </c>
      <c r="B186" s="404"/>
      <c r="C186" s="405">
        <v>2805525.3</v>
      </c>
      <c r="D186" s="400"/>
      <c r="E186" s="406">
        <v>2805525.3</v>
      </c>
      <c r="H186" s="440" t="s">
        <v>1230</v>
      </c>
      <c r="I186" s="449"/>
      <c r="J186" s="446">
        <v>2805525.3</v>
      </c>
      <c r="K186" s="442"/>
      <c r="L186" s="441">
        <v>2805525.3</v>
      </c>
    </row>
    <row r="187" spans="1:12" ht="15" customHeight="1">
      <c r="A187" s="398" t="s">
        <v>110</v>
      </c>
      <c r="B187" s="404"/>
      <c r="C187" s="405">
        <v>3806352</v>
      </c>
      <c r="D187" s="400"/>
      <c r="E187" s="406">
        <v>3806352</v>
      </c>
      <c r="F187" t="s">
        <v>1158</v>
      </c>
      <c r="H187" s="440" t="s">
        <v>110</v>
      </c>
      <c r="I187" s="449"/>
      <c r="J187" s="446">
        <v>3806352</v>
      </c>
      <c r="K187" s="442"/>
      <c r="L187" s="441">
        <v>3806352</v>
      </c>
    </row>
    <row r="188" spans="1:12" ht="15" customHeight="1">
      <c r="A188" s="398" t="s">
        <v>111</v>
      </c>
      <c r="B188" s="404"/>
      <c r="C188" s="405">
        <v>179763</v>
      </c>
      <c r="D188" s="400"/>
      <c r="E188" s="406">
        <v>179763</v>
      </c>
      <c r="H188" s="440" t="s">
        <v>111</v>
      </c>
      <c r="I188" s="449"/>
      <c r="J188" s="446">
        <v>179763</v>
      </c>
      <c r="K188" s="442"/>
      <c r="L188" s="441">
        <v>179763</v>
      </c>
    </row>
    <row r="189" spans="1:12" ht="15" customHeight="1">
      <c r="A189" s="398" t="s">
        <v>1229</v>
      </c>
      <c r="B189" s="404"/>
      <c r="C189" s="405">
        <v>396514</v>
      </c>
      <c r="D189" s="400"/>
      <c r="E189" s="406">
        <v>396514</v>
      </c>
      <c r="H189" s="440" t="s">
        <v>1229</v>
      </c>
      <c r="I189" s="449"/>
      <c r="J189" s="446">
        <v>396514</v>
      </c>
      <c r="K189" s="442"/>
      <c r="L189" s="441">
        <v>396514</v>
      </c>
    </row>
    <row r="190" spans="1:12" ht="15" customHeight="1">
      <c r="A190" s="398" t="s">
        <v>1228</v>
      </c>
      <c r="B190" s="404"/>
      <c r="C190" s="405">
        <v>2553363</v>
      </c>
      <c r="D190" s="400"/>
      <c r="E190" s="406">
        <v>2553363</v>
      </c>
      <c r="H190" s="440" t="s">
        <v>1228</v>
      </c>
      <c r="I190" s="449"/>
      <c r="J190" s="446">
        <v>2553363</v>
      </c>
      <c r="K190" s="442"/>
      <c r="L190" s="441">
        <v>2553363</v>
      </c>
    </row>
    <row r="191" spans="1:12" ht="15" customHeight="1">
      <c r="A191" s="398" t="s">
        <v>1227</v>
      </c>
      <c r="B191" s="404"/>
      <c r="C191" s="405">
        <v>304001</v>
      </c>
      <c r="D191" s="400"/>
      <c r="E191" s="406">
        <v>304001</v>
      </c>
      <c r="H191" s="440" t="s">
        <v>1227</v>
      </c>
      <c r="I191" s="449"/>
      <c r="J191" s="446">
        <v>304001</v>
      </c>
      <c r="K191" s="442"/>
      <c r="L191" s="441">
        <v>304001</v>
      </c>
    </row>
    <row r="192" spans="1:12" ht="15" customHeight="1">
      <c r="A192" s="398" t="s">
        <v>121</v>
      </c>
      <c r="B192" s="404"/>
      <c r="C192" s="405">
        <v>5414513</v>
      </c>
      <c r="D192" s="400"/>
      <c r="E192" s="406">
        <v>5414513</v>
      </c>
      <c r="H192" s="440" t="s">
        <v>121</v>
      </c>
      <c r="I192" s="449"/>
      <c r="J192" s="446">
        <v>5414513</v>
      </c>
      <c r="K192" s="442"/>
      <c r="L192" s="441">
        <v>5414513</v>
      </c>
    </row>
    <row r="193" spans="1:13" ht="15" customHeight="1">
      <c r="A193" s="398" t="s">
        <v>1226</v>
      </c>
      <c r="B193" s="404"/>
      <c r="C193" s="405">
        <v>175240</v>
      </c>
      <c r="D193" s="400"/>
      <c r="E193" s="406">
        <v>175240</v>
      </c>
      <c r="H193" s="440" t="s">
        <v>1226</v>
      </c>
      <c r="I193" s="449"/>
      <c r="J193" s="446">
        <v>175240</v>
      </c>
      <c r="K193" s="442"/>
      <c r="L193" s="441">
        <v>175240</v>
      </c>
    </row>
    <row r="194" spans="1:13" ht="15" customHeight="1">
      <c r="A194" s="398" t="s">
        <v>112</v>
      </c>
      <c r="B194" s="404"/>
      <c r="C194" s="405">
        <v>16251807</v>
      </c>
      <c r="D194" s="400"/>
      <c r="E194" s="406">
        <v>16251807</v>
      </c>
      <c r="H194" s="453" t="s">
        <v>112</v>
      </c>
      <c r="I194" s="449"/>
      <c r="J194" s="446">
        <v>16251807</v>
      </c>
      <c r="K194" s="442"/>
      <c r="L194" s="441">
        <v>16251807</v>
      </c>
    </row>
    <row r="195" spans="1:13" ht="15" customHeight="1">
      <c r="A195" s="398" t="s">
        <v>113</v>
      </c>
      <c r="B195" s="404"/>
      <c r="C195" s="405">
        <v>2614243.75</v>
      </c>
      <c r="D195" s="400"/>
      <c r="E195" s="406">
        <v>2614243.75</v>
      </c>
      <c r="H195" s="440" t="s">
        <v>113</v>
      </c>
      <c r="I195" s="449"/>
      <c r="J195" s="446">
        <v>2614243.75</v>
      </c>
      <c r="K195" s="442"/>
      <c r="L195" s="441">
        <v>2614243.75</v>
      </c>
    </row>
    <row r="196" spans="1:13" ht="15" customHeight="1">
      <c r="A196" s="398" t="s">
        <v>122</v>
      </c>
      <c r="B196" s="404"/>
      <c r="C196" s="405">
        <v>3930935</v>
      </c>
      <c r="D196" s="400"/>
      <c r="E196" s="406">
        <v>3930935</v>
      </c>
      <c r="H196" s="453" t="s">
        <v>122</v>
      </c>
      <c r="I196" s="449"/>
      <c r="J196" s="446">
        <v>3930935</v>
      </c>
      <c r="K196" s="442"/>
      <c r="L196" s="441">
        <v>3930935</v>
      </c>
    </row>
    <row r="197" spans="1:13" ht="15" customHeight="1">
      <c r="A197" s="398" t="s">
        <v>2068</v>
      </c>
      <c r="B197" s="404"/>
      <c r="C197" s="405">
        <v>5040</v>
      </c>
      <c r="D197" s="400"/>
      <c r="E197" s="406">
        <v>5040</v>
      </c>
      <c r="H197" s="440" t="s">
        <v>2068</v>
      </c>
      <c r="I197" s="449"/>
      <c r="J197" s="446">
        <v>5040</v>
      </c>
      <c r="K197" s="442"/>
      <c r="L197" s="441">
        <v>5040</v>
      </c>
    </row>
    <row r="198" spans="1:13" ht="15" customHeight="1">
      <c r="A198" s="398" t="s">
        <v>114</v>
      </c>
      <c r="B198" s="404"/>
      <c r="C198" s="405">
        <v>80073</v>
      </c>
      <c r="D198" s="400"/>
      <c r="E198" s="406">
        <v>80073</v>
      </c>
      <c r="H198" s="440" t="s">
        <v>114</v>
      </c>
      <c r="I198" s="449"/>
      <c r="J198" s="446">
        <v>80073</v>
      </c>
      <c r="K198" s="442"/>
      <c r="L198" s="441">
        <v>80073</v>
      </c>
    </row>
    <row r="199" spans="1:13" ht="15" customHeight="1">
      <c r="A199" s="398" t="s">
        <v>123</v>
      </c>
      <c r="B199" s="404"/>
      <c r="C199" s="405">
        <v>11428868.6</v>
      </c>
      <c r="D199" s="405">
        <v>8384</v>
      </c>
      <c r="E199" s="406">
        <v>11420484.6</v>
      </c>
      <c r="H199" s="440" t="s">
        <v>123</v>
      </c>
      <c r="I199" s="449"/>
      <c r="J199" s="446">
        <v>11428868.6</v>
      </c>
      <c r="K199" s="446">
        <v>8384</v>
      </c>
      <c r="L199" s="441">
        <v>11420484.6</v>
      </c>
    </row>
    <row r="200" spans="1:13" ht="15" customHeight="1">
      <c r="A200" s="398" t="s">
        <v>124</v>
      </c>
      <c r="B200" s="404"/>
      <c r="C200" s="405">
        <v>5207541.8</v>
      </c>
      <c r="D200" s="400"/>
      <c r="E200" s="406">
        <v>5207541.8</v>
      </c>
      <c r="H200" s="440" t="s">
        <v>124</v>
      </c>
      <c r="I200" s="449"/>
      <c r="J200" s="446">
        <v>5207541.8</v>
      </c>
      <c r="K200" s="442"/>
      <c r="L200" s="441">
        <v>5207541.8</v>
      </c>
    </row>
    <row r="201" spans="1:13" ht="15" customHeight="1">
      <c r="A201" s="398" t="s">
        <v>1535</v>
      </c>
      <c r="B201" s="404"/>
      <c r="C201" s="405">
        <v>36694</v>
      </c>
      <c r="D201" s="400"/>
      <c r="E201" s="406">
        <v>36694</v>
      </c>
      <c r="H201" s="440" t="s">
        <v>1535</v>
      </c>
      <c r="I201" s="449"/>
      <c r="J201" s="446">
        <v>36694</v>
      </c>
      <c r="K201" s="442"/>
      <c r="L201" s="441">
        <v>36694</v>
      </c>
    </row>
    <row r="202" spans="1:13" ht="15" customHeight="1">
      <c r="A202" s="398"/>
      <c r="B202" s="404"/>
      <c r="C202" s="405"/>
      <c r="D202" s="400"/>
      <c r="E202" s="406"/>
      <c r="H202" s="440"/>
      <c r="I202" s="449"/>
      <c r="J202" s="446"/>
      <c r="K202" s="442"/>
      <c r="L202" s="441"/>
    </row>
    <row r="203" spans="1:13" ht="15" customHeight="1">
      <c r="A203" s="398"/>
      <c r="B203" s="404"/>
      <c r="C203" s="405"/>
      <c r="D203" s="400"/>
      <c r="E203" s="406"/>
      <c r="H203" s="440"/>
      <c r="I203" s="449"/>
      <c r="J203" s="446"/>
      <c r="K203" s="442"/>
      <c r="L203" s="441"/>
    </row>
    <row r="204" spans="1:13" ht="15" customHeight="1">
      <c r="A204" s="415" t="s">
        <v>160</v>
      </c>
      <c r="B204" s="416"/>
      <c r="C204" s="402">
        <v>136935219.00999999</v>
      </c>
      <c r="D204" s="402">
        <v>50408</v>
      </c>
      <c r="E204" s="403">
        <v>136884811.00999999</v>
      </c>
      <c r="F204" t="s">
        <v>2205</v>
      </c>
      <c r="H204" s="461" t="s">
        <v>160</v>
      </c>
      <c r="I204" s="451"/>
      <c r="J204" s="444">
        <v>136935219.00999999</v>
      </c>
      <c r="K204" s="444">
        <v>50408</v>
      </c>
      <c r="L204" s="452">
        <v>136884811.00999999</v>
      </c>
      <c r="M204" t="s">
        <v>2205</v>
      </c>
    </row>
    <row r="205" spans="1:13" ht="15" customHeight="1">
      <c r="A205" s="410" t="s">
        <v>161</v>
      </c>
      <c r="B205" s="400"/>
      <c r="C205" s="405">
        <v>95490219</v>
      </c>
      <c r="D205" s="405">
        <v>44618</v>
      </c>
      <c r="E205" s="411">
        <v>95445601</v>
      </c>
      <c r="H205" s="462" t="s">
        <v>161</v>
      </c>
      <c r="I205" s="442"/>
      <c r="J205" s="446">
        <v>95490219</v>
      </c>
      <c r="K205" s="446">
        <v>44618</v>
      </c>
      <c r="L205" s="463">
        <v>95445601</v>
      </c>
    </row>
    <row r="206" spans="1:13" ht="15" customHeight="1">
      <c r="A206" s="410" t="s">
        <v>178</v>
      </c>
      <c r="B206" s="400"/>
      <c r="C206" s="405">
        <v>41445000.009999998</v>
      </c>
      <c r="D206" s="405">
        <v>5790</v>
      </c>
      <c r="E206" s="411">
        <v>41439210.009999998</v>
      </c>
      <c r="H206" s="462" t="s">
        <v>178</v>
      </c>
      <c r="I206" s="442"/>
      <c r="J206" s="446">
        <v>41445000.009999998</v>
      </c>
      <c r="K206" s="446">
        <v>5790</v>
      </c>
      <c r="L206" s="463">
        <v>41439210.009999998</v>
      </c>
    </row>
    <row r="207" spans="1:13" ht="15" customHeight="1">
      <c r="A207" s="410"/>
      <c r="B207" s="400"/>
      <c r="C207" s="405"/>
      <c r="D207" s="405"/>
      <c r="E207" s="411"/>
      <c r="F207" t="s">
        <v>1158</v>
      </c>
      <c r="H207" s="462"/>
      <c r="I207" s="442"/>
      <c r="J207" s="446"/>
      <c r="K207" s="446"/>
      <c r="L207" s="463"/>
    </row>
    <row r="208" spans="1:13" ht="15" customHeight="1">
      <c r="A208" s="410"/>
      <c r="B208" s="400"/>
      <c r="C208" s="405"/>
      <c r="D208" s="405"/>
      <c r="E208" s="411"/>
      <c r="H208" s="462"/>
      <c r="I208" s="442"/>
      <c r="J208" s="446"/>
      <c r="K208" s="446"/>
      <c r="L208" s="463"/>
    </row>
    <row r="209" spans="1:13" ht="15" customHeight="1">
      <c r="A209" s="415" t="s">
        <v>189</v>
      </c>
      <c r="B209" s="416"/>
      <c r="C209" s="408"/>
      <c r="D209" s="402">
        <v>10727466</v>
      </c>
      <c r="E209" s="401">
        <v>10727466</v>
      </c>
      <c r="F209" t="s">
        <v>2205</v>
      </c>
      <c r="H209" s="461" t="s">
        <v>189</v>
      </c>
      <c r="I209" s="451"/>
      <c r="J209" s="448"/>
      <c r="K209" s="444">
        <v>10727466</v>
      </c>
      <c r="L209" s="443">
        <v>10727466</v>
      </c>
      <c r="M209" t="s">
        <v>2205</v>
      </c>
    </row>
    <row r="210" spans="1:13" ht="15" customHeight="1">
      <c r="A210" s="398" t="s">
        <v>190</v>
      </c>
      <c r="B210" s="404"/>
      <c r="C210" s="400"/>
      <c r="D210" s="405">
        <v>10727466</v>
      </c>
      <c r="E210" s="399">
        <v>10727466</v>
      </c>
      <c r="F210" t="s">
        <v>1158</v>
      </c>
      <c r="H210" s="440" t="s">
        <v>190</v>
      </c>
      <c r="I210" s="449"/>
      <c r="J210" s="442"/>
      <c r="K210" s="446">
        <v>10727466</v>
      </c>
      <c r="L210" s="445">
        <v>10727466</v>
      </c>
    </row>
    <row r="211" spans="1:13" ht="15" customHeight="1">
      <c r="A211" s="398"/>
      <c r="B211" s="404"/>
      <c r="C211" s="400"/>
      <c r="D211" s="405"/>
      <c r="E211" s="399"/>
      <c r="F211" t="s">
        <v>1158</v>
      </c>
      <c r="H211" s="440"/>
      <c r="I211" s="449"/>
      <c r="J211" s="442"/>
      <c r="K211" s="446"/>
      <c r="L211" s="445"/>
    </row>
    <row r="212" spans="1:13" ht="15" customHeight="1">
      <c r="A212" s="398"/>
      <c r="B212" s="404"/>
      <c r="C212" s="400"/>
      <c r="D212" s="405"/>
      <c r="E212" s="399"/>
      <c r="F212" t="s">
        <v>2206</v>
      </c>
      <c r="H212" s="440"/>
      <c r="I212" s="449"/>
      <c r="J212" s="442"/>
      <c r="K212" s="446"/>
      <c r="L212" s="445"/>
    </row>
    <row r="213" spans="1:13" ht="15" customHeight="1">
      <c r="A213" s="415" t="s">
        <v>192</v>
      </c>
      <c r="B213" s="416"/>
      <c r="C213" s="402">
        <v>56419138.649999999</v>
      </c>
      <c r="D213" s="402">
        <v>765592.85</v>
      </c>
      <c r="E213" s="403">
        <v>55653545.799999997</v>
      </c>
      <c r="F213" t="s">
        <v>2205</v>
      </c>
      <c r="H213" s="461" t="s">
        <v>192</v>
      </c>
      <c r="I213" s="451"/>
      <c r="J213" s="444">
        <v>56419138.649999999</v>
      </c>
      <c r="K213" s="444">
        <v>765592.85</v>
      </c>
      <c r="L213" s="452">
        <v>55653545.799999997</v>
      </c>
      <c r="M213" t="s">
        <v>2205</v>
      </c>
    </row>
    <row r="214" spans="1:13" ht="15" customHeight="1">
      <c r="A214" s="410" t="s">
        <v>193</v>
      </c>
      <c r="B214" s="400"/>
      <c r="C214" s="405">
        <v>154436</v>
      </c>
      <c r="D214" s="405">
        <v>176077.85</v>
      </c>
      <c r="E214" s="417">
        <v>21641.85</v>
      </c>
      <c r="F214" t="s">
        <v>1158</v>
      </c>
      <c r="H214" s="462" t="s">
        <v>193</v>
      </c>
      <c r="I214" s="442"/>
      <c r="J214" s="446">
        <v>154436</v>
      </c>
      <c r="K214" s="446">
        <v>176077.85</v>
      </c>
      <c r="L214" s="464">
        <v>21641.85</v>
      </c>
    </row>
    <row r="215" spans="1:13" ht="15" customHeight="1">
      <c r="A215" s="410" t="s">
        <v>194</v>
      </c>
      <c r="B215" s="400"/>
      <c r="C215" s="405">
        <v>22154</v>
      </c>
      <c r="D215" s="400"/>
      <c r="E215" s="411">
        <v>22154</v>
      </c>
      <c r="F215" t="s">
        <v>1158</v>
      </c>
      <c r="H215" s="462" t="s">
        <v>194</v>
      </c>
      <c r="I215" s="442"/>
      <c r="J215" s="446">
        <v>22154</v>
      </c>
      <c r="K215" s="442"/>
      <c r="L215" s="463">
        <v>22154</v>
      </c>
    </row>
    <row r="216" spans="1:13" ht="15" customHeight="1">
      <c r="A216" s="398" t="s">
        <v>195</v>
      </c>
      <c r="B216" s="404"/>
      <c r="C216" s="405">
        <v>47753</v>
      </c>
      <c r="D216" s="400"/>
      <c r="E216" s="406">
        <v>47753</v>
      </c>
      <c r="F216" t="s">
        <v>1158</v>
      </c>
      <c r="H216" s="440" t="s">
        <v>195</v>
      </c>
      <c r="I216" s="449"/>
      <c r="J216" s="446">
        <v>47753</v>
      </c>
      <c r="K216" s="442"/>
      <c r="L216" s="441">
        <v>47753</v>
      </c>
    </row>
    <row r="217" spans="1:13" ht="15" customHeight="1">
      <c r="A217" s="398" t="s">
        <v>1540</v>
      </c>
      <c r="B217" s="404"/>
      <c r="C217" s="405">
        <v>836275.24</v>
      </c>
      <c r="D217" s="400"/>
      <c r="E217" s="406">
        <v>836275.24</v>
      </c>
      <c r="F217" t="s">
        <v>1158</v>
      </c>
      <c r="H217" s="440" t="s">
        <v>1540</v>
      </c>
      <c r="I217" s="449"/>
      <c r="J217" s="446">
        <v>836275.24</v>
      </c>
      <c r="K217" s="442"/>
      <c r="L217" s="441">
        <v>836275.24</v>
      </c>
    </row>
    <row r="218" spans="1:13" ht="15" customHeight="1">
      <c r="A218" s="398" t="s">
        <v>210</v>
      </c>
      <c r="B218" s="404"/>
      <c r="C218" s="405">
        <v>133032.41</v>
      </c>
      <c r="D218" s="405">
        <v>20</v>
      </c>
      <c r="E218" s="406">
        <v>133012.41</v>
      </c>
      <c r="F218" t="s">
        <v>2206</v>
      </c>
      <c r="H218" s="440" t="s">
        <v>210</v>
      </c>
      <c r="I218" s="449"/>
      <c r="J218" s="446">
        <v>133032.41</v>
      </c>
      <c r="K218" s="446">
        <v>20</v>
      </c>
      <c r="L218" s="441">
        <v>133012.41</v>
      </c>
    </row>
    <row r="219" spans="1:13" ht="15" customHeight="1">
      <c r="A219" s="398" t="s">
        <v>1541</v>
      </c>
      <c r="B219" s="404"/>
      <c r="C219" s="405">
        <v>12800</v>
      </c>
      <c r="D219" s="405">
        <v>3650</v>
      </c>
      <c r="E219" s="406">
        <v>9150</v>
      </c>
      <c r="F219" t="s">
        <v>1158</v>
      </c>
      <c r="H219" s="453" t="s">
        <v>1541</v>
      </c>
      <c r="I219" s="449"/>
      <c r="J219" s="446">
        <v>12800</v>
      </c>
      <c r="K219" s="446">
        <v>3650</v>
      </c>
      <c r="L219" s="441">
        <v>9150</v>
      </c>
    </row>
    <row r="220" spans="1:13" ht="15" customHeight="1">
      <c r="A220" s="398" t="s">
        <v>196</v>
      </c>
      <c r="B220" s="404"/>
      <c r="C220" s="405">
        <v>6925</v>
      </c>
      <c r="D220" s="400"/>
      <c r="E220" s="406">
        <v>6925</v>
      </c>
      <c r="F220" t="s">
        <v>1158</v>
      </c>
      <c r="H220" s="440" t="s">
        <v>196</v>
      </c>
      <c r="I220" s="449"/>
      <c r="J220" s="446">
        <v>6925</v>
      </c>
      <c r="K220" s="442"/>
      <c r="L220" s="441">
        <v>6925</v>
      </c>
    </row>
    <row r="221" spans="1:13" ht="15" customHeight="1">
      <c r="A221" s="398" t="s">
        <v>1222</v>
      </c>
      <c r="B221" s="404"/>
      <c r="C221" s="405">
        <v>28302</v>
      </c>
      <c r="D221" s="400"/>
      <c r="E221" s="406">
        <v>28302</v>
      </c>
      <c r="F221" t="s">
        <v>2206</v>
      </c>
      <c r="H221" s="440" t="s">
        <v>1222</v>
      </c>
      <c r="I221" s="449"/>
      <c r="J221" s="446">
        <v>28302</v>
      </c>
      <c r="K221" s="442"/>
      <c r="L221" s="441">
        <v>28302</v>
      </c>
    </row>
    <row r="222" spans="1:13" ht="15" customHeight="1">
      <c r="A222" s="398" t="s">
        <v>1751</v>
      </c>
      <c r="B222" s="404"/>
      <c r="C222" s="405">
        <v>9243</v>
      </c>
      <c r="D222" s="400"/>
      <c r="E222" s="406">
        <v>9243</v>
      </c>
      <c r="F222" t="s">
        <v>1158</v>
      </c>
      <c r="H222" s="440" t="s">
        <v>1751</v>
      </c>
      <c r="I222" s="449"/>
      <c r="J222" s="446">
        <v>9243</v>
      </c>
      <c r="K222" s="442"/>
      <c r="L222" s="441">
        <v>9243</v>
      </c>
    </row>
    <row r="223" spans="1:13" ht="15" customHeight="1">
      <c r="A223" s="398" t="s">
        <v>893</v>
      </c>
      <c r="B223" s="404"/>
      <c r="C223" s="405">
        <v>57125</v>
      </c>
      <c r="D223" s="400"/>
      <c r="E223" s="406">
        <v>57125</v>
      </c>
      <c r="F223" t="s">
        <v>1158</v>
      </c>
      <c r="H223" s="440" t="s">
        <v>893</v>
      </c>
      <c r="I223" s="449"/>
      <c r="J223" s="446">
        <v>57125</v>
      </c>
      <c r="K223" s="442"/>
      <c r="L223" s="441">
        <v>57125</v>
      </c>
    </row>
    <row r="224" spans="1:13" ht="15" customHeight="1">
      <c r="A224" s="398" t="s">
        <v>197</v>
      </c>
      <c r="B224" s="404"/>
      <c r="C224" s="405">
        <v>3780000</v>
      </c>
      <c r="D224" s="400"/>
      <c r="E224" s="406">
        <v>3780000</v>
      </c>
      <c r="F224" t="s">
        <v>1158</v>
      </c>
      <c r="H224" s="440" t="s">
        <v>197</v>
      </c>
      <c r="I224" s="449"/>
      <c r="J224" s="446">
        <v>3780000</v>
      </c>
      <c r="K224" s="442"/>
      <c r="L224" s="441">
        <v>3780000</v>
      </c>
    </row>
    <row r="225" spans="1:12" ht="15" customHeight="1">
      <c r="A225" s="398" t="s">
        <v>211</v>
      </c>
      <c r="B225" s="404"/>
      <c r="C225" s="405">
        <v>144500</v>
      </c>
      <c r="D225" s="400"/>
      <c r="E225" s="406">
        <v>144500</v>
      </c>
      <c r="F225" t="s">
        <v>1158</v>
      </c>
      <c r="H225" s="440" t="s">
        <v>211</v>
      </c>
      <c r="I225" s="449"/>
      <c r="J225" s="446">
        <v>144500</v>
      </c>
      <c r="K225" s="442"/>
      <c r="L225" s="441">
        <v>144500</v>
      </c>
    </row>
    <row r="226" spans="1:12" ht="15" customHeight="1">
      <c r="A226" s="398" t="s">
        <v>198</v>
      </c>
      <c r="B226" s="404"/>
      <c r="C226" s="405">
        <v>6985</v>
      </c>
      <c r="D226" s="400"/>
      <c r="E226" s="406">
        <v>6985</v>
      </c>
      <c r="F226" t="s">
        <v>1158</v>
      </c>
      <c r="H226" s="440" t="s">
        <v>198</v>
      </c>
      <c r="I226" s="449"/>
      <c r="J226" s="446">
        <v>6985</v>
      </c>
      <c r="K226" s="442"/>
      <c r="L226" s="441">
        <v>6985</v>
      </c>
    </row>
    <row r="227" spans="1:12" ht="15" customHeight="1">
      <c r="A227" s="398" t="s">
        <v>212</v>
      </c>
      <c r="B227" s="404"/>
      <c r="C227" s="405">
        <v>185913</v>
      </c>
      <c r="D227" s="400"/>
      <c r="E227" s="406">
        <v>185913</v>
      </c>
      <c r="F227" t="s">
        <v>2206</v>
      </c>
      <c r="H227" s="440" t="s">
        <v>212</v>
      </c>
      <c r="I227" s="449"/>
      <c r="J227" s="446">
        <v>185913</v>
      </c>
      <c r="K227" s="442"/>
      <c r="L227" s="441">
        <v>185913</v>
      </c>
    </row>
    <row r="228" spans="1:12" ht="15" customHeight="1">
      <c r="A228" s="398" t="s">
        <v>199</v>
      </c>
      <c r="B228" s="404"/>
      <c r="C228" s="405">
        <v>204000</v>
      </c>
      <c r="D228" s="400"/>
      <c r="E228" s="406">
        <v>204000</v>
      </c>
      <c r="F228" t="s">
        <v>1158</v>
      </c>
      <c r="H228" s="440" t="s">
        <v>199</v>
      </c>
      <c r="I228" s="449"/>
      <c r="J228" s="446">
        <v>204000</v>
      </c>
      <c r="K228" s="442"/>
      <c r="L228" s="441">
        <v>204000</v>
      </c>
    </row>
    <row r="229" spans="1:12" ht="15" customHeight="1">
      <c r="A229" s="398" t="s">
        <v>200</v>
      </c>
      <c r="B229" s="404"/>
      <c r="C229" s="405">
        <v>130000</v>
      </c>
      <c r="D229" s="400"/>
      <c r="E229" s="406">
        <v>130000</v>
      </c>
      <c r="F229" t="s">
        <v>1158</v>
      </c>
      <c r="H229" s="440" t="s">
        <v>200</v>
      </c>
      <c r="I229" s="449"/>
      <c r="J229" s="446">
        <v>130000</v>
      </c>
      <c r="K229" s="442"/>
      <c r="L229" s="441">
        <v>130000</v>
      </c>
    </row>
    <row r="230" spans="1:12" ht="15" customHeight="1">
      <c r="A230" s="398" t="s">
        <v>1218</v>
      </c>
      <c r="B230" s="404"/>
      <c r="C230" s="405">
        <v>2413327</v>
      </c>
      <c r="D230" s="405">
        <v>7150</v>
      </c>
      <c r="E230" s="406">
        <v>2406177</v>
      </c>
      <c r="F230" t="s">
        <v>2206</v>
      </c>
      <c r="H230" s="440" t="s">
        <v>1218</v>
      </c>
      <c r="I230" s="449"/>
      <c r="J230" s="446">
        <v>2413327</v>
      </c>
      <c r="K230" s="446">
        <v>7150</v>
      </c>
      <c r="L230" s="441">
        <v>2406177</v>
      </c>
    </row>
    <row r="231" spans="1:12" ht="15" customHeight="1">
      <c r="A231" s="398" t="s">
        <v>1217</v>
      </c>
      <c r="B231" s="404"/>
      <c r="C231" s="405">
        <v>1015998</v>
      </c>
      <c r="D231" s="400"/>
      <c r="E231" s="406">
        <v>1015998</v>
      </c>
      <c r="F231" t="s">
        <v>1158</v>
      </c>
      <c r="H231" s="440" t="s">
        <v>1217</v>
      </c>
      <c r="I231" s="449"/>
      <c r="J231" s="446">
        <v>1015998</v>
      </c>
      <c r="K231" s="442"/>
      <c r="L231" s="441">
        <v>1015998</v>
      </c>
    </row>
    <row r="232" spans="1:12" ht="15" customHeight="1">
      <c r="A232" s="398" t="s">
        <v>202</v>
      </c>
      <c r="B232" s="404"/>
      <c r="C232" s="405">
        <v>206633</v>
      </c>
      <c r="D232" s="405">
        <v>10000</v>
      </c>
      <c r="E232" s="406">
        <v>196633</v>
      </c>
      <c r="F232" t="s">
        <v>1158</v>
      </c>
      <c r="H232" s="440" t="s">
        <v>202</v>
      </c>
      <c r="I232" s="449"/>
      <c r="J232" s="446">
        <v>206633</v>
      </c>
      <c r="K232" s="446">
        <v>10000</v>
      </c>
      <c r="L232" s="441">
        <v>196633</v>
      </c>
    </row>
    <row r="233" spans="1:12" ht="15" customHeight="1">
      <c r="A233" s="398" t="s">
        <v>1216</v>
      </c>
      <c r="B233" s="404"/>
      <c r="C233" s="405">
        <v>113174</v>
      </c>
      <c r="D233" s="400"/>
      <c r="E233" s="406">
        <v>113174</v>
      </c>
      <c r="F233" t="s">
        <v>1158</v>
      </c>
      <c r="H233" s="440" t="s">
        <v>1216</v>
      </c>
      <c r="I233" s="449"/>
      <c r="J233" s="446">
        <v>113174</v>
      </c>
      <c r="K233" s="442"/>
      <c r="L233" s="441">
        <v>113174</v>
      </c>
    </row>
    <row r="234" spans="1:12" ht="15" customHeight="1">
      <c r="A234" s="398" t="s">
        <v>213</v>
      </c>
      <c r="B234" s="404"/>
      <c r="C234" s="405">
        <v>418055</v>
      </c>
      <c r="D234" s="400"/>
      <c r="E234" s="406">
        <v>418055</v>
      </c>
      <c r="F234" t="s">
        <v>1158</v>
      </c>
      <c r="H234" s="440" t="s">
        <v>213</v>
      </c>
      <c r="I234" s="449"/>
      <c r="J234" s="446">
        <v>418055</v>
      </c>
      <c r="K234" s="442"/>
      <c r="L234" s="441">
        <v>418055</v>
      </c>
    </row>
    <row r="235" spans="1:12" ht="15" customHeight="1">
      <c r="A235" s="398" t="s">
        <v>1215</v>
      </c>
      <c r="B235" s="404"/>
      <c r="C235" s="405">
        <v>564883</v>
      </c>
      <c r="D235" s="400"/>
      <c r="E235" s="406">
        <v>564883</v>
      </c>
      <c r="F235" t="s">
        <v>1158</v>
      </c>
      <c r="H235" s="440" t="s">
        <v>1215</v>
      </c>
      <c r="I235" s="449"/>
      <c r="J235" s="446">
        <v>564883</v>
      </c>
      <c r="K235" s="442"/>
      <c r="L235" s="441">
        <v>564883</v>
      </c>
    </row>
    <row r="236" spans="1:12" ht="15" customHeight="1">
      <c r="A236" s="398" t="s">
        <v>77</v>
      </c>
      <c r="B236" s="404"/>
      <c r="C236" s="405">
        <v>488751</v>
      </c>
      <c r="D236" s="400"/>
      <c r="E236" s="406">
        <v>488751</v>
      </c>
      <c r="F236" t="s">
        <v>1158</v>
      </c>
      <c r="H236" s="440" t="s">
        <v>77</v>
      </c>
      <c r="I236" s="449"/>
      <c r="J236" s="446">
        <v>488751</v>
      </c>
      <c r="K236" s="442"/>
      <c r="L236" s="441">
        <v>488751</v>
      </c>
    </row>
    <row r="237" spans="1:12" ht="15" customHeight="1">
      <c r="A237" s="398" t="s">
        <v>1214</v>
      </c>
      <c r="B237" s="404"/>
      <c r="C237" s="405">
        <v>1089416</v>
      </c>
      <c r="D237" s="405">
        <v>1440</v>
      </c>
      <c r="E237" s="406">
        <v>1087976</v>
      </c>
      <c r="F237" t="s">
        <v>2206</v>
      </c>
      <c r="H237" s="440" t="s">
        <v>1214</v>
      </c>
      <c r="I237" s="449"/>
      <c r="J237" s="446">
        <v>1089416</v>
      </c>
      <c r="K237" s="446">
        <v>1440</v>
      </c>
      <c r="L237" s="441">
        <v>1087976</v>
      </c>
    </row>
    <row r="238" spans="1:12" ht="15" customHeight="1">
      <c r="A238" s="398" t="s">
        <v>1542</v>
      </c>
      <c r="B238" s="404"/>
      <c r="C238" s="405">
        <v>107300</v>
      </c>
      <c r="D238" s="400"/>
      <c r="E238" s="406">
        <v>107300</v>
      </c>
      <c r="F238" t="s">
        <v>1158</v>
      </c>
      <c r="H238" s="440" t="s">
        <v>1542</v>
      </c>
      <c r="I238" s="449"/>
      <c r="J238" s="446">
        <v>107300</v>
      </c>
      <c r="K238" s="442"/>
      <c r="L238" s="441">
        <v>107300</v>
      </c>
    </row>
    <row r="239" spans="1:12" ht="15" customHeight="1">
      <c r="A239" s="398" t="s">
        <v>1213</v>
      </c>
      <c r="B239" s="404"/>
      <c r="C239" s="405">
        <v>1073994</v>
      </c>
      <c r="D239" s="405">
        <v>6750</v>
      </c>
      <c r="E239" s="406">
        <v>1067244</v>
      </c>
      <c r="F239" t="s">
        <v>1158</v>
      </c>
      <c r="H239" s="453" t="s">
        <v>1213</v>
      </c>
      <c r="I239" s="449"/>
      <c r="J239" s="446">
        <v>1073994</v>
      </c>
      <c r="K239" s="446">
        <v>6750</v>
      </c>
      <c r="L239" s="441">
        <v>1067244</v>
      </c>
    </row>
    <row r="240" spans="1:12" ht="15" customHeight="1">
      <c r="A240" s="398" t="s">
        <v>1212</v>
      </c>
      <c r="B240" s="404"/>
      <c r="C240" s="405">
        <v>5527024</v>
      </c>
      <c r="D240" s="405">
        <v>4789</v>
      </c>
      <c r="E240" s="406">
        <v>5522235</v>
      </c>
      <c r="F240" t="s">
        <v>2206</v>
      </c>
      <c r="H240" s="440" t="s">
        <v>1212</v>
      </c>
      <c r="I240" s="449"/>
      <c r="J240" s="446">
        <v>5527024</v>
      </c>
      <c r="K240" s="446">
        <v>4789</v>
      </c>
      <c r="L240" s="441">
        <v>5522235</v>
      </c>
    </row>
    <row r="241" spans="1:13" ht="15" customHeight="1">
      <c r="A241" s="398" t="s">
        <v>204</v>
      </c>
      <c r="B241" s="404"/>
      <c r="C241" s="405">
        <v>34679427</v>
      </c>
      <c r="D241" s="405">
        <v>541319</v>
      </c>
      <c r="E241" s="406">
        <v>34138108</v>
      </c>
      <c r="F241" t="s">
        <v>1158</v>
      </c>
      <c r="H241" s="440" t="s">
        <v>204</v>
      </c>
      <c r="I241" s="449"/>
      <c r="J241" s="446">
        <v>34679427</v>
      </c>
      <c r="K241" s="446">
        <v>541319</v>
      </c>
      <c r="L241" s="441">
        <v>34138108</v>
      </c>
    </row>
    <row r="242" spans="1:13" ht="15" customHeight="1">
      <c r="A242" s="398" t="s">
        <v>1753</v>
      </c>
      <c r="B242" s="404"/>
      <c r="C242" s="405">
        <v>9243</v>
      </c>
      <c r="D242" s="400"/>
      <c r="E242" s="406">
        <v>9243</v>
      </c>
      <c r="F242" t="s">
        <v>1158</v>
      </c>
      <c r="H242" s="440" t="s">
        <v>1753</v>
      </c>
      <c r="I242" s="449"/>
      <c r="J242" s="446">
        <v>9243</v>
      </c>
      <c r="K242" s="442"/>
      <c r="L242" s="441">
        <v>9243</v>
      </c>
    </row>
    <row r="243" spans="1:13" ht="15" customHeight="1">
      <c r="A243" s="398" t="s">
        <v>206</v>
      </c>
      <c r="B243" s="404"/>
      <c r="C243" s="405">
        <v>273028</v>
      </c>
      <c r="D243" s="400"/>
      <c r="E243" s="406">
        <v>273028</v>
      </c>
      <c r="F243" t="s">
        <v>1158</v>
      </c>
      <c r="H243" s="440" t="s">
        <v>206</v>
      </c>
      <c r="I243" s="449"/>
      <c r="J243" s="446">
        <v>273028</v>
      </c>
      <c r="K243" s="442"/>
      <c r="L243" s="441">
        <v>273028</v>
      </c>
    </row>
    <row r="244" spans="1:13" ht="15" customHeight="1">
      <c r="A244" s="398" t="s">
        <v>207</v>
      </c>
      <c r="B244" s="404"/>
      <c r="C244" s="405">
        <v>2383378</v>
      </c>
      <c r="D244" s="405">
        <v>14397</v>
      </c>
      <c r="E244" s="406">
        <v>2368981</v>
      </c>
      <c r="F244" t="s">
        <v>1158</v>
      </c>
      <c r="H244" s="440" t="s">
        <v>207</v>
      </c>
      <c r="I244" s="449"/>
      <c r="J244" s="446">
        <v>2383378</v>
      </c>
      <c r="K244" s="446">
        <v>14397</v>
      </c>
      <c r="L244" s="441">
        <v>2368981</v>
      </c>
    </row>
    <row r="245" spans="1:13" ht="15" customHeight="1">
      <c r="A245" s="398" t="s">
        <v>208</v>
      </c>
      <c r="B245" s="404"/>
      <c r="C245" s="405">
        <v>296064</v>
      </c>
      <c r="D245" s="400"/>
      <c r="E245" s="406">
        <v>296064</v>
      </c>
      <c r="F245" t="s">
        <v>1158</v>
      </c>
      <c r="H245" s="440" t="s">
        <v>208</v>
      </c>
      <c r="I245" s="449"/>
      <c r="J245" s="446">
        <v>296064</v>
      </c>
      <c r="K245" s="442"/>
      <c r="L245" s="441">
        <v>296064</v>
      </c>
    </row>
    <row r="246" spans="1:13" ht="15" customHeight="1">
      <c r="A246" s="398"/>
      <c r="B246" s="404"/>
      <c r="C246" s="405"/>
      <c r="D246" s="400"/>
      <c r="E246" s="406"/>
      <c r="F246" t="s">
        <v>2206</v>
      </c>
      <c r="H246" s="440"/>
      <c r="I246" s="449"/>
      <c r="J246" s="446"/>
      <c r="K246" s="442"/>
      <c r="L246" s="441"/>
    </row>
    <row r="247" spans="1:13" ht="15" customHeight="1">
      <c r="A247" s="398"/>
      <c r="B247" s="404"/>
      <c r="C247" s="405"/>
      <c r="D247" s="400"/>
      <c r="E247" s="406"/>
      <c r="F247" t="s">
        <v>1158</v>
      </c>
      <c r="H247" s="440"/>
      <c r="I247" s="449"/>
      <c r="J247" s="446"/>
      <c r="K247" s="442"/>
      <c r="L247" s="441"/>
    </row>
    <row r="248" spans="1:13" ht="15" customHeight="1">
      <c r="A248" s="415" t="s">
        <v>125</v>
      </c>
      <c r="B248" s="401">
        <v>12452141</v>
      </c>
      <c r="C248" s="402">
        <v>11083695.380000001</v>
      </c>
      <c r="D248" s="402">
        <v>8108911</v>
      </c>
      <c r="E248" s="401">
        <v>9477356.6199999992</v>
      </c>
      <c r="F248" t="s">
        <v>2205</v>
      </c>
      <c r="H248" s="461" t="s">
        <v>125</v>
      </c>
      <c r="I248" s="443">
        <v>12452141</v>
      </c>
      <c r="J248" s="444">
        <v>11083695.380000001</v>
      </c>
      <c r="K248" s="444">
        <v>8108911</v>
      </c>
      <c r="L248" s="443">
        <v>9477356.6199999992</v>
      </c>
      <c r="M248" t="s">
        <v>2205</v>
      </c>
    </row>
    <row r="249" spans="1:13" ht="15" customHeight="1">
      <c r="A249" s="398" t="s">
        <v>126</v>
      </c>
      <c r="B249" s="399">
        <v>30000</v>
      </c>
      <c r="C249" s="400"/>
      <c r="D249" s="400"/>
      <c r="E249" s="399">
        <v>30000</v>
      </c>
      <c r="F249" t="s">
        <v>2206</v>
      </c>
      <c r="H249" s="440" t="s">
        <v>126</v>
      </c>
      <c r="I249" s="445">
        <v>30000</v>
      </c>
      <c r="J249" s="442"/>
      <c r="K249" s="442"/>
      <c r="L249" s="445">
        <v>30000</v>
      </c>
    </row>
    <row r="250" spans="1:13" ht="15" customHeight="1">
      <c r="A250" s="398" t="s">
        <v>127</v>
      </c>
      <c r="B250" s="399">
        <v>230500</v>
      </c>
      <c r="C250" s="400"/>
      <c r="D250" s="400"/>
      <c r="E250" s="399">
        <v>230500</v>
      </c>
      <c r="F250" t="s">
        <v>1158</v>
      </c>
      <c r="H250" s="440" t="s">
        <v>127</v>
      </c>
      <c r="I250" s="445">
        <v>230500</v>
      </c>
      <c r="J250" s="442"/>
      <c r="K250" s="442"/>
      <c r="L250" s="445">
        <v>230500</v>
      </c>
    </row>
    <row r="251" spans="1:13" ht="15" customHeight="1">
      <c r="A251" s="398" t="s">
        <v>128</v>
      </c>
      <c r="B251" s="399">
        <v>12071641</v>
      </c>
      <c r="C251" s="405">
        <v>11083695.380000001</v>
      </c>
      <c r="D251" s="405">
        <v>8108911</v>
      </c>
      <c r="E251" s="399">
        <v>9096856.6199999992</v>
      </c>
      <c r="F251" t="s">
        <v>1158</v>
      </c>
      <c r="H251" s="440" t="s">
        <v>128</v>
      </c>
      <c r="I251" s="445">
        <v>12071641</v>
      </c>
      <c r="J251" s="446">
        <v>11083695.380000001</v>
      </c>
      <c r="K251" s="446">
        <v>8108911</v>
      </c>
      <c r="L251" s="445">
        <v>9096856.6199999992</v>
      </c>
    </row>
    <row r="252" spans="1:13" ht="15" customHeight="1">
      <c r="A252" s="398" t="s">
        <v>129</v>
      </c>
      <c r="B252" s="399">
        <v>120000</v>
      </c>
      <c r="C252" s="400"/>
      <c r="D252" s="400"/>
      <c r="E252" s="399">
        <v>120000</v>
      </c>
      <c r="F252" t="s">
        <v>1158</v>
      </c>
      <c r="H252" s="440" t="s">
        <v>129</v>
      </c>
      <c r="I252" s="445">
        <v>120000</v>
      </c>
      <c r="J252" s="442"/>
      <c r="K252" s="442"/>
      <c r="L252" s="445">
        <v>120000</v>
      </c>
    </row>
    <row r="253" spans="1:13" ht="15" customHeight="1">
      <c r="A253" s="398"/>
      <c r="B253" s="399"/>
      <c r="C253" s="400"/>
      <c r="D253" s="400"/>
      <c r="E253" s="399"/>
      <c r="F253" t="s">
        <v>1158</v>
      </c>
      <c r="H253" s="440"/>
      <c r="I253" s="445"/>
      <c r="J253" s="442"/>
      <c r="K253" s="442"/>
      <c r="L253" s="445"/>
    </row>
    <row r="254" spans="1:13" ht="15" customHeight="1">
      <c r="A254" s="398"/>
      <c r="B254" s="399"/>
      <c r="C254" s="400"/>
      <c r="D254" s="400"/>
      <c r="E254" s="399"/>
      <c r="H254" s="440"/>
      <c r="I254" s="445"/>
      <c r="J254" s="442"/>
      <c r="K254" s="442"/>
      <c r="L254" s="445"/>
    </row>
    <row r="255" spans="1:13" ht="15" customHeight="1">
      <c r="A255" s="415" t="s">
        <v>130</v>
      </c>
      <c r="B255" s="401">
        <v>273457.21999999997</v>
      </c>
      <c r="C255" s="408"/>
      <c r="D255" s="408"/>
      <c r="E255" s="401">
        <v>273457.21999999997</v>
      </c>
      <c r="F255" t="s">
        <v>2205</v>
      </c>
      <c r="H255" s="461" t="s">
        <v>130</v>
      </c>
      <c r="I255" s="443">
        <v>273457.21999999997</v>
      </c>
      <c r="J255" s="448"/>
      <c r="K255" s="448"/>
      <c r="L255" s="443">
        <v>273457.21999999997</v>
      </c>
      <c r="M255" t="s">
        <v>2205</v>
      </c>
    </row>
    <row r="256" spans="1:13" ht="15" customHeight="1">
      <c r="A256" s="398" t="s">
        <v>130</v>
      </c>
      <c r="B256" s="399">
        <v>273457.21999999997</v>
      </c>
      <c r="C256" s="400"/>
      <c r="D256" s="400"/>
      <c r="E256" s="399">
        <v>273457.21999999997</v>
      </c>
      <c r="F256" t="s">
        <v>1158</v>
      </c>
      <c r="H256" s="440" t="s">
        <v>130</v>
      </c>
      <c r="I256" s="445">
        <v>273457.21999999997</v>
      </c>
      <c r="J256" s="442"/>
      <c r="K256" s="442"/>
      <c r="L256" s="445">
        <v>273457.21999999997</v>
      </c>
    </row>
    <row r="257" spans="1:13" ht="15" customHeight="1">
      <c r="A257" s="398"/>
      <c r="B257" s="399"/>
      <c r="C257" s="400"/>
      <c r="D257" s="400"/>
      <c r="E257" s="399"/>
      <c r="H257" s="440"/>
      <c r="I257" s="445"/>
      <c r="J257" s="442"/>
      <c r="K257" s="442"/>
      <c r="L257" s="445"/>
    </row>
    <row r="258" spans="1:13" ht="15" customHeight="1">
      <c r="A258" s="398"/>
      <c r="B258" s="399"/>
      <c r="C258" s="400"/>
      <c r="D258" s="400"/>
      <c r="E258" s="399"/>
      <c r="H258" s="440"/>
      <c r="I258" s="445"/>
      <c r="J258" s="442"/>
      <c r="K258" s="442"/>
      <c r="L258" s="445"/>
    </row>
    <row r="259" spans="1:13" ht="15" customHeight="1">
      <c r="A259" s="415" t="s">
        <v>131</v>
      </c>
      <c r="B259" s="401">
        <v>41435</v>
      </c>
      <c r="C259" s="402">
        <v>6999940</v>
      </c>
      <c r="D259" s="402">
        <v>7444441</v>
      </c>
      <c r="E259" s="401">
        <v>485936</v>
      </c>
      <c r="F259" t="s">
        <v>2205</v>
      </c>
      <c r="H259" s="461" t="s">
        <v>131</v>
      </c>
      <c r="I259" s="443">
        <v>41435</v>
      </c>
      <c r="J259" s="444">
        <v>6999940</v>
      </c>
      <c r="K259" s="444">
        <v>7444441</v>
      </c>
      <c r="L259" s="443">
        <v>485936</v>
      </c>
      <c r="M259" t="s">
        <v>2205</v>
      </c>
    </row>
    <row r="260" spans="1:13" ht="15" customHeight="1">
      <c r="A260" s="398" t="s">
        <v>1225</v>
      </c>
      <c r="B260" s="399">
        <v>86254</v>
      </c>
      <c r="C260" s="405">
        <v>6499940</v>
      </c>
      <c r="D260" s="405">
        <v>6500441</v>
      </c>
      <c r="E260" s="399">
        <v>86755</v>
      </c>
      <c r="H260" s="440" t="s">
        <v>1225</v>
      </c>
      <c r="I260" s="445">
        <v>86254</v>
      </c>
      <c r="J260" s="446">
        <v>6499940</v>
      </c>
      <c r="K260" s="446">
        <v>6500441</v>
      </c>
      <c r="L260" s="445">
        <v>86755</v>
      </c>
    </row>
    <row r="261" spans="1:13" ht="15" customHeight="1">
      <c r="A261" s="398" t="s">
        <v>1536</v>
      </c>
      <c r="B261" s="406">
        <v>4127</v>
      </c>
      <c r="C261" s="405">
        <v>500000</v>
      </c>
      <c r="D261" s="405">
        <v>592500</v>
      </c>
      <c r="E261" s="399">
        <v>88373</v>
      </c>
      <c r="H261" s="440" t="s">
        <v>1536</v>
      </c>
      <c r="I261" s="441">
        <v>4127</v>
      </c>
      <c r="J261" s="446">
        <v>500000</v>
      </c>
      <c r="K261" s="446">
        <v>592500</v>
      </c>
      <c r="L261" s="445">
        <v>88373</v>
      </c>
    </row>
    <row r="262" spans="1:13" ht="15" customHeight="1">
      <c r="A262" s="398" t="s">
        <v>1224</v>
      </c>
      <c r="B262" s="406">
        <v>40692</v>
      </c>
      <c r="C262" s="400"/>
      <c r="D262" s="405">
        <v>351500</v>
      </c>
      <c r="E262" s="399">
        <v>310808</v>
      </c>
      <c r="H262" s="440" t="s">
        <v>1224</v>
      </c>
      <c r="I262" s="441">
        <v>40692</v>
      </c>
      <c r="J262" s="442"/>
      <c r="K262" s="446">
        <v>351500</v>
      </c>
      <c r="L262" s="445">
        <v>310808</v>
      </c>
    </row>
    <row r="263" spans="1:13" ht="15" customHeight="1">
      <c r="A263" s="398"/>
      <c r="B263" s="406"/>
      <c r="C263" s="400"/>
      <c r="D263" s="405"/>
      <c r="E263" s="399"/>
      <c r="H263" s="440"/>
      <c r="I263" s="441"/>
      <c r="J263" s="442"/>
      <c r="K263" s="446"/>
      <c r="L263" s="445"/>
    </row>
    <row r="264" spans="1:13" ht="15" customHeight="1">
      <c r="A264" s="398"/>
      <c r="B264" s="406"/>
      <c r="C264" s="400"/>
      <c r="D264" s="405"/>
      <c r="E264" s="399"/>
      <c r="H264" s="440"/>
      <c r="I264" s="441"/>
      <c r="J264" s="442"/>
      <c r="K264" s="446"/>
      <c r="L264" s="445"/>
    </row>
    <row r="265" spans="1:13" ht="15" customHeight="1">
      <c r="A265" s="415" t="s">
        <v>132</v>
      </c>
      <c r="B265" s="403">
        <v>58913773</v>
      </c>
      <c r="C265" s="402">
        <v>126429800</v>
      </c>
      <c r="D265" s="402">
        <v>107489387</v>
      </c>
      <c r="E265" s="403">
        <v>77854186</v>
      </c>
      <c r="F265" t="s">
        <v>2205</v>
      </c>
      <c r="H265" s="461" t="s">
        <v>132</v>
      </c>
      <c r="I265" s="452">
        <v>58913773</v>
      </c>
      <c r="J265" s="444">
        <v>126429800</v>
      </c>
      <c r="K265" s="444">
        <v>107489387</v>
      </c>
      <c r="L265" s="452">
        <v>77854186</v>
      </c>
      <c r="M265" t="s">
        <v>2205</v>
      </c>
    </row>
    <row r="266" spans="1:13" ht="15" customHeight="1">
      <c r="A266" s="398" t="s">
        <v>133</v>
      </c>
      <c r="B266" s="406">
        <v>58913773</v>
      </c>
      <c r="C266" s="405">
        <v>126429800</v>
      </c>
      <c r="D266" s="405">
        <v>107489387</v>
      </c>
      <c r="E266" s="406">
        <v>77854186</v>
      </c>
      <c r="H266" s="440" t="s">
        <v>133</v>
      </c>
      <c r="I266" s="441">
        <v>58913773</v>
      </c>
      <c r="J266" s="446">
        <v>126429800</v>
      </c>
      <c r="K266" s="446">
        <v>107489387</v>
      </c>
      <c r="L266" s="441">
        <v>77854186</v>
      </c>
    </row>
    <row r="267" spans="1:13" ht="15" customHeight="1">
      <c r="A267" s="398"/>
      <c r="B267" s="406"/>
      <c r="C267" s="405"/>
      <c r="D267" s="405"/>
      <c r="E267" s="406"/>
      <c r="H267" s="440"/>
      <c r="I267" s="441"/>
      <c r="J267" s="446"/>
      <c r="K267" s="446"/>
      <c r="L267" s="441"/>
    </row>
    <row r="268" spans="1:13" ht="15" customHeight="1">
      <c r="A268" s="398"/>
      <c r="B268" s="406"/>
      <c r="C268" s="405"/>
      <c r="D268" s="405"/>
      <c r="E268" s="406"/>
      <c r="H268" s="440"/>
      <c r="I268" s="441"/>
      <c r="J268" s="446"/>
      <c r="K268" s="446"/>
      <c r="L268" s="441"/>
    </row>
    <row r="269" spans="1:13" ht="15" customHeight="1">
      <c r="A269" s="415" t="s">
        <v>1754</v>
      </c>
      <c r="B269" s="401">
        <v>8414902.8399999999</v>
      </c>
      <c r="C269" s="402">
        <v>46560859</v>
      </c>
      <c r="D269" s="402">
        <v>54931159.039999999</v>
      </c>
      <c r="E269" s="401">
        <v>16785202.879999999</v>
      </c>
      <c r="F269" t="s">
        <v>2205</v>
      </c>
      <c r="H269" s="461" t="s">
        <v>1754</v>
      </c>
      <c r="I269" s="443">
        <v>8414902.8399999999</v>
      </c>
      <c r="J269" s="444">
        <v>46560859</v>
      </c>
      <c r="K269" s="444">
        <v>54931159.039999999</v>
      </c>
      <c r="L269" s="443">
        <v>16785202.879999999</v>
      </c>
      <c r="M269" t="s">
        <v>2205</v>
      </c>
    </row>
    <row r="270" spans="1:13" ht="15" customHeight="1">
      <c r="A270" s="398" t="s">
        <v>1755</v>
      </c>
      <c r="B270" s="399">
        <v>3836155.75</v>
      </c>
      <c r="C270" s="405">
        <v>5437126</v>
      </c>
      <c r="D270" s="405">
        <v>5183817.3099999996</v>
      </c>
      <c r="E270" s="399">
        <v>3582847.06</v>
      </c>
      <c r="H270" s="440" t="s">
        <v>1755</v>
      </c>
      <c r="I270" s="445">
        <v>3836155.75</v>
      </c>
      <c r="J270" s="446">
        <v>5437126</v>
      </c>
      <c r="K270" s="446">
        <v>5183817.3099999996</v>
      </c>
      <c r="L270" s="445">
        <v>3582847.06</v>
      </c>
    </row>
    <row r="271" spans="1:13" ht="15" customHeight="1">
      <c r="A271" s="398" t="s">
        <v>1756</v>
      </c>
      <c r="B271" s="399">
        <v>2465832.75</v>
      </c>
      <c r="C271" s="405">
        <v>6102785</v>
      </c>
      <c r="D271" s="405">
        <v>5183817.3099999996</v>
      </c>
      <c r="E271" s="399">
        <v>1546865.06</v>
      </c>
      <c r="H271" s="440" t="s">
        <v>1756</v>
      </c>
      <c r="I271" s="445">
        <v>2465832.75</v>
      </c>
      <c r="J271" s="446">
        <v>6102785</v>
      </c>
      <c r="K271" s="446">
        <v>5183817.3099999996</v>
      </c>
      <c r="L271" s="445">
        <v>1546865.06</v>
      </c>
    </row>
    <row r="272" spans="1:13" ht="15" customHeight="1">
      <c r="A272" s="398" t="s">
        <v>1757</v>
      </c>
      <c r="B272" s="406">
        <v>0.36</v>
      </c>
      <c r="C272" s="405">
        <v>818879</v>
      </c>
      <c r="D272" s="405">
        <v>1212561.18</v>
      </c>
      <c r="E272" s="399">
        <v>393681.82</v>
      </c>
      <c r="H272" s="440" t="s">
        <v>1757</v>
      </c>
      <c r="I272" s="441">
        <v>0.36</v>
      </c>
      <c r="J272" s="446">
        <v>818879</v>
      </c>
      <c r="K272" s="446">
        <v>1212561.18</v>
      </c>
      <c r="L272" s="445">
        <v>393681.82</v>
      </c>
    </row>
    <row r="273" spans="1:12" ht="15" customHeight="1">
      <c r="A273" s="398" t="s">
        <v>1758</v>
      </c>
      <c r="B273" s="406">
        <v>0.36</v>
      </c>
      <c r="C273" s="405">
        <v>857348</v>
      </c>
      <c r="D273" s="405">
        <v>1212561.18</v>
      </c>
      <c r="E273" s="399">
        <v>355212.82</v>
      </c>
      <c r="H273" s="440" t="s">
        <v>1758</v>
      </c>
      <c r="I273" s="441">
        <v>0.36</v>
      </c>
      <c r="J273" s="446">
        <v>857348</v>
      </c>
      <c r="K273" s="446">
        <v>1212561.18</v>
      </c>
      <c r="L273" s="445">
        <v>355212.82</v>
      </c>
    </row>
    <row r="274" spans="1:12" ht="15" customHeight="1">
      <c r="A274" s="398" t="s">
        <v>1754</v>
      </c>
      <c r="B274" s="406">
        <v>13131236</v>
      </c>
      <c r="C274" s="400"/>
      <c r="D274" s="400"/>
      <c r="E274" s="406">
        <v>13131236</v>
      </c>
      <c r="H274" s="453" t="s">
        <v>1754</v>
      </c>
      <c r="I274" s="441">
        <v>13131236</v>
      </c>
      <c r="J274" s="442"/>
      <c r="K274" s="442"/>
      <c r="L274" s="441">
        <v>13131236</v>
      </c>
    </row>
    <row r="275" spans="1:12" ht="15" customHeight="1">
      <c r="A275" s="398" t="s">
        <v>1759</v>
      </c>
      <c r="B275" s="399">
        <v>2009910.64</v>
      </c>
      <c r="C275" s="405">
        <v>8528189</v>
      </c>
      <c r="D275" s="405">
        <v>9756829.6899999995</v>
      </c>
      <c r="E275" s="399">
        <v>3238551.33</v>
      </c>
      <c r="H275" s="440" t="s">
        <v>1759</v>
      </c>
      <c r="I275" s="445">
        <v>2009910.64</v>
      </c>
      <c r="J275" s="446">
        <v>8528189</v>
      </c>
      <c r="K275" s="446">
        <v>9756829.6899999995</v>
      </c>
      <c r="L275" s="445">
        <v>3238551.33</v>
      </c>
    </row>
    <row r="276" spans="1:12" ht="15" customHeight="1">
      <c r="A276" s="398" t="s">
        <v>1760</v>
      </c>
      <c r="B276" s="399">
        <v>2794896.64</v>
      </c>
      <c r="C276" s="405">
        <v>9007266</v>
      </c>
      <c r="D276" s="405">
        <v>9397281.0099999998</v>
      </c>
      <c r="E276" s="399">
        <v>3184911.65</v>
      </c>
      <c r="H276" s="440" t="s">
        <v>1760</v>
      </c>
      <c r="I276" s="445">
        <v>2794896.64</v>
      </c>
      <c r="J276" s="446">
        <v>9007266</v>
      </c>
      <c r="K276" s="446">
        <v>9397281.0099999998</v>
      </c>
      <c r="L276" s="445">
        <v>3184911.65</v>
      </c>
    </row>
    <row r="277" spans="1:12" ht="15" customHeight="1">
      <c r="A277" s="398" t="s">
        <v>1761</v>
      </c>
      <c r="B277" s="399">
        <v>105892.77</v>
      </c>
      <c r="C277" s="405">
        <v>11726</v>
      </c>
      <c r="D277" s="400"/>
      <c r="E277" s="399">
        <v>94166.77</v>
      </c>
      <c r="H277" s="440" t="s">
        <v>1761</v>
      </c>
      <c r="I277" s="445">
        <v>105892.77</v>
      </c>
      <c r="J277" s="446">
        <v>11726</v>
      </c>
      <c r="K277" s="442"/>
      <c r="L277" s="445">
        <v>94166.77</v>
      </c>
    </row>
    <row r="278" spans="1:12" ht="15" customHeight="1">
      <c r="A278" s="398" t="s">
        <v>1762</v>
      </c>
      <c r="B278" s="399">
        <v>82604.77</v>
      </c>
      <c r="C278" s="405">
        <v>11726</v>
      </c>
      <c r="D278" s="400"/>
      <c r="E278" s="399">
        <v>70878.77</v>
      </c>
      <c r="H278" s="440" t="s">
        <v>1762</v>
      </c>
      <c r="I278" s="445">
        <v>82604.77</v>
      </c>
      <c r="J278" s="446">
        <v>11726</v>
      </c>
      <c r="K278" s="442"/>
      <c r="L278" s="445">
        <v>70878.77</v>
      </c>
    </row>
    <row r="279" spans="1:12" ht="15" customHeight="1">
      <c r="A279" s="398" t="s">
        <v>1763</v>
      </c>
      <c r="B279" s="399">
        <v>108043.25</v>
      </c>
      <c r="C279" s="405">
        <v>88210</v>
      </c>
      <c r="D279" s="405">
        <v>88200</v>
      </c>
      <c r="E279" s="399">
        <v>108033.25</v>
      </c>
      <c r="H279" s="440" t="s">
        <v>1763</v>
      </c>
      <c r="I279" s="445">
        <v>108043.25</v>
      </c>
      <c r="J279" s="446">
        <v>88210</v>
      </c>
      <c r="K279" s="446">
        <v>88200</v>
      </c>
      <c r="L279" s="445">
        <v>108033.25</v>
      </c>
    </row>
    <row r="280" spans="1:12" ht="15" customHeight="1">
      <c r="A280" s="398" t="s">
        <v>1764</v>
      </c>
      <c r="B280" s="399">
        <v>3626.25</v>
      </c>
      <c r="C280" s="405">
        <v>88210</v>
      </c>
      <c r="D280" s="405">
        <v>88200</v>
      </c>
      <c r="E280" s="399">
        <v>3616.25</v>
      </c>
      <c r="H280" s="440" t="s">
        <v>1764</v>
      </c>
      <c r="I280" s="445">
        <v>3626.25</v>
      </c>
      <c r="J280" s="446">
        <v>88210</v>
      </c>
      <c r="K280" s="446">
        <v>88200</v>
      </c>
      <c r="L280" s="445">
        <v>3616.25</v>
      </c>
    </row>
    <row r="281" spans="1:12" ht="15" customHeight="1">
      <c r="A281" s="398" t="s">
        <v>1765</v>
      </c>
      <c r="B281" s="399">
        <v>108479.47</v>
      </c>
      <c r="C281" s="405">
        <v>128910</v>
      </c>
      <c r="D281" s="405">
        <v>299700</v>
      </c>
      <c r="E281" s="399">
        <v>279269.46999999997</v>
      </c>
      <c r="H281" s="440" t="s">
        <v>1765</v>
      </c>
      <c r="I281" s="445">
        <v>108479.47</v>
      </c>
      <c r="J281" s="446">
        <v>128910</v>
      </c>
      <c r="K281" s="446">
        <v>299700</v>
      </c>
      <c r="L281" s="445">
        <v>279269.46999999997</v>
      </c>
    </row>
    <row r="282" spans="1:12" ht="15" customHeight="1">
      <c r="A282" s="398" t="s">
        <v>1766</v>
      </c>
      <c r="B282" s="399">
        <v>92002.47</v>
      </c>
      <c r="C282" s="405">
        <v>226236</v>
      </c>
      <c r="D282" s="405">
        <v>299700</v>
      </c>
      <c r="E282" s="399">
        <v>165466.47</v>
      </c>
      <c r="H282" s="440" t="s">
        <v>1766</v>
      </c>
      <c r="I282" s="445">
        <v>92002.47</v>
      </c>
      <c r="J282" s="446">
        <v>226236</v>
      </c>
      <c r="K282" s="446">
        <v>299700</v>
      </c>
      <c r="L282" s="445">
        <v>165466.47</v>
      </c>
    </row>
    <row r="283" spans="1:12" ht="15" customHeight="1">
      <c r="A283" s="398" t="s">
        <v>1767</v>
      </c>
      <c r="B283" s="404"/>
      <c r="C283" s="405">
        <v>258205</v>
      </c>
      <c r="D283" s="405">
        <v>529988.76</v>
      </c>
      <c r="E283" s="399">
        <v>271783.76</v>
      </c>
      <c r="H283" s="440" t="s">
        <v>1767</v>
      </c>
      <c r="I283" s="449"/>
      <c r="J283" s="446">
        <v>258205</v>
      </c>
      <c r="K283" s="446">
        <v>529988.76</v>
      </c>
      <c r="L283" s="445">
        <v>271783.76</v>
      </c>
    </row>
    <row r="284" spans="1:12" ht="15" customHeight="1">
      <c r="A284" s="398" t="s">
        <v>1768</v>
      </c>
      <c r="B284" s="404"/>
      <c r="C284" s="405">
        <v>317491</v>
      </c>
      <c r="D284" s="405">
        <v>529988.76</v>
      </c>
      <c r="E284" s="399">
        <v>212497.76</v>
      </c>
      <c r="H284" s="440" t="s">
        <v>1768</v>
      </c>
      <c r="I284" s="449"/>
      <c r="J284" s="446">
        <v>317491</v>
      </c>
      <c r="K284" s="446">
        <v>529988.76</v>
      </c>
      <c r="L284" s="445">
        <v>212497.76</v>
      </c>
    </row>
    <row r="285" spans="1:12" ht="15" customHeight="1">
      <c r="A285" s="398" t="s">
        <v>1769</v>
      </c>
      <c r="B285" s="399">
        <v>115509.31</v>
      </c>
      <c r="C285" s="405">
        <v>663089</v>
      </c>
      <c r="D285" s="405">
        <v>898181.71</v>
      </c>
      <c r="E285" s="399">
        <v>350602.02</v>
      </c>
      <c r="H285" s="440" t="s">
        <v>1769</v>
      </c>
      <c r="I285" s="445">
        <v>115509.31</v>
      </c>
      <c r="J285" s="446">
        <v>663089</v>
      </c>
      <c r="K285" s="446">
        <v>898181.71</v>
      </c>
      <c r="L285" s="445">
        <v>350602.02</v>
      </c>
    </row>
    <row r="286" spans="1:12" ht="15" customHeight="1">
      <c r="A286" s="398" t="s">
        <v>1770</v>
      </c>
      <c r="B286" s="399">
        <v>100272.31</v>
      </c>
      <c r="C286" s="405">
        <v>692634</v>
      </c>
      <c r="D286" s="405">
        <v>898181.71</v>
      </c>
      <c r="E286" s="399">
        <v>305820.02</v>
      </c>
      <c r="H286" s="440" t="s">
        <v>1770</v>
      </c>
      <c r="I286" s="445">
        <v>100272.31</v>
      </c>
      <c r="J286" s="446">
        <v>692634</v>
      </c>
      <c r="K286" s="446">
        <v>898181.71</v>
      </c>
      <c r="L286" s="445">
        <v>305820.02</v>
      </c>
    </row>
    <row r="287" spans="1:12" ht="15" customHeight="1">
      <c r="A287" s="398" t="s">
        <v>1771</v>
      </c>
      <c r="B287" s="399">
        <v>1121839.8500000001</v>
      </c>
      <c r="C287" s="405">
        <v>180858</v>
      </c>
      <c r="D287" s="405">
        <v>766399.01</v>
      </c>
      <c r="E287" s="399">
        <v>1707380.86</v>
      </c>
      <c r="H287" s="440" t="s">
        <v>1771</v>
      </c>
      <c r="I287" s="445">
        <v>1121839.8500000001</v>
      </c>
      <c r="J287" s="446">
        <v>180858</v>
      </c>
      <c r="K287" s="446">
        <v>766399.01</v>
      </c>
      <c r="L287" s="445">
        <v>1707380.86</v>
      </c>
    </row>
    <row r="288" spans="1:12" ht="15" customHeight="1">
      <c r="A288" s="398" t="s">
        <v>1772</v>
      </c>
      <c r="B288" s="399">
        <v>799478.85</v>
      </c>
      <c r="C288" s="405">
        <v>180858</v>
      </c>
      <c r="D288" s="405">
        <v>766399.01</v>
      </c>
      <c r="E288" s="399">
        <v>1385019.86</v>
      </c>
      <c r="H288" s="440" t="s">
        <v>1772</v>
      </c>
      <c r="I288" s="445">
        <v>799478.85</v>
      </c>
      <c r="J288" s="446">
        <v>180858</v>
      </c>
      <c r="K288" s="446">
        <v>766399.01</v>
      </c>
      <c r="L288" s="445">
        <v>1385019.86</v>
      </c>
    </row>
    <row r="289" spans="1:13" ht="15" customHeight="1">
      <c r="A289" s="398" t="s">
        <v>1773</v>
      </c>
      <c r="B289" s="399">
        <v>3969679.46</v>
      </c>
      <c r="C289" s="405">
        <v>5420417</v>
      </c>
      <c r="D289" s="405">
        <v>6608809.46</v>
      </c>
      <c r="E289" s="399">
        <v>5158071.92</v>
      </c>
      <c r="H289" s="440" t="s">
        <v>1773</v>
      </c>
      <c r="I289" s="445">
        <v>3969679.46</v>
      </c>
      <c r="J289" s="446">
        <v>5420417</v>
      </c>
      <c r="K289" s="446">
        <v>6608809.46</v>
      </c>
      <c r="L289" s="445">
        <v>5158071.92</v>
      </c>
    </row>
    <row r="290" spans="1:13" ht="15" customHeight="1">
      <c r="A290" s="398" t="s">
        <v>1774</v>
      </c>
      <c r="B290" s="399">
        <v>4085044.46</v>
      </c>
      <c r="C290" s="405">
        <v>5643681</v>
      </c>
      <c r="D290" s="405">
        <v>7584514.2199999997</v>
      </c>
      <c r="E290" s="399">
        <v>6025877.6799999997</v>
      </c>
      <c r="H290" s="440" t="s">
        <v>1774</v>
      </c>
      <c r="I290" s="445">
        <v>4085044.46</v>
      </c>
      <c r="J290" s="446">
        <v>5643681</v>
      </c>
      <c r="K290" s="446">
        <v>7584514.2199999997</v>
      </c>
      <c r="L290" s="445">
        <v>6025877.6799999997</v>
      </c>
    </row>
    <row r="291" spans="1:13" ht="15" customHeight="1">
      <c r="A291" s="398" t="s">
        <v>1775</v>
      </c>
      <c r="B291" s="406">
        <v>90668.72</v>
      </c>
      <c r="C291" s="405">
        <v>947959</v>
      </c>
      <c r="D291" s="405">
        <v>1813014.36</v>
      </c>
      <c r="E291" s="399">
        <v>774386.64</v>
      </c>
      <c r="H291" s="440" t="s">
        <v>1775</v>
      </c>
      <c r="I291" s="441">
        <v>90668.72</v>
      </c>
      <c r="J291" s="446">
        <v>947959</v>
      </c>
      <c r="K291" s="446">
        <v>1813014.36</v>
      </c>
      <c r="L291" s="445">
        <v>774386.64</v>
      </c>
    </row>
    <row r="292" spans="1:13" ht="15" customHeight="1">
      <c r="A292" s="398" t="s">
        <v>1776</v>
      </c>
      <c r="B292" s="406">
        <v>162460.72</v>
      </c>
      <c r="C292" s="405">
        <v>949056</v>
      </c>
      <c r="D292" s="405">
        <v>1813014.36</v>
      </c>
      <c r="E292" s="399">
        <v>701497.64</v>
      </c>
      <c r="H292" s="440" t="s">
        <v>1776</v>
      </c>
      <c r="I292" s="441">
        <v>162460.72</v>
      </c>
      <c r="J292" s="446">
        <v>949056</v>
      </c>
      <c r="K292" s="446">
        <v>1813014.36</v>
      </c>
      <c r="L292" s="445">
        <v>701497.64</v>
      </c>
    </row>
    <row r="293" spans="1:13" ht="15" customHeight="1">
      <c r="A293" s="398"/>
      <c r="B293" s="406"/>
      <c r="C293" s="405"/>
      <c r="D293" s="405"/>
      <c r="E293" s="399"/>
      <c r="H293" s="440"/>
      <c r="I293" s="441"/>
      <c r="J293" s="446"/>
      <c r="K293" s="446"/>
      <c r="L293" s="445"/>
    </row>
    <row r="294" spans="1:13" ht="15" customHeight="1">
      <c r="A294" s="398"/>
      <c r="B294" s="406"/>
      <c r="C294" s="405"/>
      <c r="D294" s="405"/>
      <c r="E294" s="399"/>
      <c r="H294" s="440"/>
      <c r="I294" s="441"/>
      <c r="J294" s="446"/>
      <c r="K294" s="446"/>
      <c r="L294" s="445"/>
    </row>
    <row r="295" spans="1:13" ht="15" customHeight="1">
      <c r="A295" s="415" t="s">
        <v>134</v>
      </c>
      <c r="B295" s="403">
        <v>117150</v>
      </c>
      <c r="C295" s="408"/>
      <c r="D295" s="408"/>
      <c r="E295" s="403">
        <v>117150</v>
      </c>
      <c r="F295" t="s">
        <v>2205</v>
      </c>
      <c r="H295" s="461" t="s">
        <v>134</v>
      </c>
      <c r="I295" s="452">
        <v>117150</v>
      </c>
      <c r="J295" s="448"/>
      <c r="K295" s="448"/>
      <c r="L295" s="452">
        <v>117150</v>
      </c>
      <c r="M295" t="s">
        <v>2205</v>
      </c>
    </row>
    <row r="296" spans="1:13" ht="15" customHeight="1">
      <c r="A296" s="398" t="s">
        <v>135</v>
      </c>
      <c r="B296" s="406">
        <v>116150</v>
      </c>
      <c r="C296" s="400"/>
      <c r="D296" s="400"/>
      <c r="E296" s="406">
        <v>116150</v>
      </c>
      <c r="H296" s="440" t="s">
        <v>135</v>
      </c>
      <c r="I296" s="441">
        <v>116150</v>
      </c>
      <c r="J296" s="442"/>
      <c r="K296" s="442"/>
      <c r="L296" s="441">
        <v>116150</v>
      </c>
    </row>
    <row r="297" spans="1:13" ht="15" customHeight="1">
      <c r="A297" s="398" t="s">
        <v>136</v>
      </c>
      <c r="B297" s="406">
        <v>1000</v>
      </c>
      <c r="C297" s="400"/>
      <c r="D297" s="400"/>
      <c r="E297" s="406">
        <v>1000</v>
      </c>
      <c r="H297" s="440" t="s">
        <v>136</v>
      </c>
      <c r="I297" s="441">
        <v>1000</v>
      </c>
      <c r="J297" s="442"/>
      <c r="K297" s="442"/>
      <c r="L297" s="441">
        <v>1000</v>
      </c>
    </row>
    <row r="298" spans="1:13" ht="15" customHeight="1">
      <c r="A298" s="398"/>
      <c r="B298" s="406"/>
      <c r="C298" s="400"/>
      <c r="D298" s="400"/>
      <c r="E298" s="406"/>
      <c r="H298" s="440"/>
      <c r="I298" s="441"/>
      <c r="J298" s="442"/>
      <c r="K298" s="442"/>
      <c r="L298" s="441"/>
    </row>
    <row r="299" spans="1:13" ht="15" customHeight="1">
      <c r="A299" s="398"/>
      <c r="B299" s="406"/>
      <c r="C299" s="400"/>
      <c r="D299" s="400"/>
      <c r="E299" s="406"/>
      <c r="H299" s="440"/>
      <c r="I299" s="441"/>
      <c r="J299" s="442"/>
      <c r="K299" s="442"/>
      <c r="L299" s="441"/>
    </row>
    <row r="300" spans="1:13" ht="15" customHeight="1">
      <c r="A300" s="415" t="s">
        <v>137</v>
      </c>
      <c r="B300" s="403">
        <v>61390310.049999997</v>
      </c>
      <c r="C300" s="402">
        <v>35028086.789999999</v>
      </c>
      <c r="D300" s="402">
        <v>27479910.239999998</v>
      </c>
      <c r="E300" s="403">
        <v>68938486.599999994</v>
      </c>
      <c r="F300" t="s">
        <v>2205</v>
      </c>
      <c r="H300" s="461" t="s">
        <v>137</v>
      </c>
      <c r="I300" s="452">
        <v>61390310.049999997</v>
      </c>
      <c r="J300" s="444">
        <v>35028086.789999999</v>
      </c>
      <c r="K300" s="444">
        <v>27479910.239999998</v>
      </c>
      <c r="L300" s="452">
        <v>68938486.599999994</v>
      </c>
      <c r="M300" t="s">
        <v>2205</v>
      </c>
    </row>
    <row r="301" spans="1:13" ht="15" customHeight="1">
      <c r="A301" s="410" t="s">
        <v>29</v>
      </c>
      <c r="B301" s="411">
        <v>44177292.170000002</v>
      </c>
      <c r="C301" s="405">
        <v>18665100.789999999</v>
      </c>
      <c r="D301" s="405">
        <v>12107461.24</v>
      </c>
      <c r="E301" s="411">
        <v>50734931.719999999</v>
      </c>
      <c r="H301" s="462" t="s">
        <v>29</v>
      </c>
      <c r="I301" s="463">
        <v>44177292.170000002</v>
      </c>
      <c r="J301" s="446">
        <v>18665100.789999999</v>
      </c>
      <c r="K301" s="446">
        <v>12107461.24</v>
      </c>
      <c r="L301" s="463">
        <v>50734931.719999999</v>
      </c>
    </row>
    <row r="302" spans="1:13" ht="15" customHeight="1">
      <c r="A302" s="410" t="s">
        <v>138</v>
      </c>
      <c r="B302" s="411">
        <v>8347405.5300000003</v>
      </c>
      <c r="C302" s="405">
        <v>6923099</v>
      </c>
      <c r="D302" s="405">
        <v>6409412</v>
      </c>
      <c r="E302" s="411">
        <v>8861092.5299999993</v>
      </c>
      <c r="H302" s="462" t="s">
        <v>138</v>
      </c>
      <c r="I302" s="463">
        <v>8347405.5300000003</v>
      </c>
      <c r="J302" s="446">
        <v>6923099</v>
      </c>
      <c r="K302" s="446">
        <v>6409412</v>
      </c>
      <c r="L302" s="463">
        <v>8861092.5299999993</v>
      </c>
    </row>
    <row r="303" spans="1:13" ht="15" customHeight="1">
      <c r="A303" s="398" t="s">
        <v>139</v>
      </c>
      <c r="B303" s="406">
        <v>5816000</v>
      </c>
      <c r="C303" s="405">
        <v>6136000</v>
      </c>
      <c r="D303" s="405">
        <v>5816000</v>
      </c>
      <c r="E303" s="406">
        <v>6136000</v>
      </c>
      <c r="H303" s="440" t="s">
        <v>139</v>
      </c>
      <c r="I303" s="441">
        <v>5816000</v>
      </c>
      <c r="J303" s="446">
        <v>6136000</v>
      </c>
      <c r="K303" s="446">
        <v>5816000</v>
      </c>
      <c r="L303" s="441">
        <v>6136000</v>
      </c>
    </row>
    <row r="304" spans="1:13" ht="15" customHeight="1">
      <c r="A304" s="398" t="s">
        <v>140</v>
      </c>
      <c r="B304" s="406">
        <v>40000</v>
      </c>
      <c r="C304" s="400"/>
      <c r="D304" s="400"/>
      <c r="E304" s="406">
        <v>40000</v>
      </c>
      <c r="H304" s="440" t="s">
        <v>140</v>
      </c>
      <c r="I304" s="441">
        <v>40000</v>
      </c>
      <c r="J304" s="442"/>
      <c r="K304" s="442"/>
      <c r="L304" s="441">
        <v>40000</v>
      </c>
    </row>
    <row r="305" spans="1:13" ht="15" customHeight="1">
      <c r="A305" s="398" t="s">
        <v>923</v>
      </c>
      <c r="B305" s="406">
        <v>48000</v>
      </c>
      <c r="C305" s="400"/>
      <c r="D305" s="400"/>
      <c r="E305" s="406">
        <v>48000</v>
      </c>
      <c r="H305" s="440" t="s">
        <v>923</v>
      </c>
      <c r="I305" s="441">
        <v>48000</v>
      </c>
      <c r="J305" s="442"/>
      <c r="K305" s="442"/>
      <c r="L305" s="441">
        <v>48000</v>
      </c>
    </row>
    <row r="306" spans="1:13" ht="15" customHeight="1">
      <c r="A306" s="398" t="s">
        <v>141</v>
      </c>
      <c r="B306" s="406">
        <v>1010115</v>
      </c>
      <c r="C306" s="405">
        <v>1175000</v>
      </c>
      <c r="D306" s="405">
        <v>1269415</v>
      </c>
      <c r="E306" s="406">
        <v>915700</v>
      </c>
      <c r="H306" s="440" t="s">
        <v>141</v>
      </c>
      <c r="I306" s="441">
        <v>1010115</v>
      </c>
      <c r="J306" s="446">
        <v>1175000</v>
      </c>
      <c r="K306" s="446">
        <v>1269415</v>
      </c>
      <c r="L306" s="441">
        <v>915700</v>
      </c>
    </row>
    <row r="307" spans="1:13" ht="15" customHeight="1">
      <c r="A307" s="398" t="s">
        <v>142</v>
      </c>
      <c r="B307" s="406">
        <v>9530</v>
      </c>
      <c r="C307" s="400"/>
      <c r="D307" s="400"/>
      <c r="E307" s="406">
        <v>9530</v>
      </c>
      <c r="H307" s="440" t="s">
        <v>142</v>
      </c>
      <c r="I307" s="441">
        <v>9530</v>
      </c>
      <c r="J307" s="442"/>
      <c r="K307" s="442"/>
      <c r="L307" s="441">
        <v>9530</v>
      </c>
    </row>
    <row r="308" spans="1:13" ht="15" customHeight="1">
      <c r="A308" s="398" t="s">
        <v>143</v>
      </c>
      <c r="B308" s="406">
        <v>586400</v>
      </c>
      <c r="C308" s="405">
        <v>322326</v>
      </c>
      <c r="D308" s="405">
        <v>164800</v>
      </c>
      <c r="E308" s="406">
        <v>743926</v>
      </c>
      <c r="H308" s="440" t="s">
        <v>143</v>
      </c>
      <c r="I308" s="441">
        <v>586400</v>
      </c>
      <c r="J308" s="446">
        <v>322326</v>
      </c>
      <c r="K308" s="446">
        <v>164800</v>
      </c>
      <c r="L308" s="441">
        <v>743926</v>
      </c>
    </row>
    <row r="309" spans="1:13" ht="15" customHeight="1">
      <c r="A309" s="398" t="s">
        <v>144</v>
      </c>
      <c r="B309" s="406">
        <v>5500</v>
      </c>
      <c r="C309" s="400"/>
      <c r="D309" s="400"/>
      <c r="E309" s="406">
        <v>5500</v>
      </c>
      <c r="H309" s="440" t="s">
        <v>144</v>
      </c>
      <c r="I309" s="441">
        <v>5500</v>
      </c>
      <c r="J309" s="442"/>
      <c r="K309" s="442"/>
      <c r="L309" s="441">
        <v>5500</v>
      </c>
    </row>
    <row r="310" spans="1:13" ht="15" customHeight="1">
      <c r="A310" s="398" t="s">
        <v>145</v>
      </c>
      <c r="B310" s="406">
        <v>286113</v>
      </c>
      <c r="C310" s="400"/>
      <c r="D310" s="400"/>
      <c r="E310" s="406">
        <v>286113</v>
      </c>
      <c r="H310" s="440" t="s">
        <v>145</v>
      </c>
      <c r="I310" s="441">
        <v>286113</v>
      </c>
      <c r="J310" s="442"/>
      <c r="K310" s="442"/>
      <c r="L310" s="441">
        <v>286113</v>
      </c>
    </row>
    <row r="311" spans="1:13" ht="15" customHeight="1">
      <c r="A311" s="398" t="s">
        <v>146</v>
      </c>
      <c r="B311" s="406">
        <v>13150</v>
      </c>
      <c r="C311" s="400"/>
      <c r="D311" s="400"/>
      <c r="E311" s="406">
        <v>13150</v>
      </c>
      <c r="H311" s="440" t="s">
        <v>146</v>
      </c>
      <c r="I311" s="441">
        <v>13150</v>
      </c>
      <c r="J311" s="442"/>
      <c r="K311" s="442"/>
      <c r="L311" s="441">
        <v>13150</v>
      </c>
    </row>
    <row r="312" spans="1:13" ht="15" customHeight="1">
      <c r="A312" s="398" t="s">
        <v>147</v>
      </c>
      <c r="B312" s="406">
        <v>441587</v>
      </c>
      <c r="C312" s="405">
        <v>370500</v>
      </c>
      <c r="D312" s="405">
        <v>201500</v>
      </c>
      <c r="E312" s="406">
        <v>610587</v>
      </c>
      <c r="H312" s="440" t="s">
        <v>147</v>
      </c>
      <c r="I312" s="441">
        <v>441587</v>
      </c>
      <c r="J312" s="446">
        <v>370500</v>
      </c>
      <c r="K312" s="446">
        <v>201500</v>
      </c>
      <c r="L312" s="441">
        <v>610587</v>
      </c>
    </row>
    <row r="313" spans="1:13" ht="15" customHeight="1">
      <c r="A313" s="398" t="s">
        <v>148</v>
      </c>
      <c r="B313" s="406">
        <v>328640.34999999998</v>
      </c>
      <c r="C313" s="400"/>
      <c r="D313" s="400"/>
      <c r="E313" s="406">
        <v>328640.34999999998</v>
      </c>
      <c r="H313" s="440" t="s">
        <v>148</v>
      </c>
      <c r="I313" s="441">
        <v>328640.34999999998</v>
      </c>
      <c r="J313" s="442"/>
      <c r="K313" s="442"/>
      <c r="L313" s="441">
        <v>328640.34999999998</v>
      </c>
    </row>
    <row r="314" spans="1:13" ht="15" customHeight="1">
      <c r="A314" s="398" t="s">
        <v>149</v>
      </c>
      <c r="B314" s="406">
        <v>251995</v>
      </c>
      <c r="C314" s="405">
        <v>1436061</v>
      </c>
      <c r="D314" s="405">
        <v>1511322</v>
      </c>
      <c r="E314" s="406">
        <v>176734</v>
      </c>
      <c r="H314" s="440" t="s">
        <v>149</v>
      </c>
      <c r="I314" s="441">
        <v>251995</v>
      </c>
      <c r="J314" s="446">
        <v>1436061</v>
      </c>
      <c r="K314" s="446">
        <v>1511322</v>
      </c>
      <c r="L314" s="441">
        <v>176734</v>
      </c>
    </row>
    <row r="315" spans="1:13" ht="15" customHeight="1">
      <c r="A315" s="398" t="s">
        <v>150</v>
      </c>
      <c r="B315" s="406">
        <v>28582</v>
      </c>
      <c r="C315" s="400"/>
      <c r="D315" s="400"/>
      <c r="E315" s="406">
        <v>28582</v>
      </c>
      <c r="H315" s="440" t="s">
        <v>150</v>
      </c>
      <c r="I315" s="441">
        <v>28582</v>
      </c>
      <c r="J315" s="442"/>
      <c r="K315" s="442"/>
      <c r="L315" s="441">
        <v>28582</v>
      </c>
    </row>
    <row r="316" spans="1:13" ht="15" customHeight="1">
      <c r="A316" s="398"/>
      <c r="B316" s="406"/>
      <c r="C316" s="400"/>
      <c r="D316" s="400"/>
      <c r="E316" s="406"/>
      <c r="H316" s="440"/>
      <c r="I316" s="441"/>
      <c r="J316" s="442"/>
      <c r="K316" s="442"/>
      <c r="L316" s="441"/>
    </row>
    <row r="317" spans="1:13" ht="15" customHeight="1">
      <c r="A317" s="398"/>
      <c r="B317" s="406"/>
      <c r="C317" s="400"/>
      <c r="D317" s="400"/>
      <c r="E317" s="406"/>
      <c r="H317" s="440"/>
      <c r="I317" s="441"/>
      <c r="J317" s="442"/>
      <c r="K317" s="442"/>
      <c r="L317" s="441"/>
    </row>
    <row r="318" spans="1:13" ht="15" customHeight="1">
      <c r="A318" s="415" t="s">
        <v>151</v>
      </c>
      <c r="B318" s="401">
        <v>242232701.06</v>
      </c>
      <c r="C318" s="402">
        <v>17233283</v>
      </c>
      <c r="D318" s="408"/>
      <c r="E318" s="401">
        <v>224999418.06</v>
      </c>
      <c r="F318" t="s">
        <v>2205</v>
      </c>
      <c r="H318" s="461" t="s">
        <v>151</v>
      </c>
      <c r="I318" s="443">
        <v>242232701.06</v>
      </c>
      <c r="J318" s="444">
        <v>17233283</v>
      </c>
      <c r="K318" s="448"/>
      <c r="L318" s="443">
        <v>224999418.06</v>
      </c>
      <c r="M318" t="s">
        <v>2205</v>
      </c>
    </row>
    <row r="319" spans="1:13">
      <c r="A319" s="398" t="s">
        <v>152</v>
      </c>
      <c r="B319" s="406">
        <v>87556385</v>
      </c>
      <c r="C319" s="405">
        <v>14294920</v>
      </c>
      <c r="D319" s="400"/>
      <c r="E319" s="406">
        <v>101851305</v>
      </c>
      <c r="H319" s="440" t="s">
        <v>152</v>
      </c>
      <c r="I319" s="441">
        <v>87556385</v>
      </c>
      <c r="J319" s="446">
        <v>14294920</v>
      </c>
      <c r="K319" s="442"/>
      <c r="L319" s="441">
        <v>101851305</v>
      </c>
    </row>
    <row r="320" spans="1:13">
      <c r="A320" s="398" t="s">
        <v>153</v>
      </c>
      <c r="B320" s="406">
        <v>15444566</v>
      </c>
      <c r="C320" s="405">
        <v>2938363</v>
      </c>
      <c r="D320" s="400"/>
      <c r="E320" s="406">
        <v>18382929</v>
      </c>
      <c r="H320" s="440" t="s">
        <v>153</v>
      </c>
      <c r="I320" s="441">
        <v>15444566</v>
      </c>
      <c r="J320" s="446">
        <v>2938363</v>
      </c>
      <c r="K320" s="442"/>
      <c r="L320" s="441">
        <v>18382929</v>
      </c>
    </row>
    <row r="321" spans="1:13">
      <c r="A321" s="398" t="s">
        <v>154</v>
      </c>
      <c r="B321" s="399">
        <v>44374031.420000002</v>
      </c>
      <c r="C321" s="400"/>
      <c r="D321" s="400"/>
      <c r="E321" s="399">
        <v>44374031.420000002</v>
      </c>
      <c r="H321" s="440" t="s">
        <v>154</v>
      </c>
      <c r="I321" s="445">
        <v>44374031.420000002</v>
      </c>
      <c r="J321" s="442"/>
      <c r="K321" s="442"/>
      <c r="L321" s="445">
        <v>44374031.420000002</v>
      </c>
    </row>
    <row r="322" spans="1:13">
      <c r="A322" s="398" t="s">
        <v>155</v>
      </c>
      <c r="B322" s="399">
        <v>300859620.63999999</v>
      </c>
      <c r="C322" s="400"/>
      <c r="D322" s="400"/>
      <c r="E322" s="399">
        <v>300859620.63999999</v>
      </c>
      <c r="H322" s="440" t="s">
        <v>155</v>
      </c>
      <c r="I322" s="445">
        <v>300859620.63999999</v>
      </c>
      <c r="J322" s="442"/>
      <c r="K322" s="442"/>
      <c r="L322" s="445">
        <v>300859620.63999999</v>
      </c>
    </row>
    <row r="323" spans="1:13">
      <c r="A323" s="398"/>
      <c r="B323" s="399"/>
      <c r="C323" s="400"/>
      <c r="D323" s="400"/>
      <c r="E323" s="399"/>
      <c r="H323" s="440"/>
      <c r="I323" s="445"/>
      <c r="J323" s="442"/>
      <c r="K323" s="442"/>
      <c r="L323" s="445"/>
    </row>
    <row r="324" spans="1:13">
      <c r="A324" s="398"/>
      <c r="B324" s="399"/>
      <c r="C324" s="400"/>
      <c r="D324" s="400"/>
      <c r="E324" s="399"/>
      <c r="H324" s="440"/>
      <c r="I324" s="445"/>
      <c r="J324" s="442"/>
      <c r="K324" s="442"/>
      <c r="L324" s="445"/>
    </row>
    <row r="325" spans="1:13">
      <c r="A325" s="415" t="s">
        <v>159</v>
      </c>
      <c r="B325" s="403">
        <v>22225000</v>
      </c>
      <c r="C325" s="408"/>
      <c r="D325" s="408"/>
      <c r="E325" s="403">
        <v>22225000</v>
      </c>
      <c r="F325" t="s">
        <v>2205</v>
      </c>
      <c r="H325" s="461" t="s">
        <v>159</v>
      </c>
      <c r="I325" s="452">
        <v>22225000</v>
      </c>
      <c r="J325" s="448"/>
      <c r="K325" s="448"/>
      <c r="L325" s="452">
        <v>22225000</v>
      </c>
      <c r="M325" t="s">
        <v>2205</v>
      </c>
    </row>
    <row r="326" spans="1:13">
      <c r="A326" s="398" t="s">
        <v>1223</v>
      </c>
      <c r="B326" s="406">
        <v>22225000</v>
      </c>
      <c r="C326" s="400"/>
      <c r="D326" s="400"/>
      <c r="E326" s="406">
        <v>22225000</v>
      </c>
      <c r="H326" s="440" t="s">
        <v>1223</v>
      </c>
      <c r="I326" s="441">
        <v>22225000</v>
      </c>
      <c r="J326" s="442"/>
      <c r="K326" s="442"/>
      <c r="L326" s="441">
        <v>22225000</v>
      </c>
    </row>
    <row r="327" spans="1:13">
      <c r="A327" s="418" t="s">
        <v>74</v>
      </c>
      <c r="B327" s="417">
        <v>234908838.28999999</v>
      </c>
      <c r="C327" s="404"/>
      <c r="D327" s="404"/>
      <c r="E327" s="417">
        <v>234908838.28999999</v>
      </c>
      <c r="H327" s="465" t="s">
        <v>74</v>
      </c>
      <c r="I327" s="464">
        <v>234908838.28999999</v>
      </c>
      <c r="J327" s="449"/>
      <c r="K327" s="449"/>
      <c r="L327" s="464">
        <v>234908838.28999999</v>
      </c>
    </row>
    <row r="328" spans="1:13">
      <c r="A328" s="419" t="s">
        <v>75</v>
      </c>
      <c r="B328" s="420"/>
      <c r="C328" s="421">
        <v>2017458651.1099999</v>
      </c>
      <c r="D328" s="421">
        <v>2017458651.1099999</v>
      </c>
      <c r="E328" s="420"/>
      <c r="H328" s="455" t="s">
        <v>75</v>
      </c>
      <c r="I328" s="456"/>
      <c r="J328" s="457">
        <v>2017458651.1099999</v>
      </c>
      <c r="K328" s="457">
        <v>2017458651.1099999</v>
      </c>
      <c r="L328" s="456"/>
    </row>
    <row r="572" ht="19.5" customHeight="1"/>
    <row r="573" ht="13.35" customHeight="1"/>
    <row r="575" ht="12.6" customHeight="1"/>
    <row r="576" ht="18.75" customHeight="1"/>
    <row r="586" ht="13.35" customHeight="1"/>
    <row r="587" ht="9.75" customHeight="1"/>
    <row r="905" ht="19.5" customHeight="1"/>
    <row r="922" ht="13.35" customHeight="1"/>
    <row r="931" ht="9" customHeight="1"/>
    <row r="932" ht="12.6" customHeight="1"/>
    <row r="933" ht="17.100000000000001" customHeight="1"/>
  </sheetData>
  <mergeCells count="20">
    <mergeCell ref="H7:J7"/>
    <mergeCell ref="I8:L8"/>
    <mergeCell ref="I9:L9"/>
    <mergeCell ref="J12:K12"/>
    <mergeCell ref="H1:J1"/>
    <mergeCell ref="H2:J2"/>
    <mergeCell ref="H3:J3"/>
    <mergeCell ref="H4:L4"/>
    <mergeCell ref="H5:L5"/>
    <mergeCell ref="H6:K6"/>
    <mergeCell ref="A7:C7"/>
    <mergeCell ref="B8:E8"/>
    <mergeCell ref="B9:E9"/>
    <mergeCell ref="C10:D10"/>
    <mergeCell ref="A1:C1"/>
    <mergeCell ref="A2:C2"/>
    <mergeCell ref="A3:C3"/>
    <mergeCell ref="A4:E4"/>
    <mergeCell ref="A5:E5"/>
    <mergeCell ref="A6:D6"/>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747"/>
  <sheetViews>
    <sheetView zoomScale="115" zoomScaleNormal="115" workbookViewId="0">
      <selection activeCell="E16" sqref="E16"/>
    </sheetView>
  </sheetViews>
  <sheetFormatPr defaultRowHeight="14.4"/>
  <cols>
    <col min="1" max="1" width="38.5546875" bestFit="1" customWidth="1"/>
    <col min="2" max="2" width="15.44140625" bestFit="1" customWidth="1"/>
    <col min="3" max="4" width="14.44140625" bestFit="1" customWidth="1"/>
    <col min="5" max="5" width="15.44140625" bestFit="1" customWidth="1"/>
    <col min="6" max="6" width="14.44140625" bestFit="1" customWidth="1"/>
    <col min="7" max="7" width="12" bestFit="1" customWidth="1"/>
    <col min="12" max="12" width="12.5546875" bestFit="1" customWidth="1"/>
    <col min="13" max="13" width="11.5546875" bestFit="1" customWidth="1"/>
    <col min="14" max="14" width="15.5546875" bestFit="1" customWidth="1"/>
  </cols>
  <sheetData>
    <row r="1" spans="1:7" ht="15.6">
      <c r="A1" s="3243" t="s">
        <v>1844</v>
      </c>
      <c r="B1" s="3243"/>
      <c r="C1" s="3243"/>
      <c r="D1" s="467"/>
      <c r="E1" s="467"/>
    </row>
    <row r="2" spans="1:7" ht="15.6">
      <c r="A2" s="3243" t="s">
        <v>81</v>
      </c>
      <c r="B2" s="3243"/>
      <c r="C2" s="3243"/>
      <c r="D2" s="467"/>
      <c r="E2" s="467"/>
    </row>
    <row r="3" spans="1:7">
      <c r="A3" s="3244" t="s">
        <v>2177</v>
      </c>
      <c r="B3" s="3244"/>
      <c r="C3" s="3244"/>
      <c r="D3" s="467"/>
      <c r="E3" s="467"/>
    </row>
    <row r="4" spans="1:7">
      <c r="A4" s="3245" t="s">
        <v>82</v>
      </c>
      <c r="B4" s="3245"/>
      <c r="C4" s="3245"/>
      <c r="D4" s="3245"/>
      <c r="E4" s="3245"/>
    </row>
    <row r="5" spans="1:7">
      <c r="A5" s="3246" t="s">
        <v>1</v>
      </c>
      <c r="B5" s="3247"/>
      <c r="C5" s="3247"/>
      <c r="D5" s="3247"/>
      <c r="E5" s="3247"/>
    </row>
    <row r="6" spans="1:7">
      <c r="A6" s="3248" t="s">
        <v>82</v>
      </c>
      <c r="B6" s="3249"/>
      <c r="C6" s="3249"/>
      <c r="D6" s="3250"/>
      <c r="E6" s="500" t="s">
        <v>1333</v>
      </c>
    </row>
    <row r="7" spans="1:7">
      <c r="A7" s="3232" t="s">
        <v>82</v>
      </c>
      <c r="B7" s="3233"/>
      <c r="C7" s="3234"/>
      <c r="D7" s="468" t="s">
        <v>67</v>
      </c>
      <c r="E7" s="496" t="s">
        <v>1196</v>
      </c>
    </row>
    <row r="8" spans="1:7">
      <c r="A8" s="489" t="s">
        <v>84</v>
      </c>
      <c r="B8" s="3235">
        <v>7147460</v>
      </c>
      <c r="C8" s="3236"/>
      <c r="D8" s="3236"/>
      <c r="E8" s="3237"/>
      <c r="F8" t="s">
        <v>2205</v>
      </c>
    </row>
    <row r="9" spans="1:7">
      <c r="A9" s="497" t="s">
        <v>85</v>
      </c>
      <c r="B9" s="3238">
        <v>7147460</v>
      </c>
      <c r="C9" s="3239"/>
      <c r="D9" s="3239"/>
      <c r="E9" s="3240"/>
    </row>
    <row r="10" spans="1:7">
      <c r="A10" s="490" t="s">
        <v>86</v>
      </c>
      <c r="B10" s="501">
        <v>18797156.25</v>
      </c>
      <c r="C10" s="3241">
        <v>210916154.09999999</v>
      </c>
      <c r="D10" s="3242"/>
      <c r="E10" s="491">
        <v>816738.1</v>
      </c>
      <c r="G10" s="100"/>
    </row>
    <row r="11" spans="1:7">
      <c r="A11" s="482" t="s">
        <v>946</v>
      </c>
      <c r="B11" s="512"/>
      <c r="C11" s="503"/>
      <c r="D11" s="503"/>
      <c r="E11" s="528"/>
      <c r="G11" s="100"/>
    </row>
    <row r="12" spans="1:7">
      <c r="A12" s="482"/>
      <c r="B12" s="512"/>
      <c r="C12" s="503"/>
      <c r="D12" s="503"/>
      <c r="E12" s="528"/>
      <c r="G12" s="100"/>
    </row>
    <row r="13" spans="1:7">
      <c r="A13" s="2" t="s">
        <v>557</v>
      </c>
      <c r="B13" s="199">
        <v>938288.93</v>
      </c>
      <c r="C13" s="104">
        <v>525000</v>
      </c>
      <c r="D13" s="104">
        <v>562000</v>
      </c>
      <c r="E13" s="513">
        <v>975288.93</v>
      </c>
      <c r="F13" t="s">
        <v>2219</v>
      </c>
      <c r="G13" s="100"/>
    </row>
    <row r="14" spans="1:7">
      <c r="A14" s="2" t="s">
        <v>2210</v>
      </c>
      <c r="B14" s="95"/>
      <c r="C14" s="104">
        <v>83200</v>
      </c>
      <c r="D14" s="104">
        <v>83200</v>
      </c>
      <c r="E14" s="95"/>
      <c r="G14" s="100"/>
    </row>
    <row r="15" spans="1:7">
      <c r="A15" s="2" t="s">
        <v>2211</v>
      </c>
      <c r="B15" s="95"/>
      <c r="C15" s="104">
        <v>297450</v>
      </c>
      <c r="D15" s="104">
        <v>295175</v>
      </c>
      <c r="E15" s="198">
        <v>2275</v>
      </c>
      <c r="F15" t="s">
        <v>2216</v>
      </c>
      <c r="G15" s="100"/>
    </row>
    <row r="16" spans="1:7">
      <c r="A16" s="2" t="s">
        <v>1889</v>
      </c>
      <c r="B16" s="199">
        <v>12154</v>
      </c>
      <c r="C16" s="104">
        <v>215141</v>
      </c>
      <c r="D16" s="104">
        <v>202987</v>
      </c>
      <c r="E16" s="95"/>
      <c r="F16" t="s">
        <v>2216</v>
      </c>
      <c r="G16" s="100"/>
    </row>
    <row r="17" spans="1:7">
      <c r="A17" s="2" t="s">
        <v>1294</v>
      </c>
      <c r="B17" s="199">
        <v>8000</v>
      </c>
      <c r="C17" s="104">
        <v>8000</v>
      </c>
      <c r="D17" s="96"/>
      <c r="E17" s="95"/>
      <c r="F17" t="s">
        <v>2216</v>
      </c>
      <c r="G17" s="100"/>
    </row>
    <row r="18" spans="1:7">
      <c r="A18" s="2" t="s">
        <v>1890</v>
      </c>
      <c r="B18" s="95"/>
      <c r="C18" s="104">
        <v>663248</v>
      </c>
      <c r="D18" s="104">
        <v>488248</v>
      </c>
      <c r="E18" s="198">
        <v>175000</v>
      </c>
      <c r="F18" t="s">
        <v>2216</v>
      </c>
      <c r="G18" s="100"/>
    </row>
    <row r="19" spans="1:7">
      <c r="A19" s="2" t="s">
        <v>1891</v>
      </c>
      <c r="B19" s="95"/>
      <c r="C19" s="104">
        <v>28945</v>
      </c>
      <c r="D19" s="104">
        <v>28945</v>
      </c>
      <c r="E19" s="95"/>
      <c r="G19" s="100"/>
    </row>
    <row r="20" spans="1:7">
      <c r="A20" s="2" t="s">
        <v>2212</v>
      </c>
      <c r="B20" s="199">
        <v>2860000</v>
      </c>
      <c r="C20" s="104">
        <v>2860000</v>
      </c>
      <c r="D20" s="96"/>
      <c r="E20" s="95"/>
      <c r="F20">
        <v>0</v>
      </c>
      <c r="G20" s="100"/>
    </row>
    <row r="21" spans="1:7">
      <c r="A21" s="2" t="s">
        <v>1892</v>
      </c>
      <c r="B21" s="198">
        <v>500045</v>
      </c>
      <c r="C21" s="104">
        <v>737726</v>
      </c>
      <c r="D21" s="104">
        <v>1230705</v>
      </c>
      <c r="E21" s="198">
        <v>7066</v>
      </c>
      <c r="F21" t="s">
        <v>2216</v>
      </c>
      <c r="G21" s="515" t="s">
        <v>1575</v>
      </c>
    </row>
    <row r="22" spans="1:7">
      <c r="A22" s="2" t="s">
        <v>1670</v>
      </c>
      <c r="B22" s="95"/>
      <c r="C22" s="104">
        <v>37800</v>
      </c>
      <c r="D22" s="104">
        <v>37800</v>
      </c>
      <c r="E22" s="95"/>
      <c r="G22" s="100"/>
    </row>
    <row r="23" spans="1:7">
      <c r="A23" s="2" t="s">
        <v>969</v>
      </c>
      <c r="B23" s="199">
        <v>144197</v>
      </c>
      <c r="C23" s="104">
        <v>234633</v>
      </c>
      <c r="D23" s="104">
        <v>319468</v>
      </c>
      <c r="E23" s="513">
        <v>229032</v>
      </c>
      <c r="F23" t="s">
        <v>2216</v>
      </c>
      <c r="G23" s="100"/>
    </row>
    <row r="24" spans="1:7">
      <c r="A24" s="2" t="s">
        <v>1381</v>
      </c>
      <c r="B24" s="199">
        <v>3845</v>
      </c>
      <c r="C24" s="104">
        <v>28650</v>
      </c>
      <c r="D24" s="104">
        <v>28650</v>
      </c>
      <c r="E24" s="513">
        <v>3845</v>
      </c>
      <c r="F24" t="s">
        <v>2216</v>
      </c>
      <c r="G24" s="100"/>
    </row>
    <row r="25" spans="1:7">
      <c r="A25" s="2" t="s">
        <v>1893</v>
      </c>
      <c r="B25" s="198">
        <v>100000</v>
      </c>
      <c r="C25" s="104">
        <v>770920</v>
      </c>
      <c r="D25" s="104">
        <v>1149320</v>
      </c>
      <c r="E25" s="199">
        <v>278400</v>
      </c>
      <c r="F25" s="515" t="s">
        <v>1575</v>
      </c>
      <c r="G25" s="515" t="s">
        <v>1575</v>
      </c>
    </row>
    <row r="26" spans="1:7">
      <c r="A26" s="2" t="s">
        <v>563</v>
      </c>
      <c r="B26" s="199">
        <v>21700</v>
      </c>
      <c r="C26" s="104">
        <v>158200</v>
      </c>
      <c r="D26" s="104">
        <v>60000</v>
      </c>
      <c r="E26" s="202">
        <v>76500</v>
      </c>
      <c r="F26" t="s">
        <v>2216</v>
      </c>
      <c r="G26" s="100"/>
    </row>
    <row r="27" spans="1:7">
      <c r="A27" s="2" t="s">
        <v>1894</v>
      </c>
      <c r="B27" s="95"/>
      <c r="C27" s="104">
        <v>6000</v>
      </c>
      <c r="D27" s="104">
        <v>6000</v>
      </c>
      <c r="E27" s="95"/>
      <c r="G27" s="100"/>
    </row>
    <row r="28" spans="1:7">
      <c r="A28" s="2" t="s">
        <v>1292</v>
      </c>
      <c r="B28" s="198">
        <v>525000</v>
      </c>
      <c r="C28" s="96"/>
      <c r="D28" s="96"/>
      <c r="E28" s="198">
        <v>525000</v>
      </c>
      <c r="F28" s="515" t="s">
        <v>1575</v>
      </c>
      <c r="G28" s="515" t="s">
        <v>1575</v>
      </c>
    </row>
    <row r="29" spans="1:7">
      <c r="A29" s="2" t="s">
        <v>564</v>
      </c>
      <c r="B29" s="199">
        <v>300647</v>
      </c>
      <c r="C29" s="104">
        <v>3560790</v>
      </c>
      <c r="D29" s="104">
        <v>3780000</v>
      </c>
      <c r="E29" s="513">
        <v>519857</v>
      </c>
      <c r="F29" t="s">
        <v>2216</v>
      </c>
      <c r="G29" s="100"/>
    </row>
    <row r="30" spans="1:7">
      <c r="A30" s="2" t="s">
        <v>1896</v>
      </c>
      <c r="B30" s="95"/>
      <c r="C30" s="104">
        <v>21503</v>
      </c>
      <c r="D30" s="104">
        <v>21503</v>
      </c>
      <c r="E30" s="95"/>
      <c r="G30" s="100"/>
    </row>
    <row r="31" spans="1:7">
      <c r="A31" s="2" t="s">
        <v>565</v>
      </c>
      <c r="B31" s="199">
        <v>393093</v>
      </c>
      <c r="C31" s="104">
        <v>4572483</v>
      </c>
      <c r="D31" s="104">
        <v>4558076</v>
      </c>
      <c r="E31" s="513">
        <v>378686</v>
      </c>
      <c r="F31" t="s">
        <v>2218</v>
      </c>
      <c r="G31" s="100"/>
    </row>
    <row r="32" spans="1:7">
      <c r="A32" s="2" t="s">
        <v>2213</v>
      </c>
      <c r="B32" s="95"/>
      <c r="C32" s="104">
        <v>664627</v>
      </c>
      <c r="D32" s="104">
        <v>664627</v>
      </c>
      <c r="E32" s="95"/>
      <c r="G32" s="100"/>
    </row>
    <row r="33" spans="1:7">
      <c r="A33" s="2" t="s">
        <v>566</v>
      </c>
      <c r="B33" s="199">
        <v>9924</v>
      </c>
      <c r="C33" s="104">
        <v>59153</v>
      </c>
      <c r="D33" s="104">
        <v>62043</v>
      </c>
      <c r="E33" s="513">
        <v>12814</v>
      </c>
      <c r="F33" t="s">
        <v>2216</v>
      </c>
      <c r="G33" s="100"/>
    </row>
    <row r="34" spans="1:7">
      <c r="A34" s="2" t="s">
        <v>567</v>
      </c>
      <c r="B34" s="199">
        <v>107343</v>
      </c>
      <c r="C34" s="104">
        <v>627815</v>
      </c>
      <c r="D34" s="104">
        <v>628164</v>
      </c>
      <c r="E34" s="199">
        <v>107692</v>
      </c>
      <c r="F34" t="s">
        <v>2216</v>
      </c>
      <c r="G34" s="100"/>
    </row>
    <row r="35" spans="1:7">
      <c r="A35" s="2" t="s">
        <v>1897</v>
      </c>
      <c r="B35" s="95"/>
      <c r="C35" s="104">
        <v>24802</v>
      </c>
      <c r="D35" s="104">
        <v>24802</v>
      </c>
      <c r="E35" s="95"/>
      <c r="G35" s="100"/>
    </row>
    <row r="36" spans="1:7">
      <c r="A36" s="2" t="s">
        <v>569</v>
      </c>
      <c r="B36" s="199">
        <v>2196990</v>
      </c>
      <c r="C36" s="104">
        <v>29182871</v>
      </c>
      <c r="D36" s="104">
        <v>31443369</v>
      </c>
      <c r="E36" s="199">
        <v>4457488</v>
      </c>
      <c r="F36" t="s">
        <v>2216</v>
      </c>
      <c r="G36" s="100"/>
    </row>
    <row r="37" spans="1:7">
      <c r="A37" s="2" t="s">
        <v>2214</v>
      </c>
      <c r="B37" s="95"/>
      <c r="C37" s="104">
        <v>12000</v>
      </c>
      <c r="D37" s="104">
        <v>12000</v>
      </c>
      <c r="E37" s="95"/>
      <c r="G37" s="100"/>
    </row>
    <row r="38" spans="1:7">
      <c r="A38" s="2" t="s">
        <v>1383</v>
      </c>
      <c r="B38" s="199">
        <v>40260</v>
      </c>
      <c r="C38" s="104">
        <v>82760</v>
      </c>
      <c r="D38" s="104">
        <v>55905</v>
      </c>
      <c r="E38" s="199">
        <v>13405</v>
      </c>
      <c r="F38" t="s">
        <v>2216</v>
      </c>
    </row>
    <row r="39" spans="1:7">
      <c r="A39" s="2" t="s">
        <v>1901</v>
      </c>
      <c r="B39" s="95"/>
      <c r="C39" s="104">
        <v>109500</v>
      </c>
      <c r="D39" s="104">
        <v>109500</v>
      </c>
      <c r="E39" s="95"/>
    </row>
    <row r="40" spans="1:7">
      <c r="A40" s="2" t="s">
        <v>2215</v>
      </c>
      <c r="B40" s="95"/>
      <c r="C40" s="104">
        <v>10000</v>
      </c>
      <c r="D40" s="96"/>
      <c r="E40" s="198">
        <v>10000</v>
      </c>
      <c r="F40" s="515" t="s">
        <v>1575</v>
      </c>
    </row>
    <row r="41" spans="1:7">
      <c r="A41" s="2" t="s">
        <v>573</v>
      </c>
      <c r="B41" s="95"/>
      <c r="C41" s="104">
        <v>21476</v>
      </c>
      <c r="D41" s="104">
        <v>21476</v>
      </c>
      <c r="E41" s="95"/>
    </row>
    <row r="42" spans="1:7">
      <c r="A42" s="2" t="s">
        <v>68</v>
      </c>
      <c r="B42" s="199">
        <v>542049</v>
      </c>
      <c r="C42" s="104">
        <v>1620991</v>
      </c>
      <c r="D42" s="104">
        <v>1409377</v>
      </c>
      <c r="E42" s="513">
        <v>330435</v>
      </c>
      <c r="F42" t="s">
        <v>2217</v>
      </c>
      <c r="G42" s="515" t="s">
        <v>1577</v>
      </c>
    </row>
    <row r="43" spans="1:7">
      <c r="A43" s="19" t="s">
        <v>75</v>
      </c>
      <c r="B43" s="262">
        <v>6453445.9299999997</v>
      </c>
      <c r="C43" s="201">
        <v>47225684</v>
      </c>
      <c r="D43" s="201">
        <v>47283340</v>
      </c>
      <c r="E43" s="262">
        <v>6511101.9299999997</v>
      </c>
    </row>
    <row r="44" spans="1:7">
      <c r="A44" s="118" t="s">
        <v>2363</v>
      </c>
      <c r="B44" s="526"/>
      <c r="C44" s="338"/>
      <c r="D44" s="338"/>
      <c r="E44" s="526"/>
    </row>
    <row r="45" spans="1:7">
      <c r="A45" s="118"/>
      <c r="B45" s="526"/>
      <c r="C45" s="338"/>
      <c r="D45" s="338"/>
      <c r="E45" s="526"/>
    </row>
    <row r="46" spans="1:7">
      <c r="A46" s="2" t="s">
        <v>2224</v>
      </c>
      <c r="B46" s="95"/>
      <c r="C46" s="104">
        <v>86140</v>
      </c>
      <c r="D46" s="96"/>
      <c r="E46" s="198">
        <v>86140</v>
      </c>
    </row>
    <row r="47" spans="1:7">
      <c r="A47" s="2" t="s">
        <v>2225</v>
      </c>
      <c r="B47" s="95"/>
      <c r="C47" s="104">
        <v>96900</v>
      </c>
      <c r="D47" s="104">
        <v>96900</v>
      </c>
      <c r="E47" s="95"/>
    </row>
    <row r="48" spans="1:7">
      <c r="A48" s="2" t="s">
        <v>1289</v>
      </c>
      <c r="B48" s="199">
        <v>79379</v>
      </c>
      <c r="C48" s="104">
        <v>249823</v>
      </c>
      <c r="D48" s="104">
        <v>206134.75</v>
      </c>
      <c r="E48" s="199">
        <v>35690.75</v>
      </c>
    </row>
    <row r="49" spans="1:6">
      <c r="A49" s="2" t="s">
        <v>2226</v>
      </c>
      <c r="B49" s="95"/>
      <c r="C49" s="104">
        <v>274350</v>
      </c>
      <c r="D49" s="104">
        <v>274350</v>
      </c>
      <c r="E49" s="95"/>
    </row>
    <row r="50" spans="1:6">
      <c r="A50" s="2" t="s">
        <v>1385</v>
      </c>
      <c r="B50" s="199">
        <v>74222</v>
      </c>
      <c r="C50" s="104">
        <v>135287</v>
      </c>
      <c r="D50" s="104">
        <v>61065</v>
      </c>
      <c r="E50" s="95"/>
    </row>
    <row r="51" spans="1:6">
      <c r="A51" s="2" t="s">
        <v>2227</v>
      </c>
      <c r="B51" s="95"/>
      <c r="C51" s="104">
        <v>3800</v>
      </c>
      <c r="D51" s="104">
        <v>3800</v>
      </c>
      <c r="E51" s="95"/>
    </row>
    <row r="52" spans="1:6">
      <c r="A52" s="2" t="s">
        <v>2228</v>
      </c>
      <c r="B52" s="95"/>
      <c r="C52" s="104">
        <v>123310</v>
      </c>
      <c r="D52" s="104">
        <v>123310</v>
      </c>
      <c r="E52" s="95"/>
    </row>
    <row r="53" spans="1:6">
      <c r="A53" s="2" t="s">
        <v>2229</v>
      </c>
      <c r="B53" s="95"/>
      <c r="C53" s="104">
        <v>63060</v>
      </c>
      <c r="D53" s="104">
        <v>63060</v>
      </c>
      <c r="E53" s="95"/>
    </row>
    <row r="54" spans="1:6">
      <c r="A54" s="2" t="s">
        <v>1906</v>
      </c>
      <c r="B54" s="95"/>
      <c r="C54" s="104">
        <v>2246530</v>
      </c>
      <c r="D54" s="104">
        <v>2251657</v>
      </c>
      <c r="E54" s="199">
        <v>5127</v>
      </c>
    </row>
    <row r="55" spans="1:6">
      <c r="A55" s="2" t="s">
        <v>1907</v>
      </c>
      <c r="B55" s="198">
        <v>240000</v>
      </c>
      <c r="C55" s="104">
        <v>242903</v>
      </c>
      <c r="D55" s="104">
        <v>482903</v>
      </c>
      <c r="E55" s="95"/>
      <c r="F55" s="515" t="s">
        <v>1573</v>
      </c>
    </row>
    <row r="56" spans="1:6">
      <c r="A56" s="2" t="s">
        <v>1909</v>
      </c>
      <c r="B56" s="95"/>
      <c r="C56" s="104">
        <v>80073</v>
      </c>
      <c r="D56" s="104">
        <v>80073</v>
      </c>
      <c r="E56" s="95"/>
    </row>
    <row r="57" spans="1:6">
      <c r="A57" s="2" t="s">
        <v>2230</v>
      </c>
      <c r="B57" s="95"/>
      <c r="C57" s="104">
        <v>738759.8</v>
      </c>
      <c r="D57" s="104">
        <v>769405.8</v>
      </c>
      <c r="E57" s="199">
        <v>30646</v>
      </c>
    </row>
    <row r="58" spans="1:6">
      <c r="A58" s="2" t="s">
        <v>1910</v>
      </c>
      <c r="B58" s="198">
        <v>9399</v>
      </c>
      <c r="C58" s="96"/>
      <c r="D58" s="104">
        <v>9399</v>
      </c>
      <c r="E58" s="95"/>
      <c r="F58" s="515" t="s">
        <v>1573</v>
      </c>
    </row>
    <row r="59" spans="1:6">
      <c r="A59" s="2" t="s">
        <v>2231</v>
      </c>
      <c r="B59" s="95"/>
      <c r="C59" s="104">
        <v>6233137</v>
      </c>
      <c r="D59" s="104">
        <v>6295114</v>
      </c>
      <c r="E59" s="199">
        <v>61977</v>
      </c>
    </row>
    <row r="60" spans="1:6">
      <c r="A60" s="2" t="s">
        <v>1911</v>
      </c>
      <c r="B60" s="198">
        <v>7727</v>
      </c>
      <c r="C60" s="96"/>
      <c r="D60" s="96"/>
      <c r="E60" s="198">
        <v>7727</v>
      </c>
      <c r="F60" s="515" t="s">
        <v>1573</v>
      </c>
    </row>
    <row r="61" spans="1:6">
      <c r="A61" s="2" t="s">
        <v>2232</v>
      </c>
      <c r="B61" s="95"/>
      <c r="C61" s="104">
        <v>36000</v>
      </c>
      <c r="D61" s="104">
        <v>36000</v>
      </c>
      <c r="E61" s="95"/>
    </row>
    <row r="62" spans="1:6">
      <c r="A62" s="2" t="s">
        <v>2233</v>
      </c>
      <c r="B62" s="95"/>
      <c r="C62" s="104">
        <v>2970</v>
      </c>
      <c r="D62" s="96"/>
      <c r="E62" s="198">
        <v>2970</v>
      </c>
    </row>
    <row r="63" spans="1:6">
      <c r="A63" s="2" t="s">
        <v>2234</v>
      </c>
      <c r="B63" s="95"/>
      <c r="C63" s="96"/>
      <c r="D63" s="104">
        <v>10030</v>
      </c>
      <c r="E63" s="199">
        <v>10030</v>
      </c>
    </row>
    <row r="64" spans="1:6">
      <c r="A64" s="2" t="s">
        <v>1390</v>
      </c>
      <c r="B64" s="199">
        <v>386073</v>
      </c>
      <c r="C64" s="104">
        <v>2927483</v>
      </c>
      <c r="D64" s="104">
        <v>2731160</v>
      </c>
      <c r="E64" s="199">
        <v>189750</v>
      </c>
    </row>
    <row r="65" spans="1:6">
      <c r="A65" s="2" t="s">
        <v>1391</v>
      </c>
      <c r="B65" s="199">
        <v>7610</v>
      </c>
      <c r="C65" s="104">
        <v>1756923</v>
      </c>
      <c r="D65" s="104">
        <v>2009932</v>
      </c>
      <c r="E65" s="199">
        <v>260619</v>
      </c>
    </row>
    <row r="66" spans="1:6">
      <c r="A66" s="2" t="s">
        <v>2235</v>
      </c>
      <c r="B66" s="95"/>
      <c r="C66" s="104">
        <v>110690</v>
      </c>
      <c r="D66" s="104">
        <v>110690</v>
      </c>
      <c r="E66" s="95"/>
    </row>
    <row r="67" spans="1:6">
      <c r="A67" s="2" t="s">
        <v>1788</v>
      </c>
      <c r="B67" s="198">
        <v>37250</v>
      </c>
      <c r="C67" s="96"/>
      <c r="D67" s="96"/>
      <c r="E67" s="198">
        <v>37250</v>
      </c>
      <c r="F67" s="515" t="s">
        <v>1573</v>
      </c>
    </row>
    <row r="68" spans="1:6">
      <c r="A68" s="2" t="s">
        <v>1912</v>
      </c>
      <c r="B68" s="199">
        <v>23128</v>
      </c>
      <c r="C68" s="104">
        <v>50386</v>
      </c>
      <c r="D68" s="104">
        <v>27258</v>
      </c>
      <c r="E68" s="95"/>
    </row>
    <row r="69" spans="1:6">
      <c r="A69" s="2" t="s">
        <v>1678</v>
      </c>
      <c r="B69" s="95"/>
      <c r="C69" s="104">
        <v>112164</v>
      </c>
      <c r="D69" s="104">
        <v>139895</v>
      </c>
      <c r="E69" s="199">
        <v>27731</v>
      </c>
    </row>
    <row r="70" spans="1:6">
      <c r="A70" s="2" t="s">
        <v>1913</v>
      </c>
      <c r="B70" s="95"/>
      <c r="C70" s="104">
        <v>67200</v>
      </c>
      <c r="D70" s="104">
        <v>67200</v>
      </c>
      <c r="E70" s="95"/>
    </row>
    <row r="71" spans="1:6">
      <c r="A71" s="2" t="s">
        <v>578</v>
      </c>
      <c r="B71" s="199">
        <v>107676</v>
      </c>
      <c r="C71" s="96"/>
      <c r="D71" s="96"/>
      <c r="E71" s="199">
        <v>107676</v>
      </c>
    </row>
    <row r="72" spans="1:6">
      <c r="A72" s="2" t="s">
        <v>1789</v>
      </c>
      <c r="B72" s="95"/>
      <c r="C72" s="104">
        <v>46039</v>
      </c>
      <c r="D72" s="104">
        <v>46039</v>
      </c>
      <c r="E72" s="95"/>
    </row>
    <row r="73" spans="1:6">
      <c r="A73" s="2" t="s">
        <v>1790</v>
      </c>
      <c r="B73" s="198">
        <v>31100</v>
      </c>
      <c r="C73" s="104">
        <v>1187700</v>
      </c>
      <c r="D73" s="104">
        <v>1524650</v>
      </c>
      <c r="E73" s="199">
        <v>305850</v>
      </c>
      <c r="F73" s="515" t="s">
        <v>1573</v>
      </c>
    </row>
    <row r="74" spans="1:6">
      <c r="A74" s="2" t="s">
        <v>1791</v>
      </c>
      <c r="B74" s="95"/>
      <c r="C74" s="104">
        <v>75000</v>
      </c>
      <c r="D74" s="104">
        <v>75000</v>
      </c>
      <c r="E74" s="95"/>
    </row>
    <row r="75" spans="1:6">
      <c r="A75" s="2" t="s">
        <v>2236</v>
      </c>
      <c r="B75" s="95"/>
      <c r="C75" s="104">
        <v>51920</v>
      </c>
      <c r="D75" s="104">
        <v>51920</v>
      </c>
      <c r="E75" s="95"/>
    </row>
    <row r="76" spans="1:6">
      <c r="A76" s="2" t="s">
        <v>1915</v>
      </c>
      <c r="B76" s="95"/>
      <c r="C76" s="104">
        <v>327295</v>
      </c>
      <c r="D76" s="104">
        <v>327295</v>
      </c>
      <c r="E76" s="95"/>
    </row>
    <row r="77" spans="1:6">
      <c r="A77" s="2" t="s">
        <v>1679</v>
      </c>
      <c r="B77" s="198">
        <v>28642</v>
      </c>
      <c r="C77" s="104">
        <v>29202.6</v>
      </c>
      <c r="D77" s="104">
        <v>57844.6</v>
      </c>
      <c r="E77" s="95"/>
      <c r="F77" s="515" t="s">
        <v>1573</v>
      </c>
    </row>
    <row r="78" spans="1:6">
      <c r="A78" s="2" t="s">
        <v>1916</v>
      </c>
      <c r="B78" s="95"/>
      <c r="C78" s="104">
        <v>72240</v>
      </c>
      <c r="D78" s="104">
        <v>72240</v>
      </c>
      <c r="E78" s="95"/>
    </row>
    <row r="79" spans="1:6">
      <c r="A79" s="2" t="s">
        <v>579</v>
      </c>
      <c r="B79" s="199">
        <v>46263</v>
      </c>
      <c r="C79" s="104">
        <v>245379</v>
      </c>
      <c r="D79" s="104">
        <v>233235</v>
      </c>
      <c r="E79" s="199">
        <v>34119</v>
      </c>
    </row>
    <row r="80" spans="1:6">
      <c r="A80" s="2" t="s">
        <v>580</v>
      </c>
      <c r="B80" s="95"/>
      <c r="C80" s="104">
        <v>20768</v>
      </c>
      <c r="D80" s="104">
        <v>20768</v>
      </c>
      <c r="E80" s="95"/>
    </row>
    <row r="81" spans="1:5">
      <c r="A81" s="2" t="s">
        <v>1917</v>
      </c>
      <c r="B81" s="199">
        <v>187186</v>
      </c>
      <c r="C81" s="104">
        <v>1954931</v>
      </c>
      <c r="D81" s="104">
        <v>1767745</v>
      </c>
      <c r="E81" s="95"/>
    </row>
    <row r="82" spans="1:5">
      <c r="A82" s="2" t="s">
        <v>1793</v>
      </c>
      <c r="B82" s="199">
        <v>81788</v>
      </c>
      <c r="C82" s="104">
        <v>25000</v>
      </c>
      <c r="D82" s="96"/>
      <c r="E82" s="199">
        <v>56788</v>
      </c>
    </row>
    <row r="83" spans="1:5">
      <c r="A83" s="2" t="s">
        <v>581</v>
      </c>
      <c r="B83" s="95"/>
      <c r="C83" s="104">
        <v>31612</v>
      </c>
      <c r="D83" s="104">
        <v>31612</v>
      </c>
      <c r="E83" s="95"/>
    </row>
    <row r="84" spans="1:5">
      <c r="A84" s="2" t="s">
        <v>1395</v>
      </c>
      <c r="B84" s="95"/>
      <c r="C84" s="104">
        <v>50268</v>
      </c>
      <c r="D84" s="104">
        <v>50268</v>
      </c>
      <c r="E84" s="95"/>
    </row>
    <row r="85" spans="1:5">
      <c r="A85" s="2" t="s">
        <v>2237</v>
      </c>
      <c r="B85" s="95"/>
      <c r="C85" s="104">
        <v>147720</v>
      </c>
      <c r="D85" s="104">
        <v>132720</v>
      </c>
      <c r="E85" s="198">
        <v>15000</v>
      </c>
    </row>
    <row r="86" spans="1:5">
      <c r="A86" s="2" t="s">
        <v>2238</v>
      </c>
      <c r="B86" s="95"/>
      <c r="C86" s="104">
        <v>27225</v>
      </c>
      <c r="D86" s="104">
        <v>27225</v>
      </c>
      <c r="E86" s="95"/>
    </row>
    <row r="87" spans="1:5">
      <c r="A87" s="2" t="s">
        <v>2239</v>
      </c>
      <c r="B87" s="95"/>
      <c r="C87" s="104">
        <v>2245429</v>
      </c>
      <c r="D87" s="104">
        <v>2230055</v>
      </c>
      <c r="E87" s="198">
        <v>15374</v>
      </c>
    </row>
    <row r="88" spans="1:5">
      <c r="A88" s="2" t="s">
        <v>259</v>
      </c>
      <c r="B88" s="199">
        <v>754278.5</v>
      </c>
      <c r="C88" s="104">
        <v>1226877</v>
      </c>
      <c r="D88" s="104">
        <v>986049</v>
      </c>
      <c r="E88" s="199">
        <v>513450.5</v>
      </c>
    </row>
    <row r="89" spans="1:5">
      <c r="A89" s="2" t="s">
        <v>1920</v>
      </c>
      <c r="B89" s="199">
        <v>300</v>
      </c>
      <c r="C89" s="96"/>
      <c r="D89" s="96"/>
      <c r="E89" s="199">
        <v>300</v>
      </c>
    </row>
    <row r="90" spans="1:5">
      <c r="A90" s="2" t="s">
        <v>582</v>
      </c>
      <c r="B90" s="95"/>
      <c r="C90" s="104">
        <v>35400</v>
      </c>
      <c r="D90" s="104">
        <v>35400</v>
      </c>
      <c r="E90" s="95"/>
    </row>
    <row r="91" spans="1:5">
      <c r="A91" s="2" t="s">
        <v>2240</v>
      </c>
      <c r="B91" s="95"/>
      <c r="C91" s="104">
        <v>96996</v>
      </c>
      <c r="D91" s="104">
        <v>96996</v>
      </c>
      <c r="E91" s="95"/>
    </row>
    <row r="92" spans="1:5">
      <c r="A92" s="2" t="s">
        <v>2241</v>
      </c>
      <c r="B92" s="95"/>
      <c r="C92" s="104">
        <v>162250</v>
      </c>
      <c r="D92" s="104">
        <v>160303</v>
      </c>
      <c r="E92" s="198">
        <v>1947</v>
      </c>
    </row>
    <row r="93" spans="1:5">
      <c r="A93" s="2" t="s">
        <v>1923</v>
      </c>
      <c r="B93" s="95"/>
      <c r="C93" s="104">
        <v>13200</v>
      </c>
      <c r="D93" s="104">
        <v>13200</v>
      </c>
      <c r="E93" s="95"/>
    </row>
    <row r="94" spans="1:5">
      <c r="A94" s="2" t="s">
        <v>2242</v>
      </c>
      <c r="B94" s="95"/>
      <c r="C94" s="104">
        <v>78192</v>
      </c>
      <c r="D94" s="104">
        <v>78192</v>
      </c>
      <c r="E94" s="95"/>
    </row>
    <row r="95" spans="1:5">
      <c r="A95" s="2" t="s">
        <v>1925</v>
      </c>
      <c r="B95" s="95"/>
      <c r="C95" s="104">
        <v>9440</v>
      </c>
      <c r="D95" s="104">
        <v>9440</v>
      </c>
      <c r="E95" s="95"/>
    </row>
    <row r="96" spans="1:5">
      <c r="A96" s="2" t="s">
        <v>2243</v>
      </c>
      <c r="B96" s="95"/>
      <c r="C96" s="104">
        <v>311762</v>
      </c>
      <c r="D96" s="104">
        <v>311762</v>
      </c>
      <c r="E96" s="95"/>
    </row>
    <row r="97" spans="1:6">
      <c r="A97" s="2" t="s">
        <v>2244</v>
      </c>
      <c r="B97" s="95"/>
      <c r="C97" s="104">
        <v>234800</v>
      </c>
      <c r="D97" s="96"/>
      <c r="E97" s="198">
        <v>234800</v>
      </c>
    </row>
    <row r="98" spans="1:6">
      <c r="A98" s="2" t="s">
        <v>1927</v>
      </c>
      <c r="B98" s="95"/>
      <c r="C98" s="104">
        <v>85704</v>
      </c>
      <c r="D98" s="104">
        <v>162604</v>
      </c>
      <c r="E98" s="199">
        <v>76900</v>
      </c>
    </row>
    <row r="99" spans="1:6">
      <c r="A99" s="2" t="s">
        <v>1928</v>
      </c>
      <c r="B99" s="199">
        <v>79364</v>
      </c>
      <c r="C99" s="104">
        <v>604998</v>
      </c>
      <c r="D99" s="104">
        <v>526554</v>
      </c>
      <c r="E99" s="199">
        <v>920</v>
      </c>
    </row>
    <row r="100" spans="1:6">
      <c r="A100" s="2" t="s">
        <v>2245</v>
      </c>
      <c r="B100" s="95"/>
      <c r="C100" s="104">
        <v>320500</v>
      </c>
      <c r="D100" s="104">
        <v>320500</v>
      </c>
      <c r="E100" s="95"/>
    </row>
    <row r="101" spans="1:6">
      <c r="A101" s="2" t="s">
        <v>2106</v>
      </c>
      <c r="B101" s="199">
        <v>3245</v>
      </c>
      <c r="C101" s="104">
        <v>23010</v>
      </c>
      <c r="D101" s="96"/>
      <c r="E101" s="198">
        <v>19765</v>
      </c>
    </row>
    <row r="102" spans="1:6">
      <c r="A102" s="2" t="s">
        <v>2246</v>
      </c>
      <c r="B102" s="95"/>
      <c r="C102" s="104">
        <v>9027</v>
      </c>
      <c r="D102" s="104">
        <v>9027</v>
      </c>
      <c r="E102" s="95"/>
    </row>
    <row r="103" spans="1:6">
      <c r="A103" s="2" t="s">
        <v>2247</v>
      </c>
      <c r="B103" s="95"/>
      <c r="C103" s="104">
        <v>32568</v>
      </c>
      <c r="D103" s="104">
        <v>32568</v>
      </c>
      <c r="E103" s="95"/>
    </row>
    <row r="104" spans="1:6">
      <c r="A104" s="2" t="s">
        <v>1686</v>
      </c>
      <c r="B104" s="95"/>
      <c r="C104" s="104">
        <v>1480274</v>
      </c>
      <c r="D104" s="104">
        <v>1480274</v>
      </c>
      <c r="E104" s="95"/>
    </row>
    <row r="105" spans="1:6">
      <c r="A105" s="2" t="s">
        <v>2248</v>
      </c>
      <c r="B105" s="95"/>
      <c r="C105" s="104">
        <v>136998</v>
      </c>
      <c r="D105" s="104">
        <v>136998</v>
      </c>
      <c r="E105" s="95"/>
    </row>
    <row r="106" spans="1:6">
      <c r="A106" s="2" t="s">
        <v>2249</v>
      </c>
      <c r="B106" s="95"/>
      <c r="C106" s="104">
        <v>40250</v>
      </c>
      <c r="D106" s="104">
        <v>40250</v>
      </c>
      <c r="E106" s="95"/>
    </row>
    <row r="107" spans="1:6">
      <c r="A107" s="2" t="s">
        <v>1402</v>
      </c>
      <c r="B107" s="95"/>
      <c r="C107" s="104">
        <v>262358</v>
      </c>
      <c r="D107" s="96"/>
      <c r="E107" s="198">
        <v>262358</v>
      </c>
    </row>
    <row r="108" spans="1:6">
      <c r="A108" s="2" t="s">
        <v>2250</v>
      </c>
      <c r="B108" s="95"/>
      <c r="C108" s="104">
        <v>75000</v>
      </c>
      <c r="D108" s="104">
        <v>74480</v>
      </c>
      <c r="E108" s="198">
        <v>520</v>
      </c>
    </row>
    <row r="109" spans="1:6">
      <c r="A109" s="2" t="s">
        <v>2251</v>
      </c>
      <c r="B109" s="95"/>
      <c r="C109" s="104">
        <v>1306</v>
      </c>
      <c r="D109" s="104">
        <v>1306</v>
      </c>
      <c r="E109" s="95"/>
    </row>
    <row r="110" spans="1:6">
      <c r="A110" s="2" t="s">
        <v>2252</v>
      </c>
      <c r="B110" s="95"/>
      <c r="C110" s="104">
        <v>10000</v>
      </c>
      <c r="D110" s="96"/>
      <c r="E110" s="198">
        <v>10000</v>
      </c>
    </row>
    <row r="111" spans="1:6">
      <c r="A111" s="2" t="s">
        <v>2253</v>
      </c>
      <c r="B111" s="95"/>
      <c r="C111" s="104">
        <v>137175</v>
      </c>
      <c r="D111" s="104">
        <v>137175</v>
      </c>
      <c r="E111" s="95"/>
    </row>
    <row r="112" spans="1:6">
      <c r="A112" s="2" t="s">
        <v>1933</v>
      </c>
      <c r="B112" s="198">
        <v>2200</v>
      </c>
      <c r="C112" s="104">
        <v>130000</v>
      </c>
      <c r="D112" s="104">
        <v>120840</v>
      </c>
      <c r="E112" s="198">
        <v>11360</v>
      </c>
      <c r="F112" s="515" t="s">
        <v>1573</v>
      </c>
    </row>
    <row r="113" spans="1:5">
      <c r="A113" s="2" t="s">
        <v>1934</v>
      </c>
      <c r="B113" s="95"/>
      <c r="C113" s="104">
        <v>547579</v>
      </c>
      <c r="D113" s="104">
        <v>420080</v>
      </c>
      <c r="E113" s="198">
        <v>127499</v>
      </c>
    </row>
    <row r="114" spans="1:5">
      <c r="A114" s="2" t="s">
        <v>258</v>
      </c>
      <c r="B114" s="199">
        <v>196558</v>
      </c>
      <c r="C114" s="104">
        <v>253800</v>
      </c>
      <c r="D114" s="104">
        <v>253800</v>
      </c>
      <c r="E114" s="199">
        <v>196558</v>
      </c>
    </row>
    <row r="115" spans="1:5">
      <c r="A115" s="2" t="s">
        <v>1936</v>
      </c>
      <c r="B115" s="199">
        <v>3200</v>
      </c>
      <c r="C115" s="96"/>
      <c r="D115" s="96"/>
      <c r="E115" s="199">
        <v>3200</v>
      </c>
    </row>
    <row r="116" spans="1:5">
      <c r="A116" s="2" t="s">
        <v>592</v>
      </c>
      <c r="B116" s="95"/>
      <c r="C116" s="104">
        <v>7450</v>
      </c>
      <c r="D116" s="104">
        <v>7450</v>
      </c>
      <c r="E116" s="95"/>
    </row>
    <row r="117" spans="1:5">
      <c r="A117" s="2" t="s">
        <v>1796</v>
      </c>
      <c r="B117" s="95"/>
      <c r="C117" s="104">
        <v>8534</v>
      </c>
      <c r="D117" s="104">
        <v>8534</v>
      </c>
      <c r="E117" s="95"/>
    </row>
    <row r="118" spans="1:5">
      <c r="A118" s="2" t="s">
        <v>2254</v>
      </c>
      <c r="B118" s="95"/>
      <c r="C118" s="104">
        <v>313644</v>
      </c>
      <c r="D118" s="104">
        <v>627288</v>
      </c>
      <c r="E118" s="199">
        <v>313644</v>
      </c>
    </row>
    <row r="119" spans="1:5">
      <c r="A119" s="2" t="s">
        <v>1691</v>
      </c>
      <c r="B119" s="199">
        <v>58399</v>
      </c>
      <c r="C119" s="96"/>
      <c r="D119" s="96"/>
      <c r="E119" s="199">
        <v>58399</v>
      </c>
    </row>
    <row r="120" spans="1:5">
      <c r="A120" s="2" t="s">
        <v>2255</v>
      </c>
      <c r="B120" s="95"/>
      <c r="C120" s="104">
        <v>113516</v>
      </c>
      <c r="D120" s="104">
        <v>113516</v>
      </c>
      <c r="E120" s="95"/>
    </row>
    <row r="121" spans="1:5">
      <c r="A121" s="2" t="s">
        <v>2256</v>
      </c>
      <c r="B121" s="95"/>
      <c r="C121" s="104">
        <v>123900</v>
      </c>
      <c r="D121" s="104">
        <v>123900</v>
      </c>
      <c r="E121" s="95"/>
    </row>
    <row r="122" spans="1:5">
      <c r="A122" s="2" t="s">
        <v>1940</v>
      </c>
      <c r="B122" s="199">
        <v>15495</v>
      </c>
      <c r="C122" s="104">
        <v>10145</v>
      </c>
      <c r="D122" s="96"/>
      <c r="E122" s="199">
        <v>5350</v>
      </c>
    </row>
    <row r="123" spans="1:5">
      <c r="A123" s="2" t="s">
        <v>1941</v>
      </c>
      <c r="B123" s="95"/>
      <c r="C123" s="104">
        <v>53319</v>
      </c>
      <c r="D123" s="104">
        <v>107386.7</v>
      </c>
      <c r="E123" s="199">
        <v>54067.7</v>
      </c>
    </row>
    <row r="124" spans="1:5">
      <c r="A124" s="2" t="s">
        <v>1407</v>
      </c>
      <c r="B124" s="95"/>
      <c r="C124" s="104">
        <v>20341</v>
      </c>
      <c r="D124" s="104">
        <v>11759.4</v>
      </c>
      <c r="E124" s="198">
        <v>8581.6</v>
      </c>
    </row>
    <row r="125" spans="1:5">
      <c r="A125" s="2" t="s">
        <v>1942</v>
      </c>
      <c r="B125" s="95"/>
      <c r="C125" s="104">
        <v>3142954</v>
      </c>
      <c r="D125" s="104">
        <v>3138306</v>
      </c>
      <c r="E125" s="198">
        <v>4648</v>
      </c>
    </row>
    <row r="126" spans="1:5">
      <c r="A126" s="2" t="s">
        <v>1943</v>
      </c>
      <c r="B126" s="95"/>
      <c r="C126" s="104">
        <v>186335</v>
      </c>
      <c r="D126" s="104">
        <v>178039</v>
      </c>
      <c r="E126" s="198">
        <v>8296</v>
      </c>
    </row>
    <row r="127" spans="1:5">
      <c r="A127" s="2" t="s">
        <v>989</v>
      </c>
      <c r="B127" s="95"/>
      <c r="C127" s="104">
        <v>307224</v>
      </c>
      <c r="D127" s="104">
        <v>76800</v>
      </c>
      <c r="E127" s="198">
        <v>230424</v>
      </c>
    </row>
    <row r="128" spans="1:5">
      <c r="A128" s="2" t="s">
        <v>1944</v>
      </c>
      <c r="B128" s="199">
        <v>30444</v>
      </c>
      <c r="C128" s="104">
        <v>49118</v>
      </c>
      <c r="D128" s="104">
        <v>20798</v>
      </c>
      <c r="E128" s="199">
        <v>2124</v>
      </c>
    </row>
    <row r="129" spans="1:6">
      <c r="A129" s="2" t="s">
        <v>2257</v>
      </c>
      <c r="B129" s="95"/>
      <c r="C129" s="96"/>
      <c r="D129" s="104">
        <v>31122</v>
      </c>
      <c r="E129" s="199">
        <v>31122</v>
      </c>
    </row>
    <row r="130" spans="1:6">
      <c r="A130" s="2" t="s">
        <v>2258</v>
      </c>
      <c r="B130" s="95"/>
      <c r="C130" s="104">
        <v>33597</v>
      </c>
      <c r="D130" s="104">
        <v>33597</v>
      </c>
      <c r="E130" s="95"/>
    </row>
    <row r="131" spans="1:6">
      <c r="A131" s="2" t="s">
        <v>1945</v>
      </c>
      <c r="B131" s="199">
        <v>57328</v>
      </c>
      <c r="C131" s="96"/>
      <c r="D131" s="96"/>
      <c r="E131" s="199">
        <v>57328</v>
      </c>
    </row>
    <row r="132" spans="1:6">
      <c r="A132" s="2" t="s">
        <v>2259</v>
      </c>
      <c r="B132" s="95"/>
      <c r="C132" s="104">
        <v>59596</v>
      </c>
      <c r="D132" s="104">
        <v>59596</v>
      </c>
      <c r="E132" s="95"/>
    </row>
    <row r="133" spans="1:6">
      <c r="A133" s="2" t="s">
        <v>1693</v>
      </c>
      <c r="B133" s="198">
        <v>6867.18</v>
      </c>
      <c r="C133" s="104">
        <v>1095567</v>
      </c>
      <c r="D133" s="104">
        <v>1279073</v>
      </c>
      <c r="E133" s="199">
        <v>176638.82</v>
      </c>
      <c r="F133" s="515" t="s">
        <v>1573</v>
      </c>
    </row>
    <row r="134" spans="1:6">
      <c r="A134" s="2" t="s">
        <v>2260</v>
      </c>
      <c r="B134" s="95"/>
      <c r="C134" s="104">
        <v>63602</v>
      </c>
      <c r="D134" s="104">
        <v>63602</v>
      </c>
      <c r="E134" s="95"/>
    </row>
    <row r="135" spans="1:6">
      <c r="A135" s="2" t="s">
        <v>1946</v>
      </c>
      <c r="B135" s="198">
        <v>7000</v>
      </c>
      <c r="C135" s="96"/>
      <c r="D135" s="96"/>
      <c r="E135" s="198">
        <v>7000</v>
      </c>
      <c r="F135" s="515" t="s">
        <v>1573</v>
      </c>
    </row>
    <row r="136" spans="1:6">
      <c r="A136" s="2" t="s">
        <v>596</v>
      </c>
      <c r="B136" s="199">
        <v>11875</v>
      </c>
      <c r="C136" s="104">
        <v>89686</v>
      </c>
      <c r="D136" s="104">
        <v>151185</v>
      </c>
      <c r="E136" s="199">
        <v>73374</v>
      </c>
    </row>
    <row r="137" spans="1:6">
      <c r="A137" s="2" t="s">
        <v>1947</v>
      </c>
      <c r="B137" s="199">
        <v>293</v>
      </c>
      <c r="C137" s="104">
        <v>98226</v>
      </c>
      <c r="D137" s="104">
        <v>97933</v>
      </c>
      <c r="E137" s="95"/>
    </row>
    <row r="138" spans="1:6">
      <c r="A138" s="2" t="s">
        <v>2261</v>
      </c>
      <c r="B138" s="95"/>
      <c r="C138" s="104">
        <v>54000</v>
      </c>
      <c r="D138" s="104">
        <v>54000</v>
      </c>
      <c r="E138" s="95"/>
    </row>
    <row r="139" spans="1:6">
      <c r="A139" s="2" t="s">
        <v>1950</v>
      </c>
      <c r="B139" s="95"/>
      <c r="C139" s="104">
        <v>11800</v>
      </c>
      <c r="D139" s="104">
        <v>11800</v>
      </c>
      <c r="E139" s="95"/>
    </row>
    <row r="140" spans="1:6">
      <c r="A140" s="2" t="s">
        <v>600</v>
      </c>
      <c r="B140" s="198">
        <v>105236</v>
      </c>
      <c r="C140" s="96"/>
      <c r="D140" s="96"/>
      <c r="E140" s="198">
        <v>105236</v>
      </c>
      <c r="F140" s="515" t="s">
        <v>1573</v>
      </c>
    </row>
    <row r="141" spans="1:6">
      <c r="A141" s="2" t="s">
        <v>2262</v>
      </c>
      <c r="B141" s="95"/>
      <c r="C141" s="104">
        <v>99710</v>
      </c>
      <c r="D141" s="104">
        <v>99710</v>
      </c>
      <c r="E141" s="95"/>
    </row>
    <row r="142" spans="1:6">
      <c r="A142" s="2" t="s">
        <v>992</v>
      </c>
      <c r="B142" s="95"/>
      <c r="C142" s="104">
        <v>69000</v>
      </c>
      <c r="D142" s="104">
        <v>69000</v>
      </c>
      <c r="E142" s="95"/>
    </row>
    <row r="143" spans="1:6">
      <c r="A143" s="2" t="s">
        <v>2263</v>
      </c>
      <c r="B143" s="95"/>
      <c r="C143" s="104">
        <v>111537</v>
      </c>
      <c r="D143" s="104">
        <v>111537</v>
      </c>
      <c r="E143" s="95"/>
    </row>
    <row r="144" spans="1:6">
      <c r="A144" s="2" t="s">
        <v>2264</v>
      </c>
      <c r="B144" s="95"/>
      <c r="C144" s="104">
        <v>243670</v>
      </c>
      <c r="D144" s="104">
        <v>171100</v>
      </c>
      <c r="E144" s="198">
        <v>72570</v>
      </c>
    </row>
    <row r="145" spans="1:6">
      <c r="A145" s="2" t="s">
        <v>1953</v>
      </c>
      <c r="B145" s="95"/>
      <c r="C145" s="104">
        <v>647850</v>
      </c>
      <c r="D145" s="104">
        <v>548160</v>
      </c>
      <c r="E145" s="198">
        <v>99690</v>
      </c>
    </row>
    <row r="146" spans="1:6">
      <c r="A146" s="2" t="s">
        <v>1954</v>
      </c>
      <c r="B146" s="199">
        <v>8860</v>
      </c>
      <c r="C146" s="104">
        <v>142720</v>
      </c>
      <c r="D146" s="104">
        <v>125150</v>
      </c>
      <c r="E146" s="198">
        <v>8710</v>
      </c>
    </row>
    <row r="147" spans="1:6">
      <c r="A147" s="2" t="s">
        <v>2265</v>
      </c>
      <c r="B147" s="95"/>
      <c r="C147" s="104">
        <v>344400</v>
      </c>
      <c r="D147" s="104">
        <v>382200</v>
      </c>
      <c r="E147" s="199">
        <v>37800</v>
      </c>
    </row>
    <row r="148" spans="1:6">
      <c r="A148" s="2" t="s">
        <v>603</v>
      </c>
      <c r="B148" s="199">
        <v>1959</v>
      </c>
      <c r="C148" s="104">
        <v>252906</v>
      </c>
      <c r="D148" s="104">
        <v>10151</v>
      </c>
      <c r="E148" s="198">
        <v>240796</v>
      </c>
    </row>
    <row r="149" spans="1:6">
      <c r="A149" s="2" t="s">
        <v>1412</v>
      </c>
      <c r="B149" s="95"/>
      <c r="C149" s="104">
        <v>303653</v>
      </c>
      <c r="D149" s="104">
        <v>303653</v>
      </c>
      <c r="E149" s="95"/>
    </row>
    <row r="150" spans="1:6">
      <c r="A150" s="2" t="s">
        <v>2266</v>
      </c>
      <c r="B150" s="95"/>
      <c r="C150" s="104">
        <v>97500</v>
      </c>
      <c r="D150" s="104">
        <v>97500</v>
      </c>
      <c r="E150" s="95"/>
    </row>
    <row r="151" spans="1:6">
      <c r="A151" s="2" t="s">
        <v>604</v>
      </c>
      <c r="B151" s="199">
        <v>5030</v>
      </c>
      <c r="C151" s="104">
        <v>226720</v>
      </c>
      <c r="D151" s="104">
        <v>227210</v>
      </c>
      <c r="E151" s="199">
        <v>5520</v>
      </c>
    </row>
    <row r="152" spans="1:6">
      <c r="A152" s="2" t="s">
        <v>1955</v>
      </c>
      <c r="B152" s="95"/>
      <c r="C152" s="104">
        <v>497392</v>
      </c>
      <c r="D152" s="104">
        <v>496650</v>
      </c>
      <c r="E152" s="198">
        <v>742</v>
      </c>
    </row>
    <row r="153" spans="1:6">
      <c r="A153" s="2" t="s">
        <v>1413</v>
      </c>
      <c r="B153" s="199">
        <v>11211</v>
      </c>
      <c r="C153" s="104">
        <v>601210</v>
      </c>
      <c r="D153" s="104">
        <v>590000</v>
      </c>
      <c r="E153" s="199">
        <v>1</v>
      </c>
    </row>
    <row r="154" spans="1:6">
      <c r="A154" s="2" t="s">
        <v>1959</v>
      </c>
      <c r="B154" s="198">
        <v>84550</v>
      </c>
      <c r="C154" s="104">
        <v>190133</v>
      </c>
      <c r="D154" s="104">
        <v>274684</v>
      </c>
      <c r="E154" s="199">
        <v>1</v>
      </c>
      <c r="F154" s="515" t="s">
        <v>1573</v>
      </c>
    </row>
    <row r="155" spans="1:6">
      <c r="A155" s="2" t="s">
        <v>2267</v>
      </c>
      <c r="B155" s="95"/>
      <c r="C155" s="104">
        <v>310639</v>
      </c>
      <c r="D155" s="96"/>
      <c r="E155" s="198">
        <v>310639</v>
      </c>
    </row>
    <row r="156" spans="1:6">
      <c r="A156" s="2" t="s">
        <v>2268</v>
      </c>
      <c r="B156" s="95"/>
      <c r="C156" s="104">
        <v>1374600</v>
      </c>
      <c r="D156" s="104">
        <v>1374600</v>
      </c>
      <c r="E156" s="95"/>
    </row>
    <row r="157" spans="1:6">
      <c r="A157" s="2" t="s">
        <v>1961</v>
      </c>
      <c r="B157" s="199">
        <v>861.15</v>
      </c>
      <c r="C157" s="96"/>
      <c r="D157" s="96"/>
      <c r="E157" s="199">
        <v>861.15</v>
      </c>
    </row>
    <row r="158" spans="1:6">
      <c r="A158" s="2" t="s">
        <v>606</v>
      </c>
      <c r="B158" s="199">
        <v>151411</v>
      </c>
      <c r="C158" s="104">
        <v>760049</v>
      </c>
      <c r="D158" s="104">
        <v>924039</v>
      </c>
      <c r="E158" s="199">
        <v>315401</v>
      </c>
    </row>
    <row r="159" spans="1:6">
      <c r="A159" s="2" t="s">
        <v>1962</v>
      </c>
      <c r="B159" s="95"/>
      <c r="C159" s="104">
        <v>498764</v>
      </c>
      <c r="D159" s="104">
        <v>498762</v>
      </c>
      <c r="E159" s="198">
        <v>2</v>
      </c>
    </row>
    <row r="160" spans="1:6">
      <c r="A160" s="2" t="s">
        <v>2269</v>
      </c>
      <c r="B160" s="95"/>
      <c r="C160" s="104">
        <v>291165</v>
      </c>
      <c r="D160" s="104">
        <v>302493</v>
      </c>
      <c r="E160" s="199">
        <v>11328</v>
      </c>
    </row>
    <row r="161" spans="1:6">
      <c r="A161" s="2" t="s">
        <v>1414</v>
      </c>
      <c r="B161" s="95"/>
      <c r="C161" s="104">
        <v>747500</v>
      </c>
      <c r="D161" s="104">
        <v>595000</v>
      </c>
      <c r="E161" s="198">
        <v>152500</v>
      </c>
    </row>
    <row r="162" spans="1:6">
      <c r="A162" s="2" t="s">
        <v>1964</v>
      </c>
      <c r="B162" s="199">
        <v>12390</v>
      </c>
      <c r="C162" s="104">
        <v>165300</v>
      </c>
      <c r="D162" s="104">
        <v>169312.3</v>
      </c>
      <c r="E162" s="199">
        <v>16402.3</v>
      </c>
    </row>
    <row r="163" spans="1:6">
      <c r="A163" s="2" t="s">
        <v>2270</v>
      </c>
      <c r="B163" s="95"/>
      <c r="C163" s="104">
        <v>929840</v>
      </c>
      <c r="D163" s="104">
        <v>508698</v>
      </c>
      <c r="E163" s="198">
        <v>421142</v>
      </c>
    </row>
    <row r="164" spans="1:6">
      <c r="A164" s="2" t="s">
        <v>1804</v>
      </c>
      <c r="B164" s="199">
        <v>45363</v>
      </c>
      <c r="C164" s="104">
        <v>82438</v>
      </c>
      <c r="D164" s="104">
        <v>81898</v>
      </c>
      <c r="E164" s="199">
        <v>44823</v>
      </c>
    </row>
    <row r="165" spans="1:6">
      <c r="A165" s="2" t="s">
        <v>1965</v>
      </c>
      <c r="B165" s="95"/>
      <c r="C165" s="104">
        <v>83554</v>
      </c>
      <c r="D165" s="104">
        <v>83554</v>
      </c>
      <c r="E165" s="95"/>
    </row>
    <row r="166" spans="1:6">
      <c r="A166" s="2" t="s">
        <v>1966</v>
      </c>
      <c r="B166" s="199">
        <v>15486</v>
      </c>
      <c r="C166" s="104">
        <v>749536</v>
      </c>
      <c r="D166" s="104">
        <v>734050</v>
      </c>
      <c r="E166" s="95"/>
    </row>
    <row r="167" spans="1:6">
      <c r="A167" s="2" t="s">
        <v>1968</v>
      </c>
      <c r="B167" s="199">
        <v>89369.8</v>
      </c>
      <c r="C167" s="104">
        <v>135213</v>
      </c>
      <c r="D167" s="104">
        <v>45843.199999999997</v>
      </c>
      <c r="E167" s="95"/>
    </row>
    <row r="168" spans="1:6">
      <c r="A168" s="2" t="s">
        <v>2271</v>
      </c>
      <c r="B168" s="95"/>
      <c r="C168" s="104">
        <v>168000</v>
      </c>
      <c r="D168" s="104">
        <v>168000</v>
      </c>
      <c r="E168" s="95"/>
    </row>
    <row r="169" spans="1:6">
      <c r="A169" s="2" t="s">
        <v>2272</v>
      </c>
      <c r="B169" s="95"/>
      <c r="C169" s="104">
        <v>53400</v>
      </c>
      <c r="D169" s="104">
        <v>53400</v>
      </c>
      <c r="E169" s="95"/>
    </row>
    <row r="170" spans="1:6">
      <c r="A170" s="2" t="s">
        <v>2273</v>
      </c>
      <c r="B170" s="95"/>
      <c r="C170" s="104">
        <v>43005</v>
      </c>
      <c r="D170" s="104">
        <v>43005</v>
      </c>
      <c r="E170" s="95"/>
    </row>
    <row r="171" spans="1:6">
      <c r="A171" s="2" t="s">
        <v>1290</v>
      </c>
      <c r="B171" s="199">
        <v>197988</v>
      </c>
      <c r="C171" s="104">
        <v>1543238</v>
      </c>
      <c r="D171" s="104">
        <v>1562396</v>
      </c>
      <c r="E171" s="199">
        <v>217146</v>
      </c>
    </row>
    <row r="172" spans="1:6">
      <c r="A172" s="2" t="s">
        <v>1969</v>
      </c>
      <c r="B172" s="199">
        <v>174004</v>
      </c>
      <c r="C172" s="104">
        <v>512971</v>
      </c>
      <c r="D172" s="104">
        <v>335327</v>
      </c>
      <c r="E172" s="198">
        <v>3640</v>
      </c>
    </row>
    <row r="173" spans="1:6">
      <c r="A173" s="2" t="s">
        <v>1792</v>
      </c>
      <c r="B173" s="95"/>
      <c r="C173" s="104">
        <v>180121</v>
      </c>
      <c r="D173" s="104">
        <v>180119</v>
      </c>
      <c r="E173" s="198">
        <v>2</v>
      </c>
    </row>
    <row r="174" spans="1:6">
      <c r="A174" s="2" t="s">
        <v>257</v>
      </c>
      <c r="B174" s="199">
        <v>468104.5</v>
      </c>
      <c r="C174" s="104">
        <v>2520376</v>
      </c>
      <c r="D174" s="104">
        <v>2808453</v>
      </c>
      <c r="E174" s="199">
        <v>756181.5</v>
      </c>
    </row>
    <row r="175" spans="1:6">
      <c r="A175" s="2" t="s">
        <v>586</v>
      </c>
      <c r="B175" s="198">
        <v>1175</v>
      </c>
      <c r="C175" s="104">
        <v>53267</v>
      </c>
      <c r="D175" s="104">
        <v>24074</v>
      </c>
      <c r="E175" s="198">
        <v>30368</v>
      </c>
      <c r="F175" s="515" t="s">
        <v>1573</v>
      </c>
    </row>
    <row r="176" spans="1:6">
      <c r="A176" s="2" t="s">
        <v>2274</v>
      </c>
      <c r="B176" s="95"/>
      <c r="C176" s="104">
        <v>49980</v>
      </c>
      <c r="D176" s="104">
        <v>49980</v>
      </c>
      <c r="E176" s="95"/>
    </row>
    <row r="177" spans="1:6">
      <c r="A177" s="2" t="s">
        <v>587</v>
      </c>
      <c r="B177" s="199">
        <v>58898.879999999997</v>
      </c>
      <c r="C177" s="96"/>
      <c r="D177" s="96"/>
      <c r="E177" s="199">
        <v>58898.879999999997</v>
      </c>
    </row>
    <row r="178" spans="1:6">
      <c r="A178" s="2" t="s">
        <v>1795</v>
      </c>
      <c r="B178" s="199">
        <v>20810</v>
      </c>
      <c r="C178" s="104">
        <v>953950</v>
      </c>
      <c r="D178" s="104">
        <v>1121456</v>
      </c>
      <c r="E178" s="199">
        <v>188316</v>
      </c>
    </row>
    <row r="179" spans="1:6">
      <c r="A179" s="2" t="s">
        <v>2275</v>
      </c>
      <c r="B179" s="199">
        <v>57356</v>
      </c>
      <c r="C179" s="104">
        <v>378574</v>
      </c>
      <c r="D179" s="104">
        <v>342469</v>
      </c>
      <c r="E179" s="199">
        <v>21251</v>
      </c>
    </row>
    <row r="180" spans="1:6">
      <c r="A180" s="2" t="s">
        <v>2276</v>
      </c>
      <c r="B180" s="95"/>
      <c r="C180" s="104">
        <v>108000</v>
      </c>
      <c r="D180" s="104">
        <v>108000</v>
      </c>
      <c r="E180" s="95"/>
    </row>
    <row r="181" spans="1:6">
      <c r="A181" s="2" t="s">
        <v>599</v>
      </c>
      <c r="B181" s="199">
        <v>5700</v>
      </c>
      <c r="C181" s="104">
        <v>5700</v>
      </c>
      <c r="D181" s="96"/>
      <c r="E181" s="95"/>
    </row>
    <row r="182" spans="1:6">
      <c r="A182" s="2" t="s">
        <v>1801</v>
      </c>
      <c r="B182" s="95"/>
      <c r="C182" s="104">
        <v>163046</v>
      </c>
      <c r="D182" s="104">
        <v>185038</v>
      </c>
      <c r="E182" s="199">
        <v>21992</v>
      </c>
    </row>
    <row r="183" spans="1:6">
      <c r="A183" s="2" t="s">
        <v>2277</v>
      </c>
      <c r="B183" s="95"/>
      <c r="C183" s="104">
        <v>33338</v>
      </c>
      <c r="D183" s="104">
        <v>33338</v>
      </c>
      <c r="E183" s="95"/>
    </row>
    <row r="184" spans="1:6">
      <c r="A184" s="2" t="s">
        <v>1418</v>
      </c>
      <c r="B184" s="198">
        <v>45667</v>
      </c>
      <c r="C184" s="96"/>
      <c r="D184" s="96"/>
      <c r="E184" s="198">
        <v>45667</v>
      </c>
      <c r="F184" s="515" t="s">
        <v>1573</v>
      </c>
    </row>
    <row r="185" spans="1:6">
      <c r="A185" s="2" t="s">
        <v>609</v>
      </c>
      <c r="B185" s="95"/>
      <c r="C185" s="104">
        <v>9137</v>
      </c>
      <c r="D185" s="104">
        <v>3587</v>
      </c>
      <c r="E185" s="198">
        <v>5550</v>
      </c>
    </row>
    <row r="186" spans="1:6">
      <c r="A186" s="19" t="s">
        <v>75</v>
      </c>
      <c r="B186" s="262">
        <v>2922093.65</v>
      </c>
      <c r="C186" s="201">
        <v>51070737.399999999</v>
      </c>
      <c r="D186" s="201">
        <v>49945032.75</v>
      </c>
      <c r="E186" s="262">
        <v>1796389</v>
      </c>
    </row>
    <row r="187" spans="1:6">
      <c r="A187" s="118" t="s">
        <v>945</v>
      </c>
      <c r="B187" s="526"/>
      <c r="C187" s="338"/>
      <c r="D187" s="338"/>
      <c r="E187" s="526"/>
    </row>
    <row r="188" spans="1:6">
      <c r="A188" s="118"/>
      <c r="B188" s="526"/>
      <c r="C188" s="338"/>
      <c r="D188" s="338"/>
      <c r="E188" s="526"/>
    </row>
    <row r="189" spans="1:6">
      <c r="A189" s="2" t="s">
        <v>2278</v>
      </c>
      <c r="B189" s="95"/>
      <c r="C189" s="104">
        <v>833792</v>
      </c>
      <c r="D189" s="104">
        <v>858993</v>
      </c>
      <c r="E189" s="199">
        <v>25201</v>
      </c>
    </row>
    <row r="190" spans="1:6">
      <c r="A190" s="2" t="s">
        <v>1420</v>
      </c>
      <c r="B190" s="95"/>
      <c r="C190" s="104">
        <v>22000</v>
      </c>
      <c r="D190" s="96"/>
      <c r="E190" s="198">
        <v>22000</v>
      </c>
    </row>
    <row r="191" spans="1:6">
      <c r="A191" s="2" t="s">
        <v>1421</v>
      </c>
      <c r="B191" s="198">
        <v>80376</v>
      </c>
      <c r="C191" s="104">
        <v>481440</v>
      </c>
      <c r="D191" s="104">
        <v>557534</v>
      </c>
      <c r="E191" s="198">
        <v>4282</v>
      </c>
      <c r="F191" s="515" t="s">
        <v>1573</v>
      </c>
    </row>
    <row r="192" spans="1:6">
      <c r="A192" s="2" t="s">
        <v>1805</v>
      </c>
      <c r="B192" s="199">
        <v>26927</v>
      </c>
      <c r="C192" s="96"/>
      <c r="D192" s="96"/>
      <c r="E192" s="199">
        <v>26927</v>
      </c>
    </row>
    <row r="193" spans="1:6">
      <c r="A193" s="2" t="s">
        <v>1700</v>
      </c>
      <c r="B193" s="198">
        <v>115613</v>
      </c>
      <c r="C193" s="104">
        <v>1922385</v>
      </c>
      <c r="D193" s="104">
        <v>1986508</v>
      </c>
      <c r="E193" s="198">
        <v>51490</v>
      </c>
      <c r="F193" s="515" t="s">
        <v>1573</v>
      </c>
    </row>
    <row r="194" spans="1:6">
      <c r="A194" s="2" t="s">
        <v>2279</v>
      </c>
      <c r="B194" s="95"/>
      <c r="C194" s="104">
        <v>128200</v>
      </c>
      <c r="D194" s="104">
        <v>128150</v>
      </c>
      <c r="E194" s="198">
        <v>50</v>
      </c>
    </row>
    <row r="195" spans="1:6">
      <c r="A195" s="2" t="s">
        <v>2280</v>
      </c>
      <c r="B195" s="95"/>
      <c r="C195" s="96"/>
      <c r="D195" s="104">
        <v>3500</v>
      </c>
      <c r="E195" s="199">
        <v>3500</v>
      </c>
    </row>
    <row r="196" spans="1:6">
      <c r="A196" s="2" t="s">
        <v>2281</v>
      </c>
      <c r="B196" s="95"/>
      <c r="C196" s="104">
        <v>95000</v>
      </c>
      <c r="D196" s="104">
        <v>98700</v>
      </c>
      <c r="E196" s="199">
        <v>3700</v>
      </c>
    </row>
    <row r="197" spans="1:6">
      <c r="A197" s="2" t="s">
        <v>617</v>
      </c>
      <c r="B197" s="198">
        <v>252828</v>
      </c>
      <c r="C197" s="96"/>
      <c r="D197" s="96"/>
      <c r="E197" s="198">
        <v>252828</v>
      </c>
      <c r="F197" s="515" t="s">
        <v>1573</v>
      </c>
    </row>
    <row r="198" spans="1:6">
      <c r="A198" s="2" t="s">
        <v>1423</v>
      </c>
      <c r="B198" s="199">
        <v>28377</v>
      </c>
      <c r="C198" s="96"/>
      <c r="D198" s="96"/>
      <c r="E198" s="199">
        <v>28377</v>
      </c>
    </row>
    <row r="199" spans="1:6">
      <c r="A199" s="2" t="s">
        <v>2282</v>
      </c>
      <c r="B199" s="95"/>
      <c r="C199" s="104">
        <v>3600</v>
      </c>
      <c r="D199" s="104">
        <v>5546</v>
      </c>
      <c r="E199" s="199">
        <v>1946</v>
      </c>
    </row>
    <row r="200" spans="1:6">
      <c r="A200" s="2" t="s">
        <v>618</v>
      </c>
      <c r="B200" s="199">
        <v>12448</v>
      </c>
      <c r="C200" s="104">
        <v>54495</v>
      </c>
      <c r="D200" s="104">
        <v>14900</v>
      </c>
      <c r="E200" s="198">
        <v>27147</v>
      </c>
    </row>
    <row r="201" spans="1:6">
      <c r="A201" s="2" t="s">
        <v>1428</v>
      </c>
      <c r="B201" s="95"/>
      <c r="C201" s="104">
        <v>98734</v>
      </c>
      <c r="D201" s="104">
        <v>98734</v>
      </c>
      <c r="E201" s="95"/>
    </row>
    <row r="202" spans="1:6">
      <c r="A202" s="2" t="s">
        <v>621</v>
      </c>
      <c r="B202" s="199">
        <v>65063</v>
      </c>
      <c r="C202" s="96"/>
      <c r="D202" s="96"/>
      <c r="E202" s="199">
        <v>65063</v>
      </c>
    </row>
    <row r="203" spans="1:6">
      <c r="A203" s="2" t="s">
        <v>623</v>
      </c>
      <c r="B203" s="95"/>
      <c r="C203" s="104">
        <v>2500</v>
      </c>
      <c r="D203" s="96"/>
      <c r="E203" s="198">
        <v>2500</v>
      </c>
    </row>
    <row r="204" spans="1:6">
      <c r="A204" s="2" t="s">
        <v>2283</v>
      </c>
      <c r="B204" s="95"/>
      <c r="C204" s="96"/>
      <c r="D204" s="104">
        <v>11500</v>
      </c>
      <c r="E204" s="199">
        <v>11500</v>
      </c>
    </row>
    <row r="205" spans="1:6">
      <c r="A205" s="2" t="s">
        <v>2284</v>
      </c>
      <c r="B205" s="95"/>
      <c r="C205" s="104">
        <v>8184</v>
      </c>
      <c r="D205" s="96"/>
      <c r="E205" s="198">
        <v>8184</v>
      </c>
    </row>
    <row r="206" spans="1:6">
      <c r="A206" s="2" t="s">
        <v>2285</v>
      </c>
      <c r="B206" s="95"/>
      <c r="C206" s="104">
        <v>1850</v>
      </c>
      <c r="D206" s="96"/>
      <c r="E206" s="198">
        <v>1850</v>
      </c>
    </row>
    <row r="207" spans="1:6">
      <c r="A207" s="2" t="s">
        <v>1972</v>
      </c>
      <c r="B207" s="198">
        <v>6260</v>
      </c>
      <c r="C207" s="104">
        <v>1027350</v>
      </c>
      <c r="D207" s="104">
        <v>1099750</v>
      </c>
      <c r="E207" s="199">
        <v>66140</v>
      </c>
      <c r="F207" s="515" t="s">
        <v>1573</v>
      </c>
    </row>
    <row r="208" spans="1:6">
      <c r="A208" s="2" t="s">
        <v>627</v>
      </c>
      <c r="B208" s="198">
        <v>4760</v>
      </c>
      <c r="C208" s="104">
        <v>317036</v>
      </c>
      <c r="D208" s="104">
        <v>312550</v>
      </c>
      <c r="E208" s="198">
        <v>9246</v>
      </c>
      <c r="F208" s="515" t="s">
        <v>1573</v>
      </c>
    </row>
    <row r="209" spans="1:6">
      <c r="A209" s="2" t="s">
        <v>2286</v>
      </c>
      <c r="B209" s="95"/>
      <c r="C209" s="104">
        <v>119000</v>
      </c>
      <c r="D209" s="104">
        <v>119000</v>
      </c>
      <c r="E209" s="95"/>
    </row>
    <row r="210" spans="1:6">
      <c r="A210" s="2" t="s">
        <v>1701</v>
      </c>
      <c r="B210" s="198">
        <v>405106.3</v>
      </c>
      <c r="C210" s="104">
        <v>1118228.7</v>
      </c>
      <c r="D210" s="104">
        <v>1509335</v>
      </c>
      <c r="E210" s="198">
        <v>14000</v>
      </c>
      <c r="F210" s="515" t="s">
        <v>1573</v>
      </c>
    </row>
    <row r="211" spans="1:6">
      <c r="A211" s="2" t="s">
        <v>1281</v>
      </c>
      <c r="B211" s="199">
        <v>5785</v>
      </c>
      <c r="C211" s="104">
        <v>7500</v>
      </c>
      <c r="D211" s="104">
        <v>7500</v>
      </c>
      <c r="E211" s="199">
        <v>5785</v>
      </c>
    </row>
    <row r="212" spans="1:6">
      <c r="A212" s="2" t="s">
        <v>1973</v>
      </c>
      <c r="B212" s="199">
        <v>3114</v>
      </c>
      <c r="C212" s="104">
        <v>199555</v>
      </c>
      <c r="D212" s="104">
        <v>195453</v>
      </c>
      <c r="E212" s="198">
        <v>988</v>
      </c>
    </row>
    <row r="213" spans="1:6">
      <c r="A213" s="2" t="s">
        <v>2287</v>
      </c>
      <c r="B213" s="95"/>
      <c r="C213" s="104">
        <v>163786</v>
      </c>
      <c r="D213" s="96"/>
      <c r="E213" s="198">
        <v>163786</v>
      </c>
    </row>
    <row r="214" spans="1:6">
      <c r="A214" s="2" t="s">
        <v>2288</v>
      </c>
      <c r="B214" s="95"/>
      <c r="C214" s="104">
        <v>2650000</v>
      </c>
      <c r="D214" s="96"/>
      <c r="E214" s="198">
        <v>2650000</v>
      </c>
    </row>
    <row r="215" spans="1:6">
      <c r="A215" s="2" t="s">
        <v>632</v>
      </c>
      <c r="B215" s="198">
        <v>5480</v>
      </c>
      <c r="C215" s="104">
        <v>805151</v>
      </c>
      <c r="D215" s="104">
        <v>767225</v>
      </c>
      <c r="E215" s="198">
        <v>43406</v>
      </c>
      <c r="F215" s="515" t="s">
        <v>1573</v>
      </c>
    </row>
    <row r="216" spans="1:6">
      <c r="A216" s="2" t="s">
        <v>1702</v>
      </c>
      <c r="B216" s="198">
        <v>191700</v>
      </c>
      <c r="C216" s="104">
        <v>5500</v>
      </c>
      <c r="D216" s="104">
        <v>190000</v>
      </c>
      <c r="E216" s="198">
        <v>7200</v>
      </c>
      <c r="F216" s="515" t="s">
        <v>1573</v>
      </c>
    </row>
    <row r="217" spans="1:6">
      <c r="A217" s="2" t="s">
        <v>2289</v>
      </c>
      <c r="B217" s="95"/>
      <c r="C217" s="104">
        <v>649000</v>
      </c>
      <c r="D217" s="104">
        <v>649000</v>
      </c>
      <c r="E217" s="95"/>
    </row>
    <row r="218" spans="1:6">
      <c r="A218" s="2" t="s">
        <v>2290</v>
      </c>
      <c r="B218" s="95"/>
      <c r="C218" s="104">
        <v>60260</v>
      </c>
      <c r="D218" s="104">
        <v>60450</v>
      </c>
      <c r="E218" s="199">
        <v>190</v>
      </c>
    </row>
    <row r="219" spans="1:6">
      <c r="A219" s="2" t="s">
        <v>1280</v>
      </c>
      <c r="B219" s="95"/>
      <c r="C219" s="104">
        <v>27341</v>
      </c>
      <c r="D219" s="104">
        <v>28716</v>
      </c>
      <c r="E219" s="199">
        <v>1375</v>
      </c>
    </row>
    <row r="220" spans="1:6">
      <c r="A220" s="2" t="s">
        <v>1011</v>
      </c>
      <c r="B220" s="199">
        <v>28778</v>
      </c>
      <c r="C220" s="104">
        <v>249200</v>
      </c>
      <c r="D220" s="104">
        <v>275800</v>
      </c>
      <c r="E220" s="199">
        <v>55378</v>
      </c>
    </row>
    <row r="221" spans="1:6">
      <c r="A221" s="2" t="s">
        <v>2291</v>
      </c>
      <c r="B221" s="95"/>
      <c r="C221" s="104">
        <v>3500</v>
      </c>
      <c r="D221" s="96"/>
      <c r="E221" s="198">
        <v>3500</v>
      </c>
    </row>
    <row r="222" spans="1:6">
      <c r="A222" s="2" t="s">
        <v>2292</v>
      </c>
      <c r="B222" s="95"/>
      <c r="C222" s="104">
        <v>102808</v>
      </c>
      <c r="D222" s="104">
        <v>107808</v>
      </c>
      <c r="E222" s="199">
        <v>5000</v>
      </c>
    </row>
    <row r="223" spans="1:6">
      <c r="A223" s="2" t="s">
        <v>2293</v>
      </c>
      <c r="B223" s="95"/>
      <c r="C223" s="104">
        <v>419500</v>
      </c>
      <c r="D223" s="104">
        <v>534395</v>
      </c>
      <c r="E223" s="199">
        <v>114895</v>
      </c>
    </row>
    <row r="224" spans="1:6">
      <c r="A224" s="2" t="s">
        <v>635</v>
      </c>
      <c r="B224" s="199">
        <v>28091</v>
      </c>
      <c r="C224" s="104">
        <v>79941</v>
      </c>
      <c r="D224" s="104">
        <v>63534</v>
      </c>
      <c r="E224" s="199">
        <v>11684</v>
      </c>
    </row>
    <row r="225" spans="1:6">
      <c r="A225" s="2" t="s">
        <v>2294</v>
      </c>
      <c r="B225" s="95"/>
      <c r="C225" s="104">
        <v>157500</v>
      </c>
      <c r="D225" s="104">
        <v>157500</v>
      </c>
      <c r="E225" s="95"/>
    </row>
    <row r="226" spans="1:6">
      <c r="A226" s="2" t="s">
        <v>637</v>
      </c>
      <c r="B226" s="199">
        <v>8965</v>
      </c>
      <c r="C226" s="104">
        <v>57897</v>
      </c>
      <c r="D226" s="104">
        <v>41956</v>
      </c>
      <c r="E226" s="198">
        <v>6976</v>
      </c>
    </row>
    <row r="227" spans="1:6">
      <c r="A227" s="2" t="s">
        <v>1440</v>
      </c>
      <c r="B227" s="198">
        <v>16590</v>
      </c>
      <c r="C227" s="96"/>
      <c r="D227" s="96"/>
      <c r="E227" s="198">
        <v>16590</v>
      </c>
      <c r="F227" s="515" t="s">
        <v>1573</v>
      </c>
    </row>
    <row r="228" spans="1:6">
      <c r="A228" s="2" t="s">
        <v>1976</v>
      </c>
      <c r="B228" s="199">
        <v>2857</v>
      </c>
      <c r="C228" s="104">
        <v>114870</v>
      </c>
      <c r="D228" s="104">
        <v>120005</v>
      </c>
      <c r="E228" s="199">
        <v>7992</v>
      </c>
    </row>
    <row r="229" spans="1:6">
      <c r="A229" s="2" t="s">
        <v>1977</v>
      </c>
      <c r="B229" s="198">
        <v>292419</v>
      </c>
      <c r="C229" s="104">
        <v>2867071</v>
      </c>
      <c r="D229" s="104">
        <v>3255593</v>
      </c>
      <c r="E229" s="199">
        <v>96103</v>
      </c>
      <c r="F229" s="515" t="s">
        <v>1573</v>
      </c>
    </row>
    <row r="230" spans="1:6">
      <c r="A230" s="2" t="s">
        <v>645</v>
      </c>
      <c r="B230" s="95"/>
      <c r="C230" s="104">
        <v>1173163</v>
      </c>
      <c r="D230" s="104">
        <v>1146287</v>
      </c>
      <c r="E230" s="198">
        <v>26876</v>
      </c>
    </row>
    <row r="231" spans="1:6">
      <c r="A231" s="2" t="s">
        <v>646</v>
      </c>
      <c r="B231" s="199">
        <v>7808</v>
      </c>
      <c r="C231" s="96"/>
      <c r="D231" s="96"/>
      <c r="E231" s="199">
        <v>7808</v>
      </c>
    </row>
    <row r="232" spans="1:6">
      <c r="A232" s="2" t="s">
        <v>649</v>
      </c>
      <c r="B232" s="199">
        <v>18445</v>
      </c>
      <c r="C232" s="104">
        <v>170565</v>
      </c>
      <c r="D232" s="104">
        <v>227022</v>
      </c>
      <c r="E232" s="199">
        <v>74902</v>
      </c>
    </row>
    <row r="233" spans="1:6">
      <c r="A233" s="2" t="s">
        <v>2295</v>
      </c>
      <c r="B233" s="95"/>
      <c r="C233" s="104">
        <v>1171168</v>
      </c>
      <c r="D233" s="104">
        <v>1182470</v>
      </c>
      <c r="E233" s="199">
        <v>11302</v>
      </c>
    </row>
    <row r="234" spans="1:6">
      <c r="A234" s="2" t="s">
        <v>1442</v>
      </c>
      <c r="B234" s="95"/>
      <c r="C234" s="104">
        <v>2420</v>
      </c>
      <c r="D234" s="96"/>
      <c r="E234" s="198">
        <v>2420</v>
      </c>
    </row>
    <row r="235" spans="1:6">
      <c r="A235" s="2" t="s">
        <v>1017</v>
      </c>
      <c r="B235" s="199">
        <v>34896</v>
      </c>
      <c r="C235" s="104">
        <v>298960</v>
      </c>
      <c r="D235" s="104">
        <v>319233</v>
      </c>
      <c r="E235" s="199">
        <v>55169</v>
      </c>
    </row>
    <row r="236" spans="1:6">
      <c r="A236" s="2" t="s">
        <v>1703</v>
      </c>
      <c r="B236" s="198">
        <v>99949</v>
      </c>
      <c r="C236" s="104">
        <v>3113747</v>
      </c>
      <c r="D236" s="104">
        <v>2946986</v>
      </c>
      <c r="E236" s="198">
        <v>266710</v>
      </c>
      <c r="F236" s="515" t="s">
        <v>1573</v>
      </c>
    </row>
    <row r="237" spans="1:6">
      <c r="A237" s="2" t="s">
        <v>2296</v>
      </c>
      <c r="B237" s="95"/>
      <c r="C237" s="104">
        <v>4300</v>
      </c>
      <c r="D237" s="104">
        <v>4900</v>
      </c>
      <c r="E237" s="199">
        <v>600</v>
      </c>
    </row>
    <row r="238" spans="1:6">
      <c r="A238" s="2" t="s">
        <v>2297</v>
      </c>
      <c r="B238" s="95"/>
      <c r="C238" s="104">
        <v>6000</v>
      </c>
      <c r="D238" s="96"/>
      <c r="E238" s="198">
        <v>6000</v>
      </c>
    </row>
    <row r="239" spans="1:6">
      <c r="A239" s="2" t="s">
        <v>1978</v>
      </c>
      <c r="B239" s="199">
        <v>7897</v>
      </c>
      <c r="C239" s="104">
        <v>7897</v>
      </c>
      <c r="D239" s="96"/>
      <c r="E239" s="95"/>
    </row>
    <row r="240" spans="1:6">
      <c r="A240" s="2" t="s">
        <v>1445</v>
      </c>
      <c r="B240" s="199">
        <v>6330</v>
      </c>
      <c r="C240" s="96"/>
      <c r="D240" s="96"/>
      <c r="E240" s="199">
        <v>6330</v>
      </c>
    </row>
    <row r="241" spans="1:6">
      <c r="A241" s="2" t="s">
        <v>1705</v>
      </c>
      <c r="B241" s="199">
        <v>13426</v>
      </c>
      <c r="C241" s="96"/>
      <c r="D241" s="96"/>
      <c r="E241" s="199">
        <v>13426</v>
      </c>
    </row>
    <row r="242" spans="1:6">
      <c r="A242" s="2" t="s">
        <v>2298</v>
      </c>
      <c r="B242" s="95"/>
      <c r="C242" s="104">
        <v>124400</v>
      </c>
      <c r="D242" s="96"/>
      <c r="E242" s="198">
        <v>124400</v>
      </c>
    </row>
    <row r="243" spans="1:6">
      <c r="A243" s="2" t="s">
        <v>1980</v>
      </c>
      <c r="B243" s="198">
        <v>26469</v>
      </c>
      <c r="C243" s="104">
        <v>10450</v>
      </c>
      <c r="D243" s="104">
        <v>41055</v>
      </c>
      <c r="E243" s="199">
        <v>4136</v>
      </c>
      <c r="F243" s="515" t="s">
        <v>1573</v>
      </c>
    </row>
    <row r="244" spans="1:6">
      <c r="A244" s="2" t="s">
        <v>661</v>
      </c>
      <c r="B244" s="95"/>
      <c r="C244" s="104">
        <v>6500</v>
      </c>
      <c r="D244" s="96"/>
      <c r="E244" s="198">
        <v>6500</v>
      </c>
    </row>
    <row r="245" spans="1:6">
      <c r="A245" s="2" t="s">
        <v>2299</v>
      </c>
      <c r="B245" s="95"/>
      <c r="C245" s="104">
        <v>120000</v>
      </c>
      <c r="D245" s="104">
        <v>131192</v>
      </c>
      <c r="E245" s="199">
        <v>11192</v>
      </c>
    </row>
    <row r="246" spans="1:6">
      <c r="A246" s="2" t="s">
        <v>665</v>
      </c>
      <c r="B246" s="199">
        <v>33942</v>
      </c>
      <c r="C246" s="96"/>
      <c r="D246" s="96"/>
      <c r="E246" s="199">
        <v>33942</v>
      </c>
    </row>
    <row r="247" spans="1:6">
      <c r="A247" s="2" t="s">
        <v>1706</v>
      </c>
      <c r="B247" s="198">
        <v>95383.5</v>
      </c>
      <c r="C247" s="104">
        <v>3872820</v>
      </c>
      <c r="D247" s="104">
        <v>2557248</v>
      </c>
      <c r="E247" s="198">
        <v>1410955.5</v>
      </c>
      <c r="F247" s="515" t="s">
        <v>1573</v>
      </c>
    </row>
    <row r="248" spans="1:6">
      <c r="A248" s="2" t="s">
        <v>2300</v>
      </c>
      <c r="B248" s="95"/>
      <c r="C248" s="104">
        <v>13500</v>
      </c>
      <c r="D248" s="104">
        <v>13500</v>
      </c>
      <c r="E248" s="95"/>
    </row>
    <row r="249" spans="1:6">
      <c r="A249" s="2" t="s">
        <v>667</v>
      </c>
      <c r="B249" s="199">
        <v>16718</v>
      </c>
      <c r="C249" s="104">
        <v>142660</v>
      </c>
      <c r="D249" s="104">
        <v>184251</v>
      </c>
      <c r="E249" s="199">
        <v>58309</v>
      </c>
    </row>
    <row r="250" spans="1:6">
      <c r="A250" s="2" t="s">
        <v>1982</v>
      </c>
      <c r="B250" s="198">
        <v>268460</v>
      </c>
      <c r="C250" s="104">
        <v>1337900</v>
      </c>
      <c r="D250" s="104">
        <v>1581810</v>
      </c>
      <c r="E250" s="198">
        <v>24550</v>
      </c>
      <c r="F250" s="515" t="s">
        <v>1573</v>
      </c>
    </row>
    <row r="251" spans="1:6">
      <c r="A251" s="2" t="s">
        <v>1983</v>
      </c>
      <c r="B251" s="199">
        <v>20954</v>
      </c>
      <c r="C251" s="104">
        <v>770803</v>
      </c>
      <c r="D251" s="104">
        <v>716861</v>
      </c>
      <c r="E251" s="198">
        <v>32988</v>
      </c>
    </row>
    <row r="252" spans="1:6">
      <c r="A252" s="2" t="s">
        <v>1449</v>
      </c>
      <c r="B252" s="199">
        <v>12539</v>
      </c>
      <c r="C252" s="104">
        <v>167078</v>
      </c>
      <c r="D252" s="104">
        <v>167973</v>
      </c>
      <c r="E252" s="199">
        <v>13434</v>
      </c>
    </row>
    <row r="253" spans="1:6">
      <c r="A253" s="2" t="s">
        <v>669</v>
      </c>
      <c r="B253" s="198">
        <v>21514</v>
      </c>
      <c r="C253" s="104">
        <v>589890</v>
      </c>
      <c r="D253" s="104">
        <v>558848</v>
      </c>
      <c r="E253" s="198">
        <v>52556</v>
      </c>
      <c r="F253" s="515" t="s">
        <v>1573</v>
      </c>
    </row>
    <row r="254" spans="1:6">
      <c r="A254" s="2" t="s">
        <v>1450</v>
      </c>
      <c r="B254" s="95"/>
      <c r="C254" s="104">
        <v>1387</v>
      </c>
      <c r="D254" s="96"/>
      <c r="E254" s="198">
        <v>1387</v>
      </c>
    </row>
    <row r="255" spans="1:6">
      <c r="A255" s="2" t="s">
        <v>670</v>
      </c>
      <c r="B255" s="199">
        <v>75441</v>
      </c>
      <c r="C255" s="104">
        <v>509550</v>
      </c>
      <c r="D255" s="104">
        <v>373470</v>
      </c>
      <c r="E255" s="198">
        <v>60639</v>
      </c>
    </row>
    <row r="256" spans="1:6">
      <c r="A256" s="2" t="s">
        <v>2301</v>
      </c>
      <c r="B256" s="95"/>
      <c r="C256" s="104">
        <v>2491217</v>
      </c>
      <c r="D256" s="104">
        <v>2502424</v>
      </c>
      <c r="E256" s="199">
        <v>11207</v>
      </c>
    </row>
    <row r="257" spans="1:6">
      <c r="A257" s="2" t="s">
        <v>2302</v>
      </c>
      <c r="B257" s="95"/>
      <c r="C257" s="104">
        <v>13</v>
      </c>
      <c r="D257" s="96"/>
      <c r="E257" s="198">
        <v>13</v>
      </c>
    </row>
    <row r="258" spans="1:6">
      <c r="A258" s="2" t="s">
        <v>1279</v>
      </c>
      <c r="B258" s="198">
        <v>234568</v>
      </c>
      <c r="C258" s="104">
        <v>30000</v>
      </c>
      <c r="D258" s="96"/>
      <c r="E258" s="198">
        <v>264568</v>
      </c>
      <c r="F258" s="515" t="s">
        <v>1573</v>
      </c>
    </row>
    <row r="259" spans="1:6">
      <c r="A259" s="2" t="s">
        <v>2303</v>
      </c>
      <c r="B259" s="95"/>
      <c r="C259" s="104">
        <v>45530</v>
      </c>
      <c r="D259" s="96"/>
      <c r="E259" s="198">
        <v>45530</v>
      </c>
    </row>
    <row r="260" spans="1:6">
      <c r="A260" s="2" t="s">
        <v>1985</v>
      </c>
      <c r="B260" s="199">
        <v>328459</v>
      </c>
      <c r="C260" s="104">
        <v>328459</v>
      </c>
      <c r="D260" s="96"/>
      <c r="E260" s="95"/>
    </row>
    <row r="261" spans="1:6">
      <c r="A261" s="2" t="s">
        <v>2304</v>
      </c>
      <c r="B261" s="95"/>
      <c r="C261" s="104">
        <v>3500</v>
      </c>
      <c r="D261" s="104">
        <v>3827</v>
      </c>
      <c r="E261" s="199">
        <v>327</v>
      </c>
    </row>
    <row r="262" spans="1:6">
      <c r="A262" s="2" t="s">
        <v>671</v>
      </c>
      <c r="B262" s="95"/>
      <c r="C262" s="104">
        <v>10000</v>
      </c>
      <c r="D262" s="96"/>
      <c r="E262" s="198">
        <v>10000</v>
      </c>
    </row>
    <row r="263" spans="1:6">
      <c r="A263" s="2" t="s">
        <v>1986</v>
      </c>
      <c r="B263" s="198">
        <v>44550</v>
      </c>
      <c r="C263" s="104">
        <v>835100</v>
      </c>
      <c r="D263" s="104">
        <v>899347</v>
      </c>
      <c r="E263" s="199">
        <v>19697</v>
      </c>
      <c r="F263" s="515" t="s">
        <v>1573</v>
      </c>
    </row>
    <row r="264" spans="1:6">
      <c r="A264" s="2" t="s">
        <v>1025</v>
      </c>
      <c r="B264" s="198">
        <v>218178</v>
      </c>
      <c r="C264" s="104">
        <v>2296960</v>
      </c>
      <c r="D264" s="104">
        <v>2470453</v>
      </c>
      <c r="E264" s="198">
        <v>44685</v>
      </c>
      <c r="F264" s="515" t="s">
        <v>1573</v>
      </c>
    </row>
    <row r="265" spans="1:6">
      <c r="A265" s="2" t="s">
        <v>1987</v>
      </c>
      <c r="B265" s="198">
        <v>119700</v>
      </c>
      <c r="C265" s="104">
        <v>232500</v>
      </c>
      <c r="D265" s="104">
        <v>283330</v>
      </c>
      <c r="E265" s="198">
        <v>68870</v>
      </c>
      <c r="F265" s="515" t="s">
        <v>1573</v>
      </c>
    </row>
    <row r="266" spans="1:6">
      <c r="A266" s="2" t="s">
        <v>1455</v>
      </c>
      <c r="B266" s="198">
        <v>6564</v>
      </c>
      <c r="C266" s="104">
        <v>608905</v>
      </c>
      <c r="D266" s="104">
        <v>571118</v>
      </c>
      <c r="E266" s="198">
        <v>44351</v>
      </c>
      <c r="F266" s="515" t="s">
        <v>1573</v>
      </c>
    </row>
    <row r="267" spans="1:6">
      <c r="A267" s="2" t="s">
        <v>2305</v>
      </c>
      <c r="B267" s="95"/>
      <c r="C267" s="104">
        <v>8950</v>
      </c>
      <c r="D267" s="104">
        <v>8950</v>
      </c>
      <c r="E267" s="95"/>
    </row>
    <row r="268" spans="1:6">
      <c r="A268" s="2" t="s">
        <v>677</v>
      </c>
      <c r="B268" s="198">
        <v>37934</v>
      </c>
      <c r="C268" s="104">
        <v>516502</v>
      </c>
      <c r="D268" s="104">
        <v>500349</v>
      </c>
      <c r="E268" s="198">
        <v>54087</v>
      </c>
      <c r="F268" s="515" t="s">
        <v>1573</v>
      </c>
    </row>
    <row r="269" spans="1:6">
      <c r="A269" s="2" t="s">
        <v>2306</v>
      </c>
      <c r="B269" s="95"/>
      <c r="C269" s="104">
        <v>1850</v>
      </c>
      <c r="D269" s="104">
        <v>5000</v>
      </c>
      <c r="E269" s="199">
        <v>3150</v>
      </c>
    </row>
    <row r="270" spans="1:6">
      <c r="A270" s="2" t="s">
        <v>1816</v>
      </c>
      <c r="B270" s="198">
        <v>34313</v>
      </c>
      <c r="C270" s="104">
        <v>254979</v>
      </c>
      <c r="D270" s="104">
        <v>267112</v>
      </c>
      <c r="E270" s="198">
        <v>22180</v>
      </c>
      <c r="F270" s="515" t="s">
        <v>1573</v>
      </c>
    </row>
    <row r="271" spans="1:6">
      <c r="A271" s="2" t="s">
        <v>2307</v>
      </c>
      <c r="B271" s="95"/>
      <c r="C271" s="104">
        <v>9435</v>
      </c>
      <c r="D271" s="104">
        <v>73550</v>
      </c>
      <c r="E271" s="199">
        <v>64115</v>
      </c>
    </row>
    <row r="272" spans="1:6">
      <c r="A272" s="2" t="s">
        <v>1027</v>
      </c>
      <c r="B272" s="199">
        <v>9225</v>
      </c>
      <c r="C272" s="96"/>
      <c r="D272" s="96"/>
      <c r="E272" s="199">
        <v>9225</v>
      </c>
    </row>
    <row r="273" spans="1:6">
      <c r="A273" s="2" t="s">
        <v>2308</v>
      </c>
      <c r="B273" s="95"/>
      <c r="C273" s="104">
        <v>4011822</v>
      </c>
      <c r="D273" s="104">
        <v>4011822</v>
      </c>
      <c r="E273" s="95"/>
    </row>
    <row r="274" spans="1:6">
      <c r="A274" s="2" t="s">
        <v>1988</v>
      </c>
      <c r="B274" s="199">
        <v>27302</v>
      </c>
      <c r="C274" s="104">
        <v>27302</v>
      </c>
      <c r="D274" s="96"/>
      <c r="E274" s="95"/>
    </row>
    <row r="275" spans="1:6">
      <c r="A275" s="2" t="s">
        <v>1712</v>
      </c>
      <c r="B275" s="198">
        <v>198116</v>
      </c>
      <c r="C275" s="104">
        <v>1340985</v>
      </c>
      <c r="D275" s="104">
        <v>1476711</v>
      </c>
      <c r="E275" s="198">
        <v>62390</v>
      </c>
      <c r="F275" s="515" t="s">
        <v>1573</v>
      </c>
    </row>
    <row r="276" spans="1:6">
      <c r="A276" s="2" t="s">
        <v>2309</v>
      </c>
      <c r="B276" s="95"/>
      <c r="C276" s="104">
        <v>87000</v>
      </c>
      <c r="D276" s="104">
        <v>87150</v>
      </c>
      <c r="E276" s="199">
        <v>150</v>
      </c>
    </row>
    <row r="277" spans="1:6">
      <c r="A277" s="2" t="s">
        <v>685</v>
      </c>
      <c r="B277" s="198">
        <v>265000</v>
      </c>
      <c r="C277" s="104">
        <v>25000</v>
      </c>
      <c r="D277" s="96"/>
      <c r="E277" s="198">
        <v>290000</v>
      </c>
      <c r="F277" s="515" t="s">
        <v>1573</v>
      </c>
    </row>
    <row r="278" spans="1:6">
      <c r="A278" s="2" t="s">
        <v>2310</v>
      </c>
      <c r="B278" s="95"/>
      <c r="C278" s="104">
        <v>400000</v>
      </c>
      <c r="D278" s="96"/>
      <c r="E278" s="198">
        <v>400000</v>
      </c>
    </row>
    <row r="279" spans="1:6">
      <c r="A279" s="2" t="s">
        <v>1819</v>
      </c>
      <c r="B279" s="95"/>
      <c r="C279" s="96"/>
      <c r="D279" s="104">
        <v>6465</v>
      </c>
      <c r="E279" s="199">
        <v>6465</v>
      </c>
    </row>
    <row r="280" spans="1:6">
      <c r="A280" s="2" t="s">
        <v>2311</v>
      </c>
      <c r="B280" s="95"/>
      <c r="C280" s="104">
        <v>2000000</v>
      </c>
      <c r="D280" s="104">
        <v>2330441</v>
      </c>
      <c r="E280" s="199">
        <v>330441</v>
      </c>
    </row>
    <row r="281" spans="1:6">
      <c r="A281" s="2" t="s">
        <v>1990</v>
      </c>
      <c r="B281" s="198">
        <v>92384</v>
      </c>
      <c r="C281" s="104">
        <v>828731</v>
      </c>
      <c r="D281" s="104">
        <v>921115</v>
      </c>
      <c r="E281" s="95"/>
      <c r="F281" s="515" t="s">
        <v>1573</v>
      </c>
    </row>
    <row r="282" spans="1:6">
      <c r="A282" s="2" t="s">
        <v>1029</v>
      </c>
      <c r="B282" s="95"/>
      <c r="C282" s="104">
        <v>9100</v>
      </c>
      <c r="D282" s="104">
        <v>9399</v>
      </c>
      <c r="E282" s="199">
        <v>299</v>
      </c>
    </row>
    <row r="283" spans="1:6">
      <c r="A283" s="2" t="s">
        <v>2312</v>
      </c>
      <c r="B283" s="95"/>
      <c r="C283" s="104">
        <v>22500</v>
      </c>
      <c r="D283" s="104">
        <v>22715</v>
      </c>
      <c r="E283" s="199">
        <v>215</v>
      </c>
    </row>
    <row r="284" spans="1:6">
      <c r="A284" s="2" t="s">
        <v>2313</v>
      </c>
      <c r="B284" s="95"/>
      <c r="C284" s="104">
        <v>329543</v>
      </c>
      <c r="D284" s="104">
        <v>296543</v>
      </c>
      <c r="E284" s="198">
        <v>33000</v>
      </c>
    </row>
    <row r="285" spans="1:6">
      <c r="A285" s="2" t="s">
        <v>1031</v>
      </c>
      <c r="B285" s="199">
        <v>207531</v>
      </c>
      <c r="C285" s="104">
        <v>5440322</v>
      </c>
      <c r="D285" s="104">
        <v>3996038</v>
      </c>
      <c r="E285" s="198">
        <v>1236753</v>
      </c>
    </row>
    <row r="286" spans="1:6">
      <c r="A286" s="2" t="s">
        <v>1991</v>
      </c>
      <c r="B286" s="198">
        <v>12545</v>
      </c>
      <c r="C286" s="104">
        <v>1144156</v>
      </c>
      <c r="D286" s="104">
        <v>1180283</v>
      </c>
      <c r="E286" s="199">
        <v>23582</v>
      </c>
      <c r="F286" s="515" t="s">
        <v>1573</v>
      </c>
    </row>
    <row r="287" spans="1:6">
      <c r="A287" s="2" t="s">
        <v>2314</v>
      </c>
      <c r="B287" s="95"/>
      <c r="C287" s="104">
        <v>52000</v>
      </c>
      <c r="D287" s="104">
        <v>64300</v>
      </c>
      <c r="E287" s="199">
        <v>12300</v>
      </c>
    </row>
    <row r="288" spans="1:6">
      <c r="A288" s="2" t="s">
        <v>696</v>
      </c>
      <c r="B288" s="199">
        <v>11035</v>
      </c>
      <c r="C288" s="96"/>
      <c r="D288" s="96"/>
      <c r="E288" s="199">
        <v>11035</v>
      </c>
    </row>
    <row r="289" spans="1:6">
      <c r="A289" s="2" t="s">
        <v>1992</v>
      </c>
      <c r="B289" s="199">
        <v>1600</v>
      </c>
      <c r="C289" s="96"/>
      <c r="D289" s="96"/>
      <c r="E289" s="199">
        <v>1600</v>
      </c>
    </row>
    <row r="290" spans="1:6">
      <c r="A290" s="2" t="s">
        <v>2315</v>
      </c>
      <c r="B290" s="95"/>
      <c r="C290" s="104">
        <v>20000</v>
      </c>
      <c r="D290" s="96"/>
      <c r="E290" s="198">
        <v>20000</v>
      </c>
    </row>
    <row r="291" spans="1:6">
      <c r="A291" s="2" t="s">
        <v>2316</v>
      </c>
      <c r="B291" s="95"/>
      <c r="C291" s="104">
        <v>2800</v>
      </c>
      <c r="D291" s="96"/>
      <c r="E291" s="198">
        <v>2800</v>
      </c>
    </row>
    <row r="292" spans="1:6">
      <c r="A292" s="2" t="s">
        <v>700</v>
      </c>
      <c r="B292" s="199">
        <v>42983</v>
      </c>
      <c r="C292" s="96"/>
      <c r="D292" s="96"/>
      <c r="E292" s="199">
        <v>42983</v>
      </c>
    </row>
    <row r="293" spans="1:6">
      <c r="A293" s="2" t="s">
        <v>1993</v>
      </c>
      <c r="B293" s="199">
        <v>3800</v>
      </c>
      <c r="C293" s="96"/>
      <c r="D293" s="96"/>
      <c r="E293" s="199">
        <v>3800</v>
      </c>
    </row>
    <row r="294" spans="1:6">
      <c r="A294" s="2" t="s">
        <v>1032</v>
      </c>
      <c r="B294" s="199">
        <v>316617.93</v>
      </c>
      <c r="C294" s="96"/>
      <c r="D294" s="96"/>
      <c r="E294" s="199">
        <v>316617.93</v>
      </c>
    </row>
    <row r="295" spans="1:6">
      <c r="A295" s="2" t="s">
        <v>1994</v>
      </c>
      <c r="B295" s="199">
        <v>5574</v>
      </c>
      <c r="C295" s="104">
        <v>25000</v>
      </c>
      <c r="D295" s="96"/>
      <c r="E295" s="198">
        <v>19426</v>
      </c>
    </row>
    <row r="296" spans="1:6">
      <c r="A296" s="2" t="s">
        <v>650</v>
      </c>
      <c r="B296" s="199">
        <v>135879</v>
      </c>
      <c r="C296" s="104">
        <v>104433</v>
      </c>
      <c r="D296" s="104">
        <v>115264</v>
      </c>
      <c r="E296" s="199">
        <v>146710</v>
      </c>
    </row>
    <row r="297" spans="1:6">
      <c r="A297" s="2" t="s">
        <v>656</v>
      </c>
      <c r="B297" s="198">
        <v>55979</v>
      </c>
      <c r="C297" s="96"/>
      <c r="D297" s="104">
        <v>43300</v>
      </c>
      <c r="E297" s="198">
        <v>12679</v>
      </c>
      <c r="F297" s="515" t="s">
        <v>1573</v>
      </c>
    </row>
    <row r="298" spans="1:6">
      <c r="A298" s="2" t="s">
        <v>1176</v>
      </c>
      <c r="B298" s="199">
        <v>11194</v>
      </c>
      <c r="C298" s="96"/>
      <c r="D298" s="96"/>
      <c r="E298" s="199">
        <v>11194</v>
      </c>
    </row>
    <row r="299" spans="1:6">
      <c r="A299" s="2" t="s">
        <v>2317</v>
      </c>
      <c r="B299" s="198">
        <v>13577</v>
      </c>
      <c r="C299" s="104">
        <v>94078</v>
      </c>
      <c r="D299" s="104">
        <v>109325</v>
      </c>
      <c r="E299" s="199">
        <v>1670</v>
      </c>
      <c r="F299" s="515" t="s">
        <v>1573</v>
      </c>
    </row>
    <row r="300" spans="1:6">
      <c r="A300" s="2" t="s">
        <v>1464</v>
      </c>
      <c r="B300" s="199">
        <v>1200</v>
      </c>
      <c r="C300" s="96"/>
      <c r="D300" s="96"/>
      <c r="E300" s="199">
        <v>1200</v>
      </c>
    </row>
    <row r="301" spans="1:6">
      <c r="A301" s="2" t="s">
        <v>1037</v>
      </c>
      <c r="B301" s="198">
        <v>2947</v>
      </c>
      <c r="C301" s="104">
        <v>165445</v>
      </c>
      <c r="D301" s="104">
        <v>132205</v>
      </c>
      <c r="E301" s="198">
        <v>36187</v>
      </c>
    </row>
    <row r="302" spans="1:6">
      <c r="A302" s="2" t="s">
        <v>695</v>
      </c>
      <c r="B302" s="95"/>
      <c r="C302" s="104">
        <v>6700</v>
      </c>
      <c r="D302" s="104">
        <v>8000</v>
      </c>
      <c r="E302" s="199">
        <v>1300</v>
      </c>
    </row>
    <row r="303" spans="1:6">
      <c r="A303" s="2" t="s">
        <v>1467</v>
      </c>
      <c r="B303" s="199">
        <v>2090</v>
      </c>
      <c r="C303" s="96"/>
      <c r="D303" s="96"/>
      <c r="E303" s="199">
        <v>2090</v>
      </c>
    </row>
    <row r="304" spans="1:6">
      <c r="A304" s="2" t="s">
        <v>697</v>
      </c>
      <c r="B304" s="198">
        <v>45015</v>
      </c>
      <c r="C304" s="104">
        <v>287520</v>
      </c>
      <c r="D304" s="104">
        <v>351769</v>
      </c>
      <c r="E304" s="199">
        <v>19234</v>
      </c>
      <c r="F304" s="515" t="s">
        <v>1573</v>
      </c>
    </row>
    <row r="305" spans="1:5">
      <c r="A305" s="19" t="s">
        <v>75</v>
      </c>
      <c r="B305" s="279">
        <v>1700986.87</v>
      </c>
      <c r="C305" s="201">
        <v>52567669.700000003</v>
      </c>
      <c r="D305" s="201">
        <v>48161046</v>
      </c>
      <c r="E305" s="279">
        <v>6107610.5700000003</v>
      </c>
    </row>
    <row r="306" spans="1:5">
      <c r="A306" s="118"/>
      <c r="B306" s="527"/>
      <c r="C306" s="338"/>
      <c r="D306" s="338"/>
      <c r="E306" s="527"/>
    </row>
    <row r="307" spans="1:5">
      <c r="A307" s="118" t="s">
        <v>2362</v>
      </c>
      <c r="B307" s="527"/>
      <c r="C307" s="338"/>
      <c r="D307" s="338"/>
      <c r="E307" s="527"/>
    </row>
    <row r="308" spans="1:5">
      <c r="A308" s="118"/>
      <c r="B308" s="527"/>
      <c r="C308" s="338"/>
      <c r="D308" s="338"/>
      <c r="E308" s="527"/>
    </row>
    <row r="309" spans="1:5">
      <c r="A309" s="2" t="s">
        <v>2318</v>
      </c>
      <c r="B309" s="95"/>
      <c r="C309" s="104">
        <v>933970</v>
      </c>
      <c r="D309" s="104">
        <v>933970</v>
      </c>
      <c r="E309" s="95"/>
    </row>
    <row r="310" spans="1:5">
      <c r="A310" s="2" t="s">
        <v>2319</v>
      </c>
      <c r="B310" s="95"/>
      <c r="C310" s="104">
        <v>141400</v>
      </c>
      <c r="D310" s="104">
        <v>141400</v>
      </c>
      <c r="E310" s="95"/>
    </row>
    <row r="311" spans="1:5">
      <c r="A311" s="2" t="s">
        <v>1996</v>
      </c>
      <c r="B311" s="199">
        <v>89170</v>
      </c>
      <c r="C311" s="104">
        <v>89170</v>
      </c>
      <c r="D311" s="96"/>
      <c r="E311" s="95"/>
    </row>
    <row r="312" spans="1:5">
      <c r="A312" s="2" t="s">
        <v>1997</v>
      </c>
      <c r="B312" s="95"/>
      <c r="C312" s="104">
        <v>3500</v>
      </c>
      <c r="D312" s="96"/>
      <c r="E312" s="198">
        <v>3500</v>
      </c>
    </row>
    <row r="313" spans="1:5">
      <c r="A313" s="2" t="s">
        <v>2320</v>
      </c>
      <c r="B313" s="95"/>
      <c r="C313" s="104">
        <v>16500</v>
      </c>
      <c r="D313" s="104">
        <v>102000</v>
      </c>
      <c r="E313" s="199">
        <v>85500</v>
      </c>
    </row>
    <row r="314" spans="1:5">
      <c r="A314" s="2" t="s">
        <v>1716</v>
      </c>
      <c r="B314" s="95"/>
      <c r="C314" s="104">
        <v>207066</v>
      </c>
      <c r="D314" s="104">
        <v>162040</v>
      </c>
      <c r="E314" s="198">
        <v>45026</v>
      </c>
    </row>
    <row r="315" spans="1:5">
      <c r="A315" s="2" t="s">
        <v>2321</v>
      </c>
      <c r="B315" s="199">
        <v>669065</v>
      </c>
      <c r="C315" s="104">
        <v>2672285</v>
      </c>
      <c r="D315" s="104">
        <v>2054895</v>
      </c>
      <c r="E315" s="199">
        <v>51675</v>
      </c>
    </row>
    <row r="316" spans="1:5">
      <c r="A316" s="2" t="s">
        <v>1999</v>
      </c>
      <c r="B316" s="95"/>
      <c r="C316" s="104">
        <v>656000</v>
      </c>
      <c r="D316" s="104">
        <v>731000</v>
      </c>
      <c r="E316" s="199">
        <v>75000</v>
      </c>
    </row>
    <row r="317" spans="1:5">
      <c r="A317" s="2" t="s">
        <v>2322</v>
      </c>
      <c r="B317" s="95"/>
      <c r="C317" s="104">
        <v>600000</v>
      </c>
      <c r="D317" s="104">
        <v>664016</v>
      </c>
      <c r="E317" s="199">
        <v>64016</v>
      </c>
    </row>
    <row r="318" spans="1:5">
      <c r="A318" s="2" t="s">
        <v>707</v>
      </c>
      <c r="B318" s="199">
        <v>293640.2</v>
      </c>
      <c r="C318" s="104">
        <v>3068640</v>
      </c>
      <c r="D318" s="104">
        <v>3282450</v>
      </c>
      <c r="E318" s="199">
        <v>507450.2</v>
      </c>
    </row>
    <row r="319" spans="1:5">
      <c r="A319" s="2" t="s">
        <v>1717</v>
      </c>
      <c r="B319" s="199">
        <v>973949.2</v>
      </c>
      <c r="C319" s="104">
        <v>1450000</v>
      </c>
      <c r="D319" s="104">
        <v>523902</v>
      </c>
      <c r="E319" s="199">
        <v>47851.199999999997</v>
      </c>
    </row>
    <row r="320" spans="1:5">
      <c r="A320" s="2" t="s">
        <v>2323</v>
      </c>
      <c r="B320" s="95"/>
      <c r="C320" s="104">
        <v>183150</v>
      </c>
      <c r="D320" s="104">
        <v>183150</v>
      </c>
      <c r="E320" s="95"/>
    </row>
    <row r="321" spans="1:5">
      <c r="A321" s="2" t="s">
        <v>2324</v>
      </c>
      <c r="B321" s="95"/>
      <c r="C321" s="104">
        <v>654987</v>
      </c>
      <c r="D321" s="104">
        <v>648124</v>
      </c>
      <c r="E321" s="198">
        <v>6863</v>
      </c>
    </row>
    <row r="322" spans="1:5">
      <c r="A322" s="2" t="s">
        <v>2325</v>
      </c>
      <c r="B322" s="95"/>
      <c r="C322" s="104">
        <v>14740533</v>
      </c>
      <c r="D322" s="104">
        <v>12716406</v>
      </c>
      <c r="E322" s="198">
        <v>2024127</v>
      </c>
    </row>
    <row r="323" spans="1:5">
      <c r="A323" s="2" t="s">
        <v>709</v>
      </c>
      <c r="B323" s="199">
        <v>52224</v>
      </c>
      <c r="C323" s="96"/>
      <c r="D323" s="96"/>
      <c r="E323" s="199">
        <v>52224</v>
      </c>
    </row>
    <row r="324" spans="1:5">
      <c r="A324" s="2" t="s">
        <v>2326</v>
      </c>
      <c r="B324" s="95"/>
      <c r="C324" s="104">
        <v>160300</v>
      </c>
      <c r="D324" s="104">
        <v>160300</v>
      </c>
      <c r="E324" s="95"/>
    </row>
    <row r="325" spans="1:5">
      <c r="A325" s="2" t="s">
        <v>2327</v>
      </c>
      <c r="B325" s="95"/>
      <c r="C325" s="104">
        <v>161979</v>
      </c>
      <c r="D325" s="104">
        <v>161979</v>
      </c>
      <c r="E325" s="95"/>
    </row>
    <row r="326" spans="1:5">
      <c r="A326" s="2" t="s">
        <v>1475</v>
      </c>
      <c r="B326" s="199">
        <v>45200</v>
      </c>
      <c r="C326" s="104">
        <v>471900</v>
      </c>
      <c r="D326" s="104">
        <v>659370</v>
      </c>
      <c r="E326" s="199">
        <v>232670</v>
      </c>
    </row>
    <row r="327" spans="1:5">
      <c r="A327" s="2" t="s">
        <v>2328</v>
      </c>
      <c r="B327" s="95"/>
      <c r="C327" s="104">
        <v>990000</v>
      </c>
      <c r="D327" s="96"/>
      <c r="E327" s="198">
        <v>990000</v>
      </c>
    </row>
    <row r="328" spans="1:5">
      <c r="A328" s="2" t="s">
        <v>2329</v>
      </c>
      <c r="B328" s="95"/>
      <c r="C328" s="104">
        <v>50858</v>
      </c>
      <c r="D328" s="96"/>
      <c r="E328" s="198">
        <v>50858</v>
      </c>
    </row>
    <row r="329" spans="1:5">
      <c r="A329" s="2" t="s">
        <v>1831</v>
      </c>
      <c r="B329" s="199">
        <v>5241</v>
      </c>
      <c r="C329" s="96"/>
      <c r="D329" s="96"/>
      <c r="E329" s="199">
        <v>5241</v>
      </c>
    </row>
    <row r="330" spans="1:5">
      <c r="A330" s="2" t="s">
        <v>2330</v>
      </c>
      <c r="B330" s="95"/>
      <c r="C330" s="104">
        <v>60500</v>
      </c>
      <c r="D330" s="104">
        <v>121000</v>
      </c>
      <c r="E330" s="199">
        <v>60500</v>
      </c>
    </row>
    <row r="331" spans="1:5">
      <c r="A331" s="2" t="s">
        <v>2331</v>
      </c>
      <c r="B331" s="95"/>
      <c r="C331" s="104">
        <v>45725</v>
      </c>
      <c r="D331" s="104">
        <v>82644</v>
      </c>
      <c r="E331" s="199">
        <v>36919</v>
      </c>
    </row>
    <row r="332" spans="1:5">
      <c r="A332" s="2" t="s">
        <v>2332</v>
      </c>
      <c r="B332" s="95"/>
      <c r="C332" s="104">
        <v>98700</v>
      </c>
      <c r="D332" s="104">
        <v>98700</v>
      </c>
      <c r="E332" s="95"/>
    </row>
    <row r="333" spans="1:5">
      <c r="A333" s="2" t="s">
        <v>1834</v>
      </c>
      <c r="B333" s="199">
        <v>4042</v>
      </c>
      <c r="C333" s="104">
        <v>266294</v>
      </c>
      <c r="D333" s="104">
        <v>266294</v>
      </c>
      <c r="E333" s="199">
        <v>4042</v>
      </c>
    </row>
    <row r="334" spans="1:5">
      <c r="A334" s="2" t="s">
        <v>1835</v>
      </c>
      <c r="B334" s="95"/>
      <c r="C334" s="96"/>
      <c r="D334" s="104">
        <v>110000</v>
      </c>
      <c r="E334" s="199">
        <v>110000</v>
      </c>
    </row>
    <row r="335" spans="1:5">
      <c r="A335" s="2" t="s">
        <v>2333</v>
      </c>
      <c r="B335" s="95"/>
      <c r="C335" s="96"/>
      <c r="D335" s="104">
        <v>506466</v>
      </c>
      <c r="E335" s="199">
        <v>506466</v>
      </c>
    </row>
    <row r="336" spans="1:5">
      <c r="A336" s="2" t="s">
        <v>2334</v>
      </c>
      <c r="B336" s="95"/>
      <c r="C336" s="104">
        <v>765000</v>
      </c>
      <c r="D336" s="104">
        <v>859190</v>
      </c>
      <c r="E336" s="199">
        <v>94190</v>
      </c>
    </row>
    <row r="337" spans="1:5">
      <c r="A337" s="2" t="s">
        <v>2335</v>
      </c>
      <c r="B337" s="95"/>
      <c r="C337" s="104">
        <v>71598</v>
      </c>
      <c r="D337" s="104">
        <v>71598</v>
      </c>
      <c r="E337" s="95"/>
    </row>
    <row r="338" spans="1:5">
      <c r="A338" s="2" t="s">
        <v>2336</v>
      </c>
      <c r="B338" s="95"/>
      <c r="C338" s="96"/>
      <c r="D338" s="104">
        <v>14400</v>
      </c>
      <c r="E338" s="199">
        <v>14400</v>
      </c>
    </row>
    <row r="339" spans="1:5">
      <c r="A339" s="2" t="s">
        <v>2337</v>
      </c>
      <c r="B339" s="95"/>
      <c r="C339" s="104">
        <v>90990</v>
      </c>
      <c r="D339" s="104">
        <v>90990</v>
      </c>
      <c r="E339" s="95"/>
    </row>
    <row r="340" spans="1:5">
      <c r="A340" s="2" t="s">
        <v>2338</v>
      </c>
      <c r="B340" s="95"/>
      <c r="C340" s="104">
        <v>3000</v>
      </c>
      <c r="D340" s="96"/>
      <c r="E340" s="198">
        <v>3000</v>
      </c>
    </row>
    <row r="341" spans="1:5">
      <c r="A341" s="2" t="s">
        <v>1270</v>
      </c>
      <c r="B341" s="199">
        <v>108190</v>
      </c>
      <c r="C341" s="104">
        <v>88190</v>
      </c>
      <c r="D341" s="96"/>
      <c r="E341" s="199">
        <v>20000</v>
      </c>
    </row>
    <row r="342" spans="1:5">
      <c r="A342" s="2" t="s">
        <v>2007</v>
      </c>
      <c r="B342" s="199">
        <v>90400</v>
      </c>
      <c r="C342" s="104">
        <v>1094028</v>
      </c>
      <c r="D342" s="104">
        <v>1003628</v>
      </c>
      <c r="E342" s="95"/>
    </row>
    <row r="343" spans="1:5">
      <c r="A343" s="2" t="s">
        <v>721</v>
      </c>
      <c r="B343" s="199">
        <v>5500</v>
      </c>
      <c r="C343" s="104">
        <v>5500</v>
      </c>
      <c r="D343" s="96"/>
      <c r="E343" s="95"/>
    </row>
    <row r="344" spans="1:5">
      <c r="A344" s="2" t="s">
        <v>2339</v>
      </c>
      <c r="B344" s="95"/>
      <c r="C344" s="104">
        <v>193324</v>
      </c>
      <c r="D344" s="104">
        <v>197256</v>
      </c>
      <c r="E344" s="199">
        <v>3932</v>
      </c>
    </row>
    <row r="345" spans="1:5">
      <c r="A345" s="2" t="s">
        <v>1043</v>
      </c>
      <c r="B345" s="95"/>
      <c r="C345" s="104">
        <v>11400</v>
      </c>
      <c r="D345" s="104">
        <v>11400</v>
      </c>
      <c r="E345" s="95"/>
    </row>
    <row r="346" spans="1:5">
      <c r="A346" s="2" t="s">
        <v>2008</v>
      </c>
      <c r="B346" s="95"/>
      <c r="C346" s="104">
        <v>68750</v>
      </c>
      <c r="D346" s="104">
        <v>156750</v>
      </c>
      <c r="E346" s="199">
        <v>88000</v>
      </c>
    </row>
    <row r="347" spans="1:5">
      <c r="A347" s="2"/>
      <c r="B347" s="95"/>
      <c r="C347" s="104"/>
      <c r="D347" s="104"/>
      <c r="E347" s="199"/>
    </row>
    <row r="348" spans="1:5">
      <c r="A348" s="2" t="s">
        <v>2276</v>
      </c>
      <c r="B348" s="95"/>
      <c r="C348" s="104">
        <v>108000</v>
      </c>
      <c r="D348" s="104">
        <v>108000</v>
      </c>
      <c r="E348" s="95"/>
    </row>
    <row r="349" spans="1:5">
      <c r="A349" s="19" t="s">
        <v>75</v>
      </c>
      <c r="B349" s="262">
        <v>2336621.4</v>
      </c>
      <c r="C349" s="201">
        <v>30223237</v>
      </c>
      <c r="D349" s="201">
        <v>26823318</v>
      </c>
      <c r="E349" s="279">
        <v>1063297.6000000001</v>
      </c>
    </row>
    <row r="350" spans="1:5">
      <c r="A350" s="498"/>
      <c r="B350" s="512"/>
      <c r="C350" s="503" t="s">
        <v>319</v>
      </c>
      <c r="D350" s="503"/>
      <c r="E350" s="512"/>
    </row>
    <row r="351" spans="1:5">
      <c r="A351" s="469" t="s">
        <v>2013</v>
      </c>
      <c r="B351" s="473">
        <v>412000</v>
      </c>
      <c r="C351" s="472">
        <v>412000</v>
      </c>
      <c r="D351" s="471"/>
      <c r="E351" s="470"/>
    </row>
    <row r="352" spans="1:5">
      <c r="A352" s="469" t="s">
        <v>1177</v>
      </c>
      <c r="B352" s="477"/>
      <c r="C352" s="475">
        <v>14294920</v>
      </c>
      <c r="D352" s="475">
        <v>14294920</v>
      </c>
      <c r="E352" s="477"/>
    </row>
    <row r="353" spans="1:7">
      <c r="A353" s="469" t="s">
        <v>2014</v>
      </c>
      <c r="B353" s="470"/>
      <c r="C353" s="472">
        <v>2938363</v>
      </c>
      <c r="D353" s="472">
        <v>2938363</v>
      </c>
      <c r="E353" s="470"/>
    </row>
    <row r="354" spans="1:7">
      <c r="A354" s="511" t="s">
        <v>1062</v>
      </c>
      <c r="B354" s="473">
        <v>78862</v>
      </c>
      <c r="C354" s="471"/>
      <c r="D354" s="471"/>
      <c r="E354" s="473">
        <v>78862</v>
      </c>
      <c r="F354" t="s">
        <v>2108</v>
      </c>
    </row>
    <row r="355" spans="1:7">
      <c r="A355" s="469" t="s">
        <v>2015</v>
      </c>
      <c r="B355" s="485">
        <v>7968570</v>
      </c>
      <c r="C355" s="475">
        <v>12221896</v>
      </c>
      <c r="D355" s="475">
        <v>1924593</v>
      </c>
      <c r="E355" s="484">
        <v>2328733</v>
      </c>
      <c r="F355" s="466"/>
    </row>
    <row r="356" spans="1:7">
      <c r="A356" s="511" t="s">
        <v>91</v>
      </c>
      <c r="B356" s="473">
        <v>294347</v>
      </c>
      <c r="C356" s="472">
        <v>39647</v>
      </c>
      <c r="D356" s="472">
        <v>39647</v>
      </c>
      <c r="E356" s="473">
        <v>294347</v>
      </c>
      <c r="F356" t="s">
        <v>2108</v>
      </c>
    </row>
    <row r="357" spans="1:7">
      <c r="A357" s="511" t="s">
        <v>1063</v>
      </c>
      <c r="B357" s="473">
        <v>32203.14</v>
      </c>
      <c r="C357" s="471"/>
      <c r="D357" s="471"/>
      <c r="E357" s="473">
        <v>32203.14</v>
      </c>
      <c r="F357" t="s">
        <v>2108</v>
      </c>
    </row>
    <row r="358" spans="1:7">
      <c r="A358" s="482" t="s">
        <v>39</v>
      </c>
      <c r="B358" s="494">
        <v>45976627.259999998</v>
      </c>
      <c r="C358" s="475">
        <v>8059481</v>
      </c>
      <c r="D358" s="477"/>
      <c r="E358" s="494">
        <v>54036108.259999998</v>
      </c>
      <c r="F358" s="466">
        <v>54036108.259999998</v>
      </c>
      <c r="G358" s="466">
        <f>E358-F358</f>
        <v>0</v>
      </c>
    </row>
    <row r="359" spans="1:7">
      <c r="A359" s="469" t="s">
        <v>92</v>
      </c>
      <c r="B359" s="474">
        <v>868251</v>
      </c>
      <c r="C359" s="471"/>
      <c r="D359" s="471"/>
      <c r="E359" s="474">
        <v>868251</v>
      </c>
    </row>
    <row r="360" spans="1:7">
      <c r="A360" s="469" t="s">
        <v>93</v>
      </c>
      <c r="B360" s="474">
        <v>742727.8</v>
      </c>
      <c r="C360" s="472">
        <v>217883</v>
      </c>
      <c r="D360" s="471"/>
      <c r="E360" s="474">
        <v>960610.8</v>
      </c>
    </row>
    <row r="361" spans="1:7">
      <c r="A361" s="469" t="s">
        <v>94</v>
      </c>
      <c r="B361" s="485">
        <v>66044.649999999994</v>
      </c>
      <c r="C361" s="477"/>
      <c r="D361" s="477"/>
      <c r="E361" s="485">
        <v>66044.649999999994</v>
      </c>
    </row>
    <row r="362" spans="1:7">
      <c r="A362" s="469" t="s">
        <v>83</v>
      </c>
      <c r="B362" s="484">
        <v>39882554.630000003</v>
      </c>
      <c r="C362" s="475">
        <v>7764316</v>
      </c>
      <c r="D362" s="477"/>
      <c r="E362" s="484">
        <v>47646870.630000003</v>
      </c>
    </row>
    <row r="363" spans="1:7">
      <c r="A363" s="469" t="s">
        <v>942</v>
      </c>
      <c r="B363" s="484">
        <v>4549138.4800000004</v>
      </c>
      <c r="C363" s="475">
        <v>77282</v>
      </c>
      <c r="D363" s="477"/>
      <c r="E363" s="484">
        <v>4626420.4800000004</v>
      </c>
    </row>
    <row r="364" spans="1:7">
      <c r="A364" s="482" t="s">
        <v>96</v>
      </c>
      <c r="B364" s="492">
        <v>95845505.019999996</v>
      </c>
      <c r="C364" s="499">
        <v>1108641377.3800001</v>
      </c>
      <c r="D364" s="499">
        <v>1118833346.1199999</v>
      </c>
      <c r="E364" s="492">
        <v>85653536.280000001</v>
      </c>
      <c r="F364">
        <v>85653536.280000001</v>
      </c>
      <c r="G364" s="466">
        <f>E364-F364</f>
        <v>0</v>
      </c>
    </row>
    <row r="365" spans="1:7">
      <c r="A365" s="2" t="s">
        <v>2017</v>
      </c>
      <c r="B365" s="199">
        <v>88200</v>
      </c>
      <c r="C365" s="104">
        <v>3929400</v>
      </c>
      <c r="D365" s="104">
        <v>2531400</v>
      </c>
      <c r="E365" s="198">
        <v>1309800</v>
      </c>
      <c r="G365" s="466"/>
    </row>
    <row r="366" spans="1:7">
      <c r="A366" s="2" t="s">
        <v>2018</v>
      </c>
      <c r="B366" s="198">
        <v>1103400</v>
      </c>
      <c r="C366" s="104">
        <v>11295000</v>
      </c>
      <c r="D366" s="104">
        <v>12398400</v>
      </c>
      <c r="E366" s="95"/>
      <c r="G366" s="466"/>
    </row>
    <row r="367" spans="1:7">
      <c r="A367" s="2" t="s">
        <v>732</v>
      </c>
      <c r="B367" s="198">
        <v>155431</v>
      </c>
      <c r="C367" s="96"/>
      <c r="D367" s="96"/>
      <c r="E367" s="198">
        <v>155431</v>
      </c>
      <c r="G367" s="466"/>
    </row>
    <row r="368" spans="1:7">
      <c r="A368" s="2" t="s">
        <v>733</v>
      </c>
      <c r="B368" s="198">
        <v>236250</v>
      </c>
      <c r="C368" s="96"/>
      <c r="D368" s="96"/>
      <c r="E368" s="198">
        <v>236250</v>
      </c>
      <c r="G368" s="466"/>
    </row>
    <row r="369" spans="1:7">
      <c r="A369" s="2" t="s">
        <v>734</v>
      </c>
      <c r="B369" s="198">
        <v>545590</v>
      </c>
      <c r="C369" s="96"/>
      <c r="D369" s="96"/>
      <c r="E369" s="198">
        <v>545590</v>
      </c>
      <c r="G369" s="466"/>
    </row>
    <row r="370" spans="1:7">
      <c r="A370" s="2" t="s">
        <v>1263</v>
      </c>
      <c r="B370" s="198">
        <v>1020296</v>
      </c>
      <c r="C370" s="96"/>
      <c r="D370" s="96"/>
      <c r="E370" s="198">
        <v>1020296</v>
      </c>
      <c r="G370" s="466"/>
    </row>
    <row r="371" spans="1:7">
      <c r="A371" s="2" t="s">
        <v>736</v>
      </c>
      <c r="B371" s="198">
        <v>99600</v>
      </c>
      <c r="C371" s="104">
        <v>1666000</v>
      </c>
      <c r="D371" s="96"/>
      <c r="E371" s="198">
        <v>1765600</v>
      </c>
      <c r="G371" s="466"/>
    </row>
    <row r="372" spans="1:7">
      <c r="A372" s="2" t="s">
        <v>737</v>
      </c>
      <c r="B372" s="198">
        <v>626800</v>
      </c>
      <c r="C372" s="96"/>
      <c r="D372" s="96"/>
      <c r="E372" s="198">
        <v>626800</v>
      </c>
      <c r="G372" s="466"/>
    </row>
    <row r="373" spans="1:7">
      <c r="A373" s="2" t="s">
        <v>2019</v>
      </c>
      <c r="B373" s="199">
        <v>2145066.44</v>
      </c>
      <c r="C373" s="104">
        <v>23770632.719999999</v>
      </c>
      <c r="D373" s="104">
        <v>18869487</v>
      </c>
      <c r="E373" s="198">
        <v>2756079.28</v>
      </c>
      <c r="G373" s="466"/>
    </row>
    <row r="374" spans="1:7">
      <c r="A374" s="2" t="s">
        <v>2020</v>
      </c>
      <c r="B374" s="198">
        <v>1770035.08</v>
      </c>
      <c r="C374" s="104">
        <v>4088507.66</v>
      </c>
      <c r="D374" s="104">
        <v>5843100</v>
      </c>
      <c r="E374" s="198">
        <v>15442.74</v>
      </c>
      <c r="G374" s="466"/>
    </row>
    <row r="375" spans="1:7">
      <c r="A375" s="2" t="s">
        <v>2021</v>
      </c>
      <c r="B375" s="198">
        <v>1119526</v>
      </c>
      <c r="C375" s="96"/>
      <c r="D375" s="104">
        <v>373174</v>
      </c>
      <c r="E375" s="198">
        <v>746352</v>
      </c>
      <c r="G375" s="466"/>
    </row>
    <row r="376" spans="1:7">
      <c r="A376" s="2" t="s">
        <v>2341</v>
      </c>
      <c r="B376" s="95"/>
      <c r="C376" s="104">
        <v>5035500</v>
      </c>
      <c r="D376" s="104">
        <v>5035500</v>
      </c>
      <c r="E376" s="95"/>
      <c r="G376" s="466"/>
    </row>
    <row r="377" spans="1:7">
      <c r="A377" s="2" t="s">
        <v>1485</v>
      </c>
      <c r="B377" s="198">
        <v>120000</v>
      </c>
      <c r="C377" s="96"/>
      <c r="D377" s="104">
        <v>120000</v>
      </c>
      <c r="E377" s="95"/>
      <c r="G377" s="466"/>
    </row>
    <row r="378" spans="1:7">
      <c r="A378" s="2" t="s">
        <v>2022</v>
      </c>
      <c r="B378" s="198">
        <v>5159528.0199999996</v>
      </c>
      <c r="C378" s="104">
        <v>656698.31999999995</v>
      </c>
      <c r="D378" s="104">
        <v>5725611</v>
      </c>
      <c r="E378" s="198">
        <v>90615.34</v>
      </c>
      <c r="G378" s="466"/>
    </row>
    <row r="379" spans="1:7">
      <c r="A379" s="2" t="s">
        <v>1335</v>
      </c>
      <c r="B379" s="199">
        <v>3324167</v>
      </c>
      <c r="C379" s="104">
        <v>4509118.66</v>
      </c>
      <c r="D379" s="104">
        <v>52818</v>
      </c>
      <c r="E379" s="198">
        <v>1132133.6599999999</v>
      </c>
      <c r="G379" s="466"/>
    </row>
    <row r="380" spans="1:7">
      <c r="A380" s="2" t="s">
        <v>2342</v>
      </c>
      <c r="B380" s="95"/>
      <c r="C380" s="104">
        <v>77490.600000000006</v>
      </c>
      <c r="D380" s="104">
        <v>25000</v>
      </c>
      <c r="E380" s="198">
        <v>52490.6</v>
      </c>
      <c r="G380" s="466"/>
    </row>
    <row r="381" spans="1:7">
      <c r="A381" s="2" t="s">
        <v>1064</v>
      </c>
      <c r="B381" s="198">
        <v>219102</v>
      </c>
      <c r="C381" s="96"/>
      <c r="D381" s="96"/>
      <c r="E381" s="198">
        <v>219102</v>
      </c>
      <c r="G381" s="466"/>
    </row>
    <row r="382" spans="1:7">
      <c r="A382" s="2" t="s">
        <v>2343</v>
      </c>
      <c r="B382" s="95"/>
      <c r="C382" s="104">
        <v>10086227</v>
      </c>
      <c r="D382" s="104">
        <v>7560685</v>
      </c>
      <c r="E382" s="198">
        <v>2525542</v>
      </c>
      <c r="G382" s="466"/>
    </row>
    <row r="383" spans="1:7">
      <c r="A383" s="2" t="s">
        <v>1721</v>
      </c>
      <c r="B383" s="95"/>
      <c r="C383" s="104">
        <v>12185215.66</v>
      </c>
      <c r="D383" s="104">
        <v>12185453</v>
      </c>
      <c r="E383" s="199">
        <v>237.34</v>
      </c>
      <c r="G383" s="466"/>
    </row>
    <row r="384" spans="1:7">
      <c r="A384" s="2" t="s">
        <v>2344</v>
      </c>
      <c r="B384" s="95"/>
      <c r="C384" s="104">
        <v>12189817</v>
      </c>
      <c r="D384" s="104">
        <v>12193591</v>
      </c>
      <c r="E384" s="199">
        <v>3774</v>
      </c>
      <c r="G384" s="466"/>
    </row>
    <row r="385" spans="1:7">
      <c r="A385" s="2" t="s">
        <v>2024</v>
      </c>
      <c r="B385" s="198">
        <v>4405411.2300000004</v>
      </c>
      <c r="C385" s="104">
        <v>22749170.579999998</v>
      </c>
      <c r="D385" s="104">
        <v>22658167.829999998</v>
      </c>
      <c r="E385" s="198">
        <v>4496413.9800000004</v>
      </c>
      <c r="G385" s="466"/>
    </row>
    <row r="386" spans="1:7">
      <c r="A386" s="2" t="s">
        <v>2345</v>
      </c>
      <c r="B386" s="95"/>
      <c r="C386" s="104">
        <v>510255.6</v>
      </c>
      <c r="D386" s="104">
        <v>400000</v>
      </c>
      <c r="E386" s="198">
        <v>110255.6</v>
      </c>
      <c r="G386" s="466"/>
    </row>
    <row r="387" spans="1:7">
      <c r="A387" s="2" t="s">
        <v>2346</v>
      </c>
      <c r="B387" s="95"/>
      <c r="C387" s="104">
        <v>1800000</v>
      </c>
      <c r="D387" s="104">
        <v>1800000</v>
      </c>
      <c r="E387" s="95"/>
      <c r="G387" s="466"/>
    </row>
    <row r="388" spans="1:7">
      <c r="A388" s="2" t="s">
        <v>750</v>
      </c>
      <c r="B388" s="198">
        <v>1262140</v>
      </c>
      <c r="C388" s="96"/>
      <c r="D388" s="96"/>
      <c r="E388" s="198">
        <v>1262140</v>
      </c>
      <c r="G388" s="466"/>
    </row>
    <row r="389" spans="1:7">
      <c r="A389" s="2" t="s">
        <v>752</v>
      </c>
      <c r="B389" s="198">
        <v>400133</v>
      </c>
      <c r="C389" s="96"/>
      <c r="D389" s="104">
        <v>200000</v>
      </c>
      <c r="E389" s="198">
        <v>200133</v>
      </c>
      <c r="G389" s="466"/>
    </row>
    <row r="390" spans="1:7">
      <c r="A390" s="2" t="s">
        <v>753</v>
      </c>
      <c r="B390" s="198">
        <v>607145.86</v>
      </c>
      <c r="C390" s="96"/>
      <c r="D390" s="96"/>
      <c r="E390" s="198">
        <v>607145.86</v>
      </c>
      <c r="G390" s="466"/>
    </row>
    <row r="391" spans="1:7">
      <c r="A391" s="2" t="s">
        <v>1067</v>
      </c>
      <c r="B391" s="198">
        <v>92441</v>
      </c>
      <c r="C391" s="96"/>
      <c r="D391" s="104">
        <v>92441</v>
      </c>
      <c r="E391" s="95"/>
      <c r="G391" s="466"/>
    </row>
    <row r="392" spans="1:7">
      <c r="A392" s="2" t="s">
        <v>1723</v>
      </c>
      <c r="B392" s="198">
        <v>356740</v>
      </c>
      <c r="C392" s="104">
        <v>2513280</v>
      </c>
      <c r="D392" s="104">
        <v>2700952</v>
      </c>
      <c r="E392" s="198">
        <v>169068</v>
      </c>
      <c r="G392" s="466"/>
    </row>
    <row r="393" spans="1:7">
      <c r="A393" s="2" t="s">
        <v>2025</v>
      </c>
      <c r="B393" s="198">
        <v>319031.2</v>
      </c>
      <c r="C393" s="104">
        <v>1457496.82</v>
      </c>
      <c r="D393" s="104">
        <v>1776528.02</v>
      </c>
      <c r="E393" s="95"/>
      <c r="G393" s="466"/>
    </row>
    <row r="394" spans="1:7">
      <c r="A394" s="2" t="s">
        <v>1724</v>
      </c>
      <c r="B394" s="198">
        <v>35108</v>
      </c>
      <c r="C394" s="96"/>
      <c r="D394" s="104">
        <v>35108</v>
      </c>
      <c r="E394" s="95"/>
      <c r="G394" s="466"/>
    </row>
    <row r="395" spans="1:7">
      <c r="A395" s="2" t="s">
        <v>1068</v>
      </c>
      <c r="B395" s="198">
        <v>52926</v>
      </c>
      <c r="C395" s="96"/>
      <c r="D395" s="104">
        <v>52926</v>
      </c>
      <c r="E395" s="95"/>
      <c r="G395" s="466"/>
    </row>
    <row r="396" spans="1:7">
      <c r="A396" s="2" t="s">
        <v>756</v>
      </c>
      <c r="B396" s="198">
        <v>98880</v>
      </c>
      <c r="C396" s="96"/>
      <c r="D396" s="104">
        <v>98880</v>
      </c>
      <c r="E396" s="95"/>
      <c r="G396" s="466"/>
    </row>
    <row r="397" spans="1:7">
      <c r="A397" s="2" t="s">
        <v>1259</v>
      </c>
      <c r="B397" s="198">
        <v>46383</v>
      </c>
      <c r="C397" s="96"/>
      <c r="D397" s="104">
        <v>46383</v>
      </c>
      <c r="E397" s="95"/>
      <c r="G397" s="466"/>
    </row>
    <row r="398" spans="1:7">
      <c r="A398" s="2" t="s">
        <v>1725</v>
      </c>
      <c r="B398" s="198">
        <v>26427.919999999998</v>
      </c>
      <c r="C398" s="104">
        <v>2768163.18</v>
      </c>
      <c r="D398" s="104">
        <v>2794591.1</v>
      </c>
      <c r="E398" s="95"/>
      <c r="G398" s="466"/>
    </row>
    <row r="399" spans="1:7">
      <c r="A399" s="2" t="s">
        <v>2026</v>
      </c>
      <c r="B399" s="199">
        <v>0.9</v>
      </c>
      <c r="C399" s="104">
        <v>29025944.399999999</v>
      </c>
      <c r="D399" s="104">
        <v>21276208</v>
      </c>
      <c r="E399" s="198">
        <v>7749735.5</v>
      </c>
      <c r="G399" s="466"/>
    </row>
    <row r="400" spans="1:7">
      <c r="A400" s="2" t="s">
        <v>757</v>
      </c>
      <c r="B400" s="199">
        <v>376638</v>
      </c>
      <c r="C400" s="96"/>
      <c r="D400" s="96"/>
      <c r="E400" s="199">
        <v>376638</v>
      </c>
      <c r="G400" s="466"/>
    </row>
    <row r="401" spans="1:7">
      <c r="A401" s="2" t="s">
        <v>2347</v>
      </c>
      <c r="B401" s="95"/>
      <c r="C401" s="104">
        <v>8283062.5199999996</v>
      </c>
      <c r="D401" s="104">
        <v>8283062.5199999996</v>
      </c>
      <c r="E401" s="95"/>
      <c r="G401" s="466"/>
    </row>
    <row r="402" spans="1:7">
      <c r="A402" s="2" t="s">
        <v>2027</v>
      </c>
      <c r="B402" s="198">
        <v>3894985.52</v>
      </c>
      <c r="C402" s="104">
        <v>1532168.64</v>
      </c>
      <c r="D402" s="104">
        <v>5234562.5199999996</v>
      </c>
      <c r="E402" s="198">
        <v>192591.64</v>
      </c>
      <c r="G402" s="466"/>
    </row>
    <row r="403" spans="1:7">
      <c r="A403" s="2" t="s">
        <v>1488</v>
      </c>
      <c r="B403" s="198">
        <v>16491.28</v>
      </c>
      <c r="C403" s="96"/>
      <c r="D403" s="104">
        <v>16491.28</v>
      </c>
      <c r="E403" s="95"/>
      <c r="G403" s="466"/>
    </row>
    <row r="404" spans="1:7">
      <c r="A404" s="2" t="s">
        <v>1256</v>
      </c>
      <c r="B404" s="198">
        <v>328423.65999999997</v>
      </c>
      <c r="C404" s="96"/>
      <c r="D404" s="96"/>
      <c r="E404" s="198">
        <v>328423.65999999997</v>
      </c>
      <c r="G404" s="466"/>
    </row>
    <row r="405" spans="1:7">
      <c r="A405" s="2" t="s">
        <v>2348</v>
      </c>
      <c r="B405" s="95"/>
      <c r="C405" s="104">
        <v>376007</v>
      </c>
      <c r="D405" s="104">
        <v>142366</v>
      </c>
      <c r="E405" s="198">
        <v>233641</v>
      </c>
      <c r="G405" s="466"/>
    </row>
    <row r="406" spans="1:7">
      <c r="A406" s="2" t="s">
        <v>1490</v>
      </c>
      <c r="B406" s="199">
        <v>55773</v>
      </c>
      <c r="C406" s="96"/>
      <c r="D406" s="96"/>
      <c r="E406" s="199">
        <v>55773</v>
      </c>
      <c r="G406" s="466"/>
    </row>
    <row r="407" spans="1:7">
      <c r="A407" s="2" t="s">
        <v>2349</v>
      </c>
      <c r="B407" s="95"/>
      <c r="C407" s="96"/>
      <c r="D407" s="104">
        <v>1500000</v>
      </c>
      <c r="E407" s="199">
        <v>1500000</v>
      </c>
      <c r="G407" s="466"/>
    </row>
    <row r="408" spans="1:7">
      <c r="A408" s="2" t="s">
        <v>772</v>
      </c>
      <c r="B408" s="198">
        <v>811076</v>
      </c>
      <c r="C408" s="96"/>
      <c r="D408" s="104">
        <v>811076</v>
      </c>
      <c r="E408" s="95"/>
      <c r="G408" s="466"/>
    </row>
    <row r="409" spans="1:7">
      <c r="A409" s="2" t="s">
        <v>2350</v>
      </c>
      <c r="B409" s="95"/>
      <c r="C409" s="104">
        <v>1156400</v>
      </c>
      <c r="D409" s="104">
        <v>980000</v>
      </c>
      <c r="E409" s="198">
        <v>176400</v>
      </c>
      <c r="G409" s="466"/>
    </row>
    <row r="410" spans="1:7">
      <c r="A410" s="2" t="s">
        <v>1492</v>
      </c>
      <c r="B410" s="198">
        <v>918354.6</v>
      </c>
      <c r="C410" s="96"/>
      <c r="D410" s="104">
        <v>52823.6</v>
      </c>
      <c r="E410" s="198">
        <v>865531</v>
      </c>
      <c r="G410" s="466"/>
    </row>
    <row r="411" spans="1:7">
      <c r="A411" s="2" t="s">
        <v>776</v>
      </c>
      <c r="B411" s="198">
        <v>67872</v>
      </c>
      <c r="C411" s="96"/>
      <c r="D411" s="104">
        <v>67872</v>
      </c>
      <c r="E411" s="95"/>
      <c r="G411" s="466"/>
    </row>
    <row r="412" spans="1:7">
      <c r="A412" s="2" t="s">
        <v>1727</v>
      </c>
      <c r="B412" s="198">
        <v>171458</v>
      </c>
      <c r="C412" s="96"/>
      <c r="D412" s="104">
        <v>171458</v>
      </c>
      <c r="E412" s="95"/>
      <c r="G412" s="466"/>
    </row>
    <row r="413" spans="1:7">
      <c r="A413" s="2" t="s">
        <v>2351</v>
      </c>
      <c r="B413" s="95"/>
      <c r="C413" s="104">
        <v>30632800</v>
      </c>
      <c r="D413" s="104">
        <v>30622699</v>
      </c>
      <c r="E413" s="198">
        <v>10101</v>
      </c>
      <c r="G413" s="466"/>
    </row>
    <row r="414" spans="1:7">
      <c r="A414" s="2" t="s">
        <v>2352</v>
      </c>
      <c r="B414" s="95"/>
      <c r="C414" s="104">
        <v>5811797.3600000003</v>
      </c>
      <c r="D414" s="104">
        <v>3921257</v>
      </c>
      <c r="E414" s="198">
        <v>1890540.36</v>
      </c>
      <c r="G414" s="466"/>
    </row>
    <row r="415" spans="1:7">
      <c r="A415" s="2" t="s">
        <v>1728</v>
      </c>
      <c r="B415" s="198">
        <v>980339.08</v>
      </c>
      <c r="C415" s="96"/>
      <c r="D415" s="104">
        <v>56237</v>
      </c>
      <c r="E415" s="198">
        <v>924102.08</v>
      </c>
      <c r="G415" s="466"/>
    </row>
    <row r="416" spans="1:7">
      <c r="A416" s="2" t="s">
        <v>2353</v>
      </c>
      <c r="B416" s="95"/>
      <c r="C416" s="104">
        <v>51678339.829999998</v>
      </c>
      <c r="D416" s="104">
        <v>51676931</v>
      </c>
      <c r="E416" s="198">
        <v>1408.83</v>
      </c>
      <c r="G416" s="466"/>
    </row>
    <row r="417" spans="1:7">
      <c r="A417" s="2" t="s">
        <v>2354</v>
      </c>
      <c r="B417" s="95"/>
      <c r="C417" s="104">
        <v>7000000.7199999997</v>
      </c>
      <c r="D417" s="104">
        <v>7000000.7199999997</v>
      </c>
      <c r="E417" s="95"/>
      <c r="G417" s="466"/>
    </row>
    <row r="418" spans="1:7">
      <c r="A418" s="2" t="s">
        <v>2029</v>
      </c>
      <c r="B418" s="198">
        <v>725000</v>
      </c>
      <c r="C418" s="96"/>
      <c r="D418" s="104">
        <v>725000</v>
      </c>
      <c r="E418" s="95"/>
      <c r="G418" s="466"/>
    </row>
    <row r="419" spans="1:7">
      <c r="A419" s="2" t="s">
        <v>2030</v>
      </c>
      <c r="B419" s="95"/>
      <c r="C419" s="104">
        <v>9939109.1199999992</v>
      </c>
      <c r="D419" s="104">
        <v>9721950.9299999997</v>
      </c>
      <c r="E419" s="198">
        <v>217158.19</v>
      </c>
      <c r="G419" s="466"/>
    </row>
    <row r="420" spans="1:7">
      <c r="A420" s="2" t="s">
        <v>2031</v>
      </c>
      <c r="B420" s="198">
        <v>2867945</v>
      </c>
      <c r="C420" s="104">
        <v>52111771.270000003</v>
      </c>
      <c r="D420" s="104">
        <v>51827578.520000003</v>
      </c>
      <c r="E420" s="198">
        <v>3152137.75</v>
      </c>
      <c r="G420" s="466"/>
    </row>
    <row r="421" spans="1:7">
      <c r="A421" s="2" t="s">
        <v>1730</v>
      </c>
      <c r="B421" s="198">
        <v>3813737.57</v>
      </c>
      <c r="C421" s="96"/>
      <c r="D421" s="104">
        <v>4569729</v>
      </c>
      <c r="E421" s="199">
        <v>755991.43</v>
      </c>
      <c r="G421" s="466"/>
    </row>
    <row r="422" spans="1:7">
      <c r="A422" s="2" t="s">
        <v>2355</v>
      </c>
      <c r="B422" s="95"/>
      <c r="C422" s="104">
        <v>7048416.2599999998</v>
      </c>
      <c r="D422" s="104">
        <v>7159217.1100000003</v>
      </c>
      <c r="E422" s="199">
        <v>110800.85</v>
      </c>
      <c r="G422" s="466"/>
    </row>
    <row r="423" spans="1:7">
      <c r="A423" s="2" t="s">
        <v>2356</v>
      </c>
      <c r="B423" s="95"/>
      <c r="C423" s="104">
        <v>6948741.5199999996</v>
      </c>
      <c r="D423" s="104">
        <v>7243180</v>
      </c>
      <c r="E423" s="199">
        <v>294438.48</v>
      </c>
      <c r="G423" s="466"/>
    </row>
    <row r="424" spans="1:7">
      <c r="A424" s="2" t="s">
        <v>2357</v>
      </c>
      <c r="B424" s="95"/>
      <c r="C424" s="104">
        <v>25833740</v>
      </c>
      <c r="D424" s="104">
        <v>22450047</v>
      </c>
      <c r="E424" s="198">
        <v>3383693</v>
      </c>
      <c r="G424" s="466"/>
    </row>
    <row r="425" spans="1:7">
      <c r="A425" s="2" t="s">
        <v>778</v>
      </c>
      <c r="B425" s="198">
        <v>718081</v>
      </c>
      <c r="C425" s="96"/>
      <c r="D425" s="96"/>
      <c r="E425" s="198">
        <v>718081</v>
      </c>
      <c r="G425" s="466"/>
    </row>
    <row r="426" spans="1:7">
      <c r="A426" s="2" t="s">
        <v>1255</v>
      </c>
      <c r="B426" s="198">
        <v>127610</v>
      </c>
      <c r="C426" s="96"/>
      <c r="D426" s="96"/>
      <c r="E426" s="198">
        <v>127610</v>
      </c>
      <c r="G426" s="466"/>
    </row>
    <row r="427" spans="1:7">
      <c r="A427" s="2" t="s">
        <v>782</v>
      </c>
      <c r="B427" s="198">
        <v>836602</v>
      </c>
      <c r="C427" s="96"/>
      <c r="D427" s="96"/>
      <c r="E427" s="198">
        <v>836602</v>
      </c>
      <c r="G427" s="466"/>
    </row>
    <row r="428" spans="1:7">
      <c r="A428" s="2" t="s">
        <v>1254</v>
      </c>
      <c r="B428" s="198">
        <v>1183593</v>
      </c>
      <c r="C428" s="96"/>
      <c r="D428" s="96"/>
      <c r="E428" s="198">
        <v>1183593</v>
      </c>
      <c r="G428" s="466"/>
    </row>
    <row r="429" spans="1:7">
      <c r="A429" s="2" t="s">
        <v>2032</v>
      </c>
      <c r="B429" s="199">
        <v>247154.14</v>
      </c>
      <c r="C429" s="104">
        <v>478369.64</v>
      </c>
      <c r="D429" s="104">
        <v>230250</v>
      </c>
      <c r="E429" s="198">
        <v>965.5</v>
      </c>
      <c r="G429" s="466"/>
    </row>
    <row r="430" spans="1:7">
      <c r="A430" s="2" t="s">
        <v>1499</v>
      </c>
      <c r="B430" s="199">
        <v>400000</v>
      </c>
      <c r="C430" s="96"/>
      <c r="D430" s="96"/>
      <c r="E430" s="199">
        <v>400000</v>
      </c>
      <c r="G430" s="466"/>
    </row>
    <row r="431" spans="1:7">
      <c r="A431" s="2" t="s">
        <v>2358</v>
      </c>
      <c r="B431" s="95"/>
      <c r="C431" s="104">
        <v>9640100.8599999994</v>
      </c>
      <c r="D431" s="104">
        <v>9444154</v>
      </c>
      <c r="E431" s="198">
        <v>195946.86</v>
      </c>
      <c r="G431" s="466"/>
    </row>
    <row r="432" spans="1:7">
      <c r="A432" s="2" t="s">
        <v>1500</v>
      </c>
      <c r="B432" s="198">
        <v>255012.51</v>
      </c>
      <c r="C432" s="96"/>
      <c r="D432" s="104">
        <v>255012.51</v>
      </c>
      <c r="E432" s="95"/>
      <c r="G432" s="466"/>
    </row>
    <row r="433" spans="1:7">
      <c r="A433" s="2" t="s">
        <v>1732</v>
      </c>
      <c r="B433" s="198">
        <v>2710000</v>
      </c>
      <c r="C433" s="104">
        <v>9470370</v>
      </c>
      <c r="D433" s="104">
        <v>12180370</v>
      </c>
      <c r="E433" s="95"/>
      <c r="G433" s="466"/>
    </row>
    <row r="434" spans="1:7">
      <c r="A434" s="2" t="s">
        <v>2359</v>
      </c>
      <c r="B434" s="95"/>
      <c r="C434" s="104">
        <v>4857891.62</v>
      </c>
      <c r="D434" s="104">
        <v>288180</v>
      </c>
      <c r="E434" s="198">
        <v>4569711.62</v>
      </c>
      <c r="G434" s="466"/>
    </row>
    <row r="435" spans="1:7">
      <c r="A435" s="2" t="s">
        <v>2360</v>
      </c>
      <c r="B435" s="95"/>
      <c r="C435" s="104">
        <v>1000000</v>
      </c>
      <c r="D435" s="104">
        <v>1000000</v>
      </c>
      <c r="E435" s="95"/>
      <c r="G435" s="466"/>
    </row>
    <row r="436" spans="1:7">
      <c r="A436" s="2" t="s">
        <v>1248</v>
      </c>
      <c r="B436" s="198">
        <v>517480</v>
      </c>
      <c r="C436" s="96"/>
      <c r="D436" s="96"/>
      <c r="E436" s="198">
        <v>517480</v>
      </c>
      <c r="G436" s="466"/>
    </row>
    <row r="437" spans="1:7">
      <c r="A437" s="2" t="s">
        <v>1501</v>
      </c>
      <c r="B437" s="198">
        <v>494165.96</v>
      </c>
      <c r="C437" s="96"/>
      <c r="D437" s="96"/>
      <c r="E437" s="198">
        <v>494165.96</v>
      </c>
      <c r="G437" s="466"/>
    </row>
    <row r="438" spans="1:7">
      <c r="A438" s="2" t="s">
        <v>2361</v>
      </c>
      <c r="B438" s="95"/>
      <c r="C438" s="104">
        <v>678562.54</v>
      </c>
      <c r="D438" s="104">
        <v>621058</v>
      </c>
      <c r="E438" s="198">
        <v>57504.54</v>
      </c>
      <c r="G438" s="466"/>
    </row>
    <row r="439" spans="1:7">
      <c r="A439" s="19" t="s">
        <v>75</v>
      </c>
      <c r="B439" s="279">
        <v>34679553.009999998</v>
      </c>
      <c r="C439" s="201">
        <v>384791567.10000002</v>
      </c>
      <c r="D439" s="201">
        <v>375098967.66000003</v>
      </c>
      <c r="E439" s="279">
        <v>44372152.450000003</v>
      </c>
      <c r="G439" s="466"/>
    </row>
    <row r="440" spans="1:7">
      <c r="A440" s="1" t="s">
        <v>97</v>
      </c>
      <c r="B440" s="279">
        <v>22193775</v>
      </c>
      <c r="C440" s="113"/>
      <c r="D440" s="113"/>
      <c r="E440" s="279">
        <v>22193775</v>
      </c>
    </row>
    <row r="441" spans="1:7">
      <c r="A441" s="13" t="s">
        <v>2016</v>
      </c>
      <c r="B441" s="267">
        <v>1718775</v>
      </c>
      <c r="C441" s="95"/>
      <c r="D441" s="95"/>
      <c r="E441" s="267">
        <v>1718775</v>
      </c>
      <c r="F441" s="515" t="s">
        <v>1560</v>
      </c>
    </row>
    <row r="442" spans="1:7">
      <c r="A442" s="16" t="s">
        <v>730</v>
      </c>
      <c r="B442" s="267">
        <v>20450000</v>
      </c>
      <c r="C442" s="95"/>
      <c r="D442" s="95"/>
      <c r="E442" s="267">
        <v>20450000</v>
      </c>
      <c r="F442" s="515" t="s">
        <v>1568</v>
      </c>
    </row>
    <row r="443" spans="1:7">
      <c r="A443" s="13" t="s">
        <v>141</v>
      </c>
      <c r="B443" s="267">
        <v>1035115</v>
      </c>
      <c r="C443" s="112">
        <v>1175000</v>
      </c>
      <c r="D443" s="112">
        <v>1269415</v>
      </c>
      <c r="E443" s="267">
        <v>940700</v>
      </c>
      <c r="F443" s="515" t="s">
        <v>1558</v>
      </c>
    </row>
    <row r="444" spans="1:7">
      <c r="A444" s="498" t="s">
        <v>69</v>
      </c>
      <c r="B444" s="494">
        <v>54632</v>
      </c>
      <c r="C444" s="475">
        <v>40914060</v>
      </c>
      <c r="D444" s="475">
        <v>40958771</v>
      </c>
      <c r="E444" s="494">
        <v>9921</v>
      </c>
      <c r="F444" t="s">
        <v>2205</v>
      </c>
    </row>
    <row r="445" spans="1:7">
      <c r="A445" s="469" t="s">
        <v>70</v>
      </c>
      <c r="B445" s="484">
        <v>20073247.010000002</v>
      </c>
      <c r="C445" s="475">
        <v>672208284.27999997</v>
      </c>
      <c r="D445" s="475">
        <v>678814545.46000004</v>
      </c>
      <c r="E445" s="484">
        <v>13466985.83</v>
      </c>
    </row>
    <row r="446" spans="1:7">
      <c r="A446" s="1" t="s">
        <v>804</v>
      </c>
      <c r="B446" s="279">
        <v>19627619.5</v>
      </c>
      <c r="C446" s="107">
        <v>619801960.27999997</v>
      </c>
      <c r="D446" s="107">
        <v>628009022.21000004</v>
      </c>
      <c r="E446" s="279">
        <v>11420557.57</v>
      </c>
    </row>
    <row r="447" spans="1:7">
      <c r="A447" s="13" t="s">
        <v>806</v>
      </c>
      <c r="B447" s="267">
        <v>12797.11</v>
      </c>
      <c r="C447" s="95"/>
      <c r="D447" s="95"/>
      <c r="E447" s="267">
        <v>12797.11</v>
      </c>
      <c r="F447" s="515" t="s">
        <v>1566</v>
      </c>
    </row>
    <row r="448" spans="1:7">
      <c r="A448" s="13" t="s">
        <v>807</v>
      </c>
      <c r="B448" s="267">
        <v>140064.47</v>
      </c>
      <c r="C448" s="112">
        <v>5764988.2000000002</v>
      </c>
      <c r="D448" s="112">
        <v>5886319.5</v>
      </c>
      <c r="E448" s="267">
        <v>18733.169999999998</v>
      </c>
      <c r="F448" s="515" t="s">
        <v>1566</v>
      </c>
    </row>
    <row r="449" spans="1:6">
      <c r="A449" s="13" t="s">
        <v>808</v>
      </c>
      <c r="B449" s="267">
        <v>14093.85</v>
      </c>
      <c r="C449" s="112">
        <v>10560652</v>
      </c>
      <c r="D449" s="112">
        <v>10500590</v>
      </c>
      <c r="E449" s="267">
        <v>74155.850000000006</v>
      </c>
      <c r="F449" s="515" t="s">
        <v>1566</v>
      </c>
    </row>
    <row r="450" spans="1:6">
      <c r="A450" s="13" t="s">
        <v>809</v>
      </c>
      <c r="B450" s="267">
        <v>24337.5</v>
      </c>
      <c r="C450" s="95"/>
      <c r="D450" s="112">
        <v>24337.5</v>
      </c>
      <c r="E450" s="96"/>
    </row>
    <row r="451" spans="1:6">
      <c r="A451" s="13" t="s">
        <v>261</v>
      </c>
      <c r="B451" s="267">
        <v>13975117.98</v>
      </c>
      <c r="C451" s="112">
        <v>340195606.73000002</v>
      </c>
      <c r="D451" s="112">
        <v>348995939.35000002</v>
      </c>
      <c r="E451" s="267">
        <v>5174785.3600000003</v>
      </c>
      <c r="F451" s="515" t="s">
        <v>1566</v>
      </c>
    </row>
    <row r="452" spans="1:6">
      <c r="A452" s="13" t="s">
        <v>811</v>
      </c>
      <c r="B452" s="267">
        <v>2540565.2200000002</v>
      </c>
      <c r="C452" s="112">
        <v>176254810.84999999</v>
      </c>
      <c r="D452" s="112">
        <v>174528467.5</v>
      </c>
      <c r="E452" s="267">
        <v>4266908.57</v>
      </c>
      <c r="F452" s="515" t="s">
        <v>1566</v>
      </c>
    </row>
    <row r="453" spans="1:6">
      <c r="A453" s="13" t="s">
        <v>812</v>
      </c>
      <c r="B453" s="267">
        <v>2885227.5</v>
      </c>
      <c r="C453" s="112">
        <v>67460467</v>
      </c>
      <c r="D453" s="112">
        <v>68646990</v>
      </c>
      <c r="E453" s="267">
        <v>1698704.5</v>
      </c>
      <c r="F453" s="515" t="s">
        <v>1566</v>
      </c>
    </row>
    <row r="454" spans="1:6">
      <c r="A454" s="13" t="s">
        <v>813</v>
      </c>
      <c r="B454" s="267">
        <v>21297.87</v>
      </c>
      <c r="C454" s="95"/>
      <c r="D454" s="95"/>
      <c r="E454" s="267">
        <v>21297.87</v>
      </c>
      <c r="F454" s="515" t="s">
        <v>1566</v>
      </c>
    </row>
    <row r="455" spans="1:6">
      <c r="A455" s="13" t="s">
        <v>2223</v>
      </c>
      <c r="B455" s="96"/>
      <c r="C455" s="112">
        <v>19565435.5</v>
      </c>
      <c r="D455" s="112">
        <v>19426378.359999999</v>
      </c>
      <c r="E455" s="267">
        <v>139057.14000000001</v>
      </c>
      <c r="F455" s="515" t="s">
        <v>1566</v>
      </c>
    </row>
    <row r="456" spans="1:6">
      <c r="A456" s="13" t="s">
        <v>814</v>
      </c>
      <c r="B456" s="267">
        <v>14118</v>
      </c>
      <c r="C456" s="95"/>
      <c r="D456" s="95"/>
      <c r="E456" s="267">
        <v>14118</v>
      </c>
      <c r="F456" s="515" t="s">
        <v>1566</v>
      </c>
    </row>
    <row r="457" spans="1:6">
      <c r="A457" s="1" t="s">
        <v>815</v>
      </c>
      <c r="B457" s="270">
        <v>445627.51</v>
      </c>
      <c r="C457" s="93">
        <v>52406324</v>
      </c>
      <c r="D457" s="93">
        <v>50805523.25</v>
      </c>
      <c r="E457" s="270">
        <v>2046428.26</v>
      </c>
    </row>
    <row r="458" spans="1:6">
      <c r="A458" s="13" t="s">
        <v>816</v>
      </c>
      <c r="B458" s="267">
        <v>11681.17</v>
      </c>
      <c r="C458" s="95"/>
      <c r="D458" s="95"/>
      <c r="E458" s="267">
        <v>11681.17</v>
      </c>
      <c r="F458" s="515" t="s">
        <v>1566</v>
      </c>
    </row>
    <row r="459" spans="1:6">
      <c r="A459" s="13" t="s">
        <v>817</v>
      </c>
      <c r="B459" s="267">
        <v>26862.32</v>
      </c>
      <c r="C459" s="112">
        <v>1000</v>
      </c>
      <c r="D459" s="95"/>
      <c r="E459" s="267">
        <v>27862.32</v>
      </c>
      <c r="F459" s="515" t="s">
        <v>1566</v>
      </c>
    </row>
    <row r="460" spans="1:6">
      <c r="A460" s="13" t="s">
        <v>818</v>
      </c>
      <c r="B460" s="267">
        <v>320500.88</v>
      </c>
      <c r="C460" s="112">
        <v>49692524</v>
      </c>
      <c r="D460" s="112">
        <v>48067483.25</v>
      </c>
      <c r="E460" s="267">
        <v>1945541.63</v>
      </c>
      <c r="F460" s="515" t="s">
        <v>1566</v>
      </c>
    </row>
    <row r="461" spans="1:6">
      <c r="A461" s="13" t="s">
        <v>819</v>
      </c>
      <c r="B461" s="267">
        <v>75377.75</v>
      </c>
      <c r="C461" s="112">
        <v>2712800</v>
      </c>
      <c r="D461" s="112">
        <v>2738040</v>
      </c>
      <c r="E461" s="267">
        <v>50137.75</v>
      </c>
      <c r="F461" s="515" t="s">
        <v>1566</v>
      </c>
    </row>
    <row r="462" spans="1:6">
      <c r="A462" s="13" t="s">
        <v>820</v>
      </c>
      <c r="B462" s="267">
        <v>11037.14</v>
      </c>
      <c r="C462" s="95"/>
      <c r="D462" s="95"/>
      <c r="E462" s="267">
        <v>11037.14</v>
      </c>
      <c r="F462" s="515" t="s">
        <v>1566</v>
      </c>
    </row>
    <row r="463" spans="1:6">
      <c r="A463" s="13" t="s">
        <v>821</v>
      </c>
      <c r="B463" s="267">
        <v>168.25</v>
      </c>
      <c r="C463" s="95"/>
      <c r="D463" s="95"/>
      <c r="E463" s="267">
        <v>168.25</v>
      </c>
      <c r="F463" s="515" t="s">
        <v>1566</v>
      </c>
    </row>
    <row r="464" spans="1:6">
      <c r="A464" s="19" t="s">
        <v>75</v>
      </c>
      <c r="B464" s="279">
        <v>20073247.010000002</v>
      </c>
      <c r="C464" s="201">
        <v>672208284.27999997</v>
      </c>
      <c r="D464" s="201">
        <v>678814545.46000004</v>
      </c>
      <c r="E464" s="279">
        <v>13466985.83</v>
      </c>
    </row>
    <row r="465" spans="1:7">
      <c r="A465" s="469" t="s">
        <v>99</v>
      </c>
      <c r="B465" s="474">
        <v>18844298</v>
      </c>
      <c r="C465" s="472">
        <v>10727466</v>
      </c>
      <c r="D465" s="472">
        <v>23961062</v>
      </c>
      <c r="E465" s="474">
        <v>5610702</v>
      </c>
      <c r="F465" s="515" t="s">
        <v>1581</v>
      </c>
    </row>
    <row r="466" spans="1:7">
      <c r="A466" s="482" t="s">
        <v>100</v>
      </c>
      <c r="B466" s="494">
        <v>4617661.75</v>
      </c>
      <c r="C466" s="475">
        <v>175635521.84999999</v>
      </c>
      <c r="D466" s="475">
        <v>174073655.15000001</v>
      </c>
      <c r="E466" s="494">
        <v>6179528.4500000002</v>
      </c>
      <c r="F466" t="s">
        <v>2208</v>
      </c>
    </row>
    <row r="467" spans="1:7">
      <c r="A467" s="469" t="s">
        <v>2036</v>
      </c>
      <c r="B467" s="474">
        <v>109460</v>
      </c>
      <c r="C467" s="472">
        <v>2212764</v>
      </c>
      <c r="D467" s="472">
        <v>2322224</v>
      </c>
      <c r="E467" s="470"/>
      <c r="F467" t="s">
        <v>1554</v>
      </c>
      <c r="G467" s="515" t="s">
        <v>1563</v>
      </c>
    </row>
    <row r="468" spans="1:7">
      <c r="A468" s="469" t="s">
        <v>2037</v>
      </c>
      <c r="B468" s="484">
        <v>217196</v>
      </c>
      <c r="C468" s="475">
        <v>4058790</v>
      </c>
      <c r="D468" s="475">
        <v>4275986</v>
      </c>
      <c r="E468" s="477"/>
    </row>
    <row r="469" spans="1:7">
      <c r="A469" s="469" t="s">
        <v>822</v>
      </c>
      <c r="B469" s="473">
        <v>201</v>
      </c>
      <c r="C469" s="471"/>
      <c r="D469" s="471"/>
      <c r="E469" s="473">
        <v>201</v>
      </c>
      <c r="F469" s="515" t="s">
        <v>1563</v>
      </c>
    </row>
    <row r="470" spans="1:7">
      <c r="A470" s="469" t="s">
        <v>1246</v>
      </c>
      <c r="B470" s="473">
        <v>34050</v>
      </c>
      <c r="C470" s="471"/>
      <c r="D470" s="471"/>
      <c r="E470" s="473">
        <v>34050</v>
      </c>
      <c r="F470" s="515" t="s">
        <v>1563</v>
      </c>
    </row>
    <row r="471" spans="1:7">
      <c r="A471" s="469" t="s">
        <v>1245</v>
      </c>
      <c r="B471" s="485">
        <v>1544</v>
      </c>
      <c r="C471" s="477"/>
      <c r="D471" s="477"/>
      <c r="E471" s="485">
        <v>1544</v>
      </c>
      <c r="F471" s="515" t="s">
        <v>1563</v>
      </c>
    </row>
    <row r="472" spans="1:7">
      <c r="A472" s="469" t="s">
        <v>823</v>
      </c>
      <c r="B472" s="473">
        <v>2</v>
      </c>
      <c r="C472" s="471"/>
      <c r="D472" s="471"/>
      <c r="E472" s="473">
        <v>2</v>
      </c>
    </row>
    <row r="473" spans="1:7">
      <c r="A473" s="469" t="s">
        <v>2038</v>
      </c>
      <c r="B473" s="484">
        <v>258219</v>
      </c>
      <c r="C473" s="475">
        <v>4063476</v>
      </c>
      <c r="D473" s="475">
        <v>4319195</v>
      </c>
      <c r="E473" s="484">
        <v>2500</v>
      </c>
      <c r="F473" t="s">
        <v>1554</v>
      </c>
      <c r="G473" s="515" t="s">
        <v>1563</v>
      </c>
    </row>
    <row r="474" spans="1:7">
      <c r="A474" s="469" t="s">
        <v>2039</v>
      </c>
      <c r="B474" s="484">
        <v>14076</v>
      </c>
      <c r="C474" s="475">
        <v>817844</v>
      </c>
      <c r="D474" s="475">
        <v>831920</v>
      </c>
      <c r="E474" s="477"/>
    </row>
    <row r="475" spans="1:7">
      <c r="A475" s="469" t="s">
        <v>2040</v>
      </c>
      <c r="B475" s="474">
        <v>37345</v>
      </c>
      <c r="C475" s="472">
        <v>5040</v>
      </c>
      <c r="D475" s="472">
        <v>41085</v>
      </c>
      <c r="E475" s="474">
        <v>1300</v>
      </c>
      <c r="F475" s="515" t="s">
        <v>1563</v>
      </c>
    </row>
    <row r="476" spans="1:7">
      <c r="A476" s="469" t="s">
        <v>2041</v>
      </c>
      <c r="B476" s="474">
        <v>3155</v>
      </c>
      <c r="C476" s="472">
        <v>2527785</v>
      </c>
      <c r="D476" s="472">
        <v>2530940</v>
      </c>
      <c r="E476" s="470"/>
    </row>
    <row r="477" spans="1:7">
      <c r="A477" s="469" t="s">
        <v>824</v>
      </c>
      <c r="B477" s="473">
        <v>800</v>
      </c>
      <c r="C477" s="471"/>
      <c r="D477" s="471"/>
      <c r="E477" s="473">
        <v>800</v>
      </c>
      <c r="F477" s="515" t="s">
        <v>1563</v>
      </c>
    </row>
    <row r="478" spans="1:7">
      <c r="A478" s="469" t="s">
        <v>1839</v>
      </c>
      <c r="B478" s="474">
        <v>41936</v>
      </c>
      <c r="C478" s="472">
        <v>670441</v>
      </c>
      <c r="D478" s="472">
        <v>689334</v>
      </c>
      <c r="E478" s="474">
        <v>23043</v>
      </c>
      <c r="F478" s="515" t="s">
        <v>1563</v>
      </c>
    </row>
    <row r="479" spans="1:7">
      <c r="A479" s="469" t="s">
        <v>825</v>
      </c>
      <c r="B479" s="474">
        <v>2727</v>
      </c>
      <c r="C479" s="471"/>
      <c r="D479" s="471"/>
      <c r="E479" s="474">
        <v>2727</v>
      </c>
      <c r="F479" s="515" t="s">
        <v>1563</v>
      </c>
    </row>
    <row r="480" spans="1:7">
      <c r="A480" s="469" t="s">
        <v>1078</v>
      </c>
      <c r="B480" s="474">
        <v>45000</v>
      </c>
      <c r="C480" s="471"/>
      <c r="D480" s="471"/>
      <c r="E480" s="474">
        <v>45000</v>
      </c>
      <c r="F480" s="515" t="s">
        <v>1563</v>
      </c>
    </row>
    <row r="481" spans="1:7">
      <c r="A481" s="469" t="s">
        <v>2042</v>
      </c>
      <c r="B481" s="474">
        <v>91620</v>
      </c>
      <c r="C481" s="472">
        <v>4600100</v>
      </c>
      <c r="D481" s="472">
        <v>4691720</v>
      </c>
      <c r="E481" s="470"/>
    </row>
    <row r="482" spans="1:7">
      <c r="A482" s="469" t="s">
        <v>1733</v>
      </c>
      <c r="B482" s="474">
        <v>166417</v>
      </c>
      <c r="C482" s="472">
        <v>6883333</v>
      </c>
      <c r="D482" s="472">
        <v>6971684</v>
      </c>
      <c r="E482" s="474">
        <v>78066</v>
      </c>
      <c r="F482" s="515" t="s">
        <v>1563</v>
      </c>
    </row>
    <row r="483" spans="1:7">
      <c r="A483" s="469" t="s">
        <v>2178</v>
      </c>
      <c r="B483" s="470"/>
      <c r="C483" s="472">
        <v>3005613</v>
      </c>
      <c r="D483" s="472">
        <v>2790461</v>
      </c>
      <c r="E483" s="474">
        <v>215152</v>
      </c>
      <c r="F483" s="515" t="s">
        <v>1563</v>
      </c>
    </row>
    <row r="484" spans="1:7">
      <c r="A484" s="469" t="s">
        <v>830</v>
      </c>
      <c r="B484" s="473">
        <v>500</v>
      </c>
      <c r="C484" s="472">
        <v>10825315.25</v>
      </c>
      <c r="D484" s="472">
        <v>10813355.25</v>
      </c>
      <c r="E484" s="474">
        <v>11460</v>
      </c>
      <c r="F484" s="515" t="s">
        <v>1563</v>
      </c>
    </row>
    <row r="485" spans="1:7">
      <c r="A485" s="469" t="s">
        <v>2179</v>
      </c>
      <c r="B485" s="477"/>
      <c r="C485" s="475">
        <v>4021717</v>
      </c>
      <c r="D485" s="475">
        <v>3875241</v>
      </c>
      <c r="E485" s="484">
        <v>146476</v>
      </c>
      <c r="F485" s="515" t="s">
        <v>1563</v>
      </c>
    </row>
    <row r="486" spans="1:7">
      <c r="A486" s="469" t="s">
        <v>2043</v>
      </c>
      <c r="B486" s="474">
        <v>256119</v>
      </c>
      <c r="C486" s="472">
        <v>8449347</v>
      </c>
      <c r="D486" s="472">
        <v>8641520</v>
      </c>
      <c r="E486" s="474">
        <v>63946</v>
      </c>
      <c r="F486" s="515" t="s">
        <v>1563</v>
      </c>
    </row>
    <row r="487" spans="1:7">
      <c r="A487" s="469" t="s">
        <v>1505</v>
      </c>
      <c r="B487" s="474">
        <v>5875</v>
      </c>
      <c r="C487" s="471"/>
      <c r="D487" s="471"/>
      <c r="E487" s="474">
        <v>5875</v>
      </c>
      <c r="F487" s="515" t="s">
        <v>1563</v>
      </c>
    </row>
    <row r="488" spans="1:7">
      <c r="A488" s="469" t="s">
        <v>833</v>
      </c>
      <c r="B488" s="484">
        <v>6924</v>
      </c>
      <c r="C488" s="477"/>
      <c r="D488" s="477"/>
      <c r="E488" s="484">
        <v>6924</v>
      </c>
      <c r="F488" s="515" t="s">
        <v>1563</v>
      </c>
    </row>
    <row r="489" spans="1:7">
      <c r="A489" s="469" t="s">
        <v>1506</v>
      </c>
      <c r="B489" s="473">
        <v>41010</v>
      </c>
      <c r="C489" s="471"/>
      <c r="D489" s="471"/>
      <c r="E489" s="473">
        <v>41010</v>
      </c>
      <c r="F489" s="515" t="s">
        <v>1563</v>
      </c>
    </row>
    <row r="490" spans="1:7">
      <c r="A490" s="469" t="s">
        <v>2180</v>
      </c>
      <c r="B490" s="470"/>
      <c r="C490" s="472">
        <v>434250</v>
      </c>
      <c r="D490" s="472">
        <v>299912</v>
      </c>
      <c r="E490" s="474">
        <v>134338</v>
      </c>
      <c r="F490" s="515" t="s">
        <v>1563</v>
      </c>
    </row>
    <row r="491" spans="1:7">
      <c r="A491" s="469" t="s">
        <v>835</v>
      </c>
      <c r="B491" s="485">
        <v>2000</v>
      </c>
      <c r="C491" s="477"/>
      <c r="D491" s="477"/>
      <c r="E491" s="485">
        <v>2000</v>
      </c>
      <c r="F491" s="515" t="s">
        <v>1563</v>
      </c>
    </row>
    <row r="492" spans="1:7">
      <c r="A492" s="469" t="s">
        <v>2044</v>
      </c>
      <c r="B492" s="470"/>
      <c r="C492" s="472">
        <v>587792</v>
      </c>
      <c r="D492" s="472">
        <v>587792</v>
      </c>
      <c r="E492" s="470"/>
    </row>
    <row r="493" spans="1:7">
      <c r="A493" s="469" t="s">
        <v>2045</v>
      </c>
      <c r="B493" s="474">
        <v>138374</v>
      </c>
      <c r="C493" s="472">
        <v>2044498</v>
      </c>
      <c r="D493" s="472">
        <v>2136846</v>
      </c>
      <c r="E493" s="474">
        <v>46026</v>
      </c>
      <c r="F493" s="515" t="s">
        <v>1563</v>
      </c>
    </row>
    <row r="494" spans="1:7">
      <c r="A494" s="469" t="s">
        <v>1737</v>
      </c>
      <c r="B494" s="485">
        <v>11728</v>
      </c>
      <c r="C494" s="475">
        <v>209883</v>
      </c>
      <c r="D494" s="475">
        <v>264010</v>
      </c>
      <c r="E494" s="485">
        <v>65855</v>
      </c>
      <c r="F494" s="515" t="s">
        <v>1563</v>
      </c>
    </row>
    <row r="495" spans="1:7">
      <c r="A495" s="469" t="s">
        <v>2046</v>
      </c>
      <c r="B495" s="474">
        <v>1811</v>
      </c>
      <c r="C495" s="472">
        <v>1143263</v>
      </c>
      <c r="D495" s="472">
        <v>1145074</v>
      </c>
      <c r="E495" s="470"/>
    </row>
    <row r="496" spans="1:7">
      <c r="A496" s="469" t="s">
        <v>2047</v>
      </c>
      <c r="B496" s="474">
        <v>265583</v>
      </c>
      <c r="C496" s="472">
        <v>9038867</v>
      </c>
      <c r="D496" s="472">
        <v>9283905</v>
      </c>
      <c r="E496" s="474">
        <v>20545</v>
      </c>
      <c r="F496" t="s">
        <v>1554</v>
      </c>
      <c r="G496" s="515" t="s">
        <v>1563</v>
      </c>
    </row>
    <row r="497" spans="1:6">
      <c r="A497" s="469" t="s">
        <v>2181</v>
      </c>
      <c r="B497" s="470"/>
      <c r="C497" s="472">
        <v>1751050</v>
      </c>
      <c r="D497" s="472">
        <v>1407363</v>
      </c>
      <c r="E497" s="474">
        <v>343687</v>
      </c>
      <c r="F497" s="515" t="s">
        <v>1563</v>
      </c>
    </row>
    <row r="498" spans="1:6">
      <c r="A498" s="469" t="s">
        <v>836</v>
      </c>
      <c r="B498" s="474">
        <v>88647</v>
      </c>
      <c r="C498" s="471"/>
      <c r="D498" s="471"/>
      <c r="E498" s="474">
        <v>88647</v>
      </c>
      <c r="F498" s="515" t="s">
        <v>1563</v>
      </c>
    </row>
    <row r="499" spans="1:6">
      <c r="A499" s="469" t="s">
        <v>1243</v>
      </c>
      <c r="B499" s="474">
        <v>32269</v>
      </c>
      <c r="C499" s="471"/>
      <c r="D499" s="471"/>
      <c r="E499" s="474">
        <v>32269</v>
      </c>
      <c r="F499" s="515" t="s">
        <v>1563</v>
      </c>
    </row>
    <row r="500" spans="1:6">
      <c r="A500" s="469" t="s">
        <v>2048</v>
      </c>
      <c r="B500" s="474">
        <v>82384</v>
      </c>
      <c r="C500" s="472">
        <v>301740</v>
      </c>
      <c r="D500" s="472">
        <v>387124</v>
      </c>
      <c r="E500" s="473">
        <v>3000</v>
      </c>
      <c r="F500" s="515" t="s">
        <v>1563</v>
      </c>
    </row>
    <row r="501" spans="1:6">
      <c r="A501" s="469" t="s">
        <v>837</v>
      </c>
      <c r="B501" s="474">
        <v>75</v>
      </c>
      <c r="C501" s="471"/>
      <c r="D501" s="471"/>
      <c r="E501" s="474">
        <v>75</v>
      </c>
      <c r="F501" s="515" t="s">
        <v>1563</v>
      </c>
    </row>
    <row r="502" spans="1:6">
      <c r="A502" s="469" t="s">
        <v>838</v>
      </c>
      <c r="B502" s="474">
        <v>5578</v>
      </c>
      <c r="C502" s="471"/>
      <c r="D502" s="471"/>
      <c r="E502" s="474">
        <v>5578</v>
      </c>
      <c r="F502" s="515" t="s">
        <v>1563</v>
      </c>
    </row>
    <row r="503" spans="1:6">
      <c r="A503" s="469" t="s">
        <v>839</v>
      </c>
      <c r="B503" s="474">
        <v>22244</v>
      </c>
      <c r="C503" s="471"/>
      <c r="D503" s="471"/>
      <c r="E503" s="474">
        <v>22244</v>
      </c>
      <c r="F503" s="515" t="s">
        <v>1563</v>
      </c>
    </row>
    <row r="504" spans="1:6">
      <c r="A504" s="469" t="s">
        <v>840</v>
      </c>
      <c r="B504" s="474">
        <v>18095</v>
      </c>
      <c r="C504" s="470"/>
      <c r="D504" s="470"/>
      <c r="E504" s="474">
        <v>18095</v>
      </c>
      <c r="F504" s="515" t="s">
        <v>1563</v>
      </c>
    </row>
    <row r="505" spans="1:6">
      <c r="A505" s="486" t="s">
        <v>841</v>
      </c>
      <c r="B505" s="483">
        <v>31056</v>
      </c>
      <c r="C505" s="487"/>
      <c r="D505" s="487"/>
      <c r="E505" s="483">
        <v>31056</v>
      </c>
      <c r="F505" s="515" t="s">
        <v>1563</v>
      </c>
    </row>
    <row r="506" spans="1:6">
      <c r="A506" s="469" t="s">
        <v>842</v>
      </c>
      <c r="B506" s="484">
        <v>27512</v>
      </c>
      <c r="C506" s="477"/>
      <c r="D506" s="477"/>
      <c r="E506" s="484">
        <v>27512</v>
      </c>
      <c r="F506" s="515" t="s">
        <v>1563</v>
      </c>
    </row>
    <row r="507" spans="1:6">
      <c r="A507" s="469" t="s">
        <v>843</v>
      </c>
      <c r="B507" s="473">
        <v>2000</v>
      </c>
      <c r="C507" s="471"/>
      <c r="D507" s="471"/>
      <c r="E507" s="473">
        <v>2000</v>
      </c>
      <c r="F507" s="515" t="s">
        <v>1563</v>
      </c>
    </row>
    <row r="508" spans="1:6">
      <c r="A508" s="469" t="s">
        <v>844</v>
      </c>
      <c r="B508" s="473">
        <v>2100</v>
      </c>
      <c r="C508" s="471"/>
      <c r="D508" s="471"/>
      <c r="E508" s="473">
        <v>2100</v>
      </c>
      <c r="F508" s="515" t="s">
        <v>1563</v>
      </c>
    </row>
    <row r="509" spans="1:6">
      <c r="A509" s="469" t="s">
        <v>1841</v>
      </c>
      <c r="B509" s="474">
        <v>23368</v>
      </c>
      <c r="C509" s="472">
        <v>4786525.05</v>
      </c>
      <c r="D509" s="472">
        <v>4786654.05</v>
      </c>
      <c r="E509" s="474">
        <v>23239</v>
      </c>
      <c r="F509" s="515" t="s">
        <v>1563</v>
      </c>
    </row>
    <row r="510" spans="1:6">
      <c r="A510" s="469" t="s">
        <v>845</v>
      </c>
      <c r="B510" s="473">
        <v>5745</v>
      </c>
      <c r="C510" s="471"/>
      <c r="D510" s="471"/>
      <c r="E510" s="473">
        <v>5745</v>
      </c>
      <c r="F510" s="515" t="s">
        <v>1563</v>
      </c>
    </row>
    <row r="511" spans="1:6">
      <c r="A511" s="469" t="s">
        <v>846</v>
      </c>
      <c r="B511" s="474">
        <v>3188</v>
      </c>
      <c r="C511" s="471"/>
      <c r="D511" s="471"/>
      <c r="E511" s="474">
        <v>3188</v>
      </c>
      <c r="F511" s="515" t="s">
        <v>1563</v>
      </c>
    </row>
    <row r="512" spans="1:6">
      <c r="A512" s="469" t="s">
        <v>1516</v>
      </c>
      <c r="B512" s="473">
        <v>60</v>
      </c>
      <c r="C512" s="471"/>
      <c r="D512" s="471"/>
      <c r="E512" s="473">
        <v>60</v>
      </c>
      <c r="F512" s="515" t="s">
        <v>1563</v>
      </c>
    </row>
    <row r="513" spans="1:6">
      <c r="A513" s="469" t="s">
        <v>941</v>
      </c>
      <c r="B513" s="474">
        <v>3752</v>
      </c>
      <c r="C513" s="471"/>
      <c r="D513" s="471"/>
      <c r="E513" s="474">
        <v>3752</v>
      </c>
      <c r="F513" s="515" t="s">
        <v>1563</v>
      </c>
    </row>
    <row r="514" spans="1:6">
      <c r="A514" s="486" t="s">
        <v>2050</v>
      </c>
      <c r="B514" s="502"/>
      <c r="C514" s="481">
        <v>943278</v>
      </c>
      <c r="D514" s="481">
        <v>943278</v>
      </c>
      <c r="E514" s="502"/>
    </row>
    <row r="515" spans="1:6">
      <c r="A515" s="469" t="s">
        <v>2182</v>
      </c>
      <c r="B515" s="474">
        <v>204479.85</v>
      </c>
      <c r="C515" s="472">
        <v>18666008.5</v>
      </c>
      <c r="D515" s="472">
        <v>18634254.800000001</v>
      </c>
      <c r="E515" s="474">
        <v>236233.55</v>
      </c>
      <c r="F515" s="515" t="s">
        <v>1563</v>
      </c>
    </row>
    <row r="516" spans="1:6">
      <c r="A516" s="469" t="s">
        <v>2202</v>
      </c>
      <c r="B516" s="470"/>
      <c r="C516" s="472">
        <v>90200</v>
      </c>
      <c r="D516" s="472">
        <v>90200</v>
      </c>
      <c r="E516" s="470"/>
    </row>
    <row r="517" spans="1:6">
      <c r="A517" s="469" t="s">
        <v>1517</v>
      </c>
      <c r="B517" s="474">
        <v>29772</v>
      </c>
      <c r="C517" s="471"/>
      <c r="D517" s="471"/>
      <c r="E517" s="474">
        <v>29772</v>
      </c>
      <c r="F517" s="515" t="s">
        <v>1563</v>
      </c>
    </row>
    <row r="518" spans="1:6">
      <c r="A518" s="469" t="s">
        <v>849</v>
      </c>
      <c r="B518" s="473">
        <v>1000</v>
      </c>
      <c r="C518" s="471"/>
      <c r="D518" s="471"/>
      <c r="E518" s="473">
        <v>1000</v>
      </c>
      <c r="F518" s="515" t="s">
        <v>1563</v>
      </c>
    </row>
    <row r="519" spans="1:6">
      <c r="A519" s="469" t="s">
        <v>850</v>
      </c>
      <c r="B519" s="474">
        <v>2950</v>
      </c>
      <c r="C519" s="471"/>
      <c r="D519" s="471"/>
      <c r="E519" s="474">
        <v>2950</v>
      </c>
      <c r="F519" s="515" t="s">
        <v>1563</v>
      </c>
    </row>
    <row r="520" spans="1:6">
      <c r="A520" s="469" t="s">
        <v>2183</v>
      </c>
      <c r="B520" s="470"/>
      <c r="C520" s="472">
        <v>306000</v>
      </c>
      <c r="D520" s="472">
        <v>167929</v>
      </c>
      <c r="E520" s="474">
        <v>138071</v>
      </c>
      <c r="F520" s="515" t="s">
        <v>1563</v>
      </c>
    </row>
    <row r="521" spans="1:6">
      <c r="A521" s="469" t="s">
        <v>1739</v>
      </c>
      <c r="B521" s="474">
        <v>5501</v>
      </c>
      <c r="C521" s="471"/>
      <c r="D521" s="471"/>
      <c r="E521" s="474">
        <v>5501</v>
      </c>
      <c r="F521" s="515" t="s">
        <v>1563</v>
      </c>
    </row>
    <row r="522" spans="1:6">
      <c r="A522" s="469" t="s">
        <v>1240</v>
      </c>
      <c r="B522" s="474">
        <v>15054</v>
      </c>
      <c r="C522" s="471"/>
      <c r="D522" s="471"/>
      <c r="E522" s="474">
        <v>15054</v>
      </c>
      <c r="F522" s="515" t="s">
        <v>1563</v>
      </c>
    </row>
    <row r="523" spans="1:6">
      <c r="A523" s="469" t="s">
        <v>2184</v>
      </c>
      <c r="B523" s="470"/>
      <c r="C523" s="472">
        <v>10317027</v>
      </c>
      <c r="D523" s="472">
        <v>10153478</v>
      </c>
      <c r="E523" s="474">
        <v>163549</v>
      </c>
      <c r="F523" s="515" t="s">
        <v>1563</v>
      </c>
    </row>
    <row r="524" spans="1:6">
      <c r="A524" s="469" t="s">
        <v>2185</v>
      </c>
      <c r="B524" s="470"/>
      <c r="C524" s="472">
        <v>2187521</v>
      </c>
      <c r="D524" s="472">
        <v>1900746</v>
      </c>
      <c r="E524" s="474">
        <v>286775</v>
      </c>
      <c r="F524" s="515" t="s">
        <v>1563</v>
      </c>
    </row>
    <row r="525" spans="1:6">
      <c r="A525" s="469" t="s">
        <v>2186</v>
      </c>
      <c r="B525" s="470"/>
      <c r="C525" s="472">
        <v>1106268</v>
      </c>
      <c r="D525" s="472">
        <v>838218</v>
      </c>
      <c r="E525" s="474">
        <v>268050</v>
      </c>
      <c r="F525" s="515" t="s">
        <v>1563</v>
      </c>
    </row>
    <row r="526" spans="1:6">
      <c r="A526" s="469" t="s">
        <v>854</v>
      </c>
      <c r="B526" s="473">
        <v>2494</v>
      </c>
      <c r="C526" s="471"/>
      <c r="D526" s="471"/>
      <c r="E526" s="473">
        <v>2494</v>
      </c>
      <c r="F526" s="515" t="s">
        <v>1563</v>
      </c>
    </row>
    <row r="527" spans="1:6">
      <c r="A527" s="469" t="s">
        <v>2187</v>
      </c>
      <c r="B527" s="470"/>
      <c r="C527" s="472">
        <v>96055</v>
      </c>
      <c r="D527" s="472">
        <v>53603</v>
      </c>
      <c r="E527" s="474">
        <v>42452</v>
      </c>
      <c r="F527" s="515" t="s">
        <v>1563</v>
      </c>
    </row>
    <row r="528" spans="1:6">
      <c r="A528" s="469" t="s">
        <v>1521</v>
      </c>
      <c r="B528" s="473">
        <v>1577</v>
      </c>
      <c r="C528" s="471"/>
      <c r="D528" s="471"/>
      <c r="E528" s="473">
        <v>1577</v>
      </c>
      <c r="F528" s="515" t="s">
        <v>1563</v>
      </c>
    </row>
    <row r="529" spans="1:6">
      <c r="A529" s="469" t="s">
        <v>2188</v>
      </c>
      <c r="B529" s="470"/>
      <c r="C529" s="472">
        <v>1026528</v>
      </c>
      <c r="D529" s="472">
        <v>710047</v>
      </c>
      <c r="E529" s="474">
        <v>316481</v>
      </c>
      <c r="F529" s="515" t="s">
        <v>1563</v>
      </c>
    </row>
    <row r="530" spans="1:6">
      <c r="A530" s="469" t="s">
        <v>2189</v>
      </c>
      <c r="B530" s="470"/>
      <c r="C530" s="472">
        <v>8928479</v>
      </c>
      <c r="D530" s="472">
        <v>8302758</v>
      </c>
      <c r="E530" s="474">
        <v>625721</v>
      </c>
      <c r="F530" s="515" t="s">
        <v>1563</v>
      </c>
    </row>
    <row r="531" spans="1:6">
      <c r="A531" s="469" t="s">
        <v>2203</v>
      </c>
      <c r="B531" s="470"/>
      <c r="C531" s="472">
        <v>7201436</v>
      </c>
      <c r="D531" s="472">
        <v>7145762</v>
      </c>
      <c r="E531" s="474">
        <v>55674</v>
      </c>
      <c r="F531" s="515" t="s">
        <v>1563</v>
      </c>
    </row>
    <row r="532" spans="1:6">
      <c r="A532" s="469" t="s">
        <v>2190</v>
      </c>
      <c r="B532" s="470"/>
      <c r="C532" s="472">
        <v>5000</v>
      </c>
      <c r="D532" s="471"/>
      <c r="E532" s="474">
        <v>5000</v>
      </c>
      <c r="F532" s="515" t="s">
        <v>1563</v>
      </c>
    </row>
    <row r="533" spans="1:6">
      <c r="A533" s="469" t="s">
        <v>1743</v>
      </c>
      <c r="B533" s="474">
        <v>3530</v>
      </c>
      <c r="C533" s="472">
        <v>40755</v>
      </c>
      <c r="D533" s="472">
        <v>40755</v>
      </c>
      <c r="E533" s="474">
        <v>3530</v>
      </c>
      <c r="F533" s="515" t="s">
        <v>1563</v>
      </c>
    </row>
    <row r="534" spans="1:6">
      <c r="A534" s="469" t="s">
        <v>1744</v>
      </c>
      <c r="B534" s="474">
        <v>32292</v>
      </c>
      <c r="C534" s="472">
        <v>74292</v>
      </c>
      <c r="D534" s="472">
        <v>106584</v>
      </c>
      <c r="E534" s="470"/>
    </row>
    <row r="535" spans="1:6">
      <c r="A535" s="469" t="s">
        <v>2052</v>
      </c>
      <c r="B535" s="474">
        <v>42762</v>
      </c>
      <c r="C535" s="472">
        <v>4021744</v>
      </c>
      <c r="D535" s="472">
        <v>4064506</v>
      </c>
      <c r="E535" s="470"/>
    </row>
    <row r="536" spans="1:6">
      <c r="A536" s="469" t="s">
        <v>2053</v>
      </c>
      <c r="B536" s="474">
        <v>900100</v>
      </c>
      <c r="C536" s="472">
        <v>17128336</v>
      </c>
      <c r="D536" s="472">
        <v>17693552</v>
      </c>
      <c r="E536" s="474">
        <v>334884</v>
      </c>
      <c r="F536" s="515" t="s">
        <v>1563</v>
      </c>
    </row>
    <row r="537" spans="1:6">
      <c r="A537" s="469" t="s">
        <v>2191</v>
      </c>
      <c r="B537" s="470"/>
      <c r="C537" s="472">
        <v>2848730</v>
      </c>
      <c r="D537" s="472">
        <v>2411533</v>
      </c>
      <c r="E537" s="474">
        <v>437197</v>
      </c>
      <c r="F537" s="515" t="s">
        <v>1563</v>
      </c>
    </row>
    <row r="538" spans="1:6">
      <c r="A538" s="469" t="s">
        <v>855</v>
      </c>
      <c r="B538" s="474">
        <v>1184066.7</v>
      </c>
      <c r="C538" s="472">
        <v>130000</v>
      </c>
      <c r="D538" s="471"/>
      <c r="E538" s="474">
        <v>1314066.7</v>
      </c>
      <c r="F538" s="515" t="s">
        <v>1563</v>
      </c>
    </row>
    <row r="539" spans="1:6">
      <c r="A539" s="469" t="s">
        <v>2192</v>
      </c>
      <c r="B539" s="470"/>
      <c r="C539" s="472">
        <v>2236576</v>
      </c>
      <c r="D539" s="472">
        <v>2397037</v>
      </c>
      <c r="E539" s="473">
        <v>160461</v>
      </c>
      <c r="F539" s="515" t="s">
        <v>1563</v>
      </c>
    </row>
    <row r="540" spans="1:6">
      <c r="A540" s="469" t="s">
        <v>1239</v>
      </c>
      <c r="B540" s="474">
        <v>1500</v>
      </c>
      <c r="C540" s="471"/>
      <c r="D540" s="471"/>
      <c r="E540" s="474">
        <v>1500</v>
      </c>
      <c r="F540" s="515" t="s">
        <v>1563</v>
      </c>
    </row>
    <row r="541" spans="1:6">
      <c r="A541" s="469" t="s">
        <v>256</v>
      </c>
      <c r="B541" s="474">
        <v>233932443.25</v>
      </c>
      <c r="C541" s="472">
        <v>16550265.050000001</v>
      </c>
      <c r="D541" s="472">
        <v>68640</v>
      </c>
      <c r="E541" s="474">
        <v>250414068.30000001</v>
      </c>
      <c r="F541" s="515" t="s">
        <v>1563</v>
      </c>
    </row>
    <row r="542" spans="1:6">
      <c r="A542" s="469" t="s">
        <v>856</v>
      </c>
      <c r="B542" s="473">
        <v>3682429</v>
      </c>
      <c r="C542" s="471"/>
      <c r="D542" s="472">
        <v>943278</v>
      </c>
      <c r="E542" s="473">
        <v>4625707</v>
      </c>
      <c r="F542" s="515" t="s">
        <v>1563</v>
      </c>
    </row>
    <row r="543" spans="1:6">
      <c r="A543" s="469" t="s">
        <v>857</v>
      </c>
      <c r="B543" s="473">
        <v>155952519</v>
      </c>
      <c r="C543" s="471"/>
      <c r="D543" s="472">
        <v>11386532</v>
      </c>
      <c r="E543" s="473">
        <v>167339051</v>
      </c>
      <c r="F543" s="515" t="s">
        <v>1563</v>
      </c>
    </row>
    <row r="544" spans="1:6">
      <c r="A544" s="469" t="s">
        <v>858</v>
      </c>
      <c r="B544" s="473">
        <v>74297495.25</v>
      </c>
      <c r="C544" s="472">
        <v>27368</v>
      </c>
      <c r="D544" s="472">
        <v>4179183.05</v>
      </c>
      <c r="E544" s="473">
        <v>78449310.299999997</v>
      </c>
      <c r="F544" s="515" t="s">
        <v>1563</v>
      </c>
    </row>
    <row r="545" spans="1:6">
      <c r="A545" s="469" t="s">
        <v>859</v>
      </c>
      <c r="B545" s="474">
        <v>10812</v>
      </c>
      <c r="C545" s="471"/>
      <c r="D545" s="471"/>
      <c r="E545" s="474">
        <v>10812</v>
      </c>
      <c r="F545" s="515" t="s">
        <v>1563</v>
      </c>
    </row>
    <row r="546" spans="1:6">
      <c r="A546" s="469" t="s">
        <v>860</v>
      </c>
      <c r="B546" s="474">
        <v>6042</v>
      </c>
      <c r="C546" s="471"/>
      <c r="D546" s="471"/>
      <c r="E546" s="474">
        <v>6042</v>
      </c>
      <c r="F546" s="515" t="s">
        <v>1563</v>
      </c>
    </row>
    <row r="547" spans="1:6">
      <c r="A547" s="469" t="s">
        <v>861</v>
      </c>
      <c r="B547" s="485">
        <v>6589</v>
      </c>
      <c r="C547" s="477"/>
      <c r="D547" s="477"/>
      <c r="E547" s="485">
        <v>6589</v>
      </c>
      <c r="F547" s="515" t="s">
        <v>1563</v>
      </c>
    </row>
    <row r="548" spans="1:6">
      <c r="A548" s="469" t="s">
        <v>2054</v>
      </c>
      <c r="B548" s="474">
        <v>38664</v>
      </c>
      <c r="C548" s="472">
        <v>222096</v>
      </c>
      <c r="D548" s="472">
        <v>260760</v>
      </c>
      <c r="E548" s="470"/>
      <c r="F548" t="s">
        <v>1554</v>
      </c>
    </row>
    <row r="549" spans="1:6">
      <c r="A549" s="469" t="s">
        <v>1528</v>
      </c>
      <c r="B549" s="470"/>
      <c r="C549" s="472">
        <v>47140</v>
      </c>
      <c r="D549" s="472">
        <v>47140</v>
      </c>
      <c r="E549" s="470"/>
    </row>
    <row r="550" spans="1:6">
      <c r="A550" s="469" t="s">
        <v>2193</v>
      </c>
      <c r="B550" s="470"/>
      <c r="C550" s="472">
        <v>5678642</v>
      </c>
      <c r="D550" s="472">
        <v>5663453</v>
      </c>
      <c r="E550" s="474">
        <v>15189</v>
      </c>
      <c r="F550" s="515" t="s">
        <v>1563</v>
      </c>
    </row>
    <row r="551" spans="1:6">
      <c r="A551" s="469" t="s">
        <v>1529</v>
      </c>
      <c r="B551" s="474">
        <v>50068</v>
      </c>
      <c r="C551" s="472">
        <v>12000</v>
      </c>
      <c r="D551" s="472">
        <v>62068</v>
      </c>
      <c r="E551" s="470"/>
    </row>
    <row r="552" spans="1:6">
      <c r="A552" s="469" t="s">
        <v>1237</v>
      </c>
      <c r="B552" s="474">
        <v>69540</v>
      </c>
      <c r="C552" s="471"/>
      <c r="D552" s="471"/>
      <c r="E552" s="474">
        <v>69540</v>
      </c>
      <c r="F552" s="515" t="s">
        <v>1563</v>
      </c>
    </row>
    <row r="553" spans="1:6">
      <c r="A553" s="469" t="s">
        <v>863</v>
      </c>
      <c r="B553" s="474">
        <v>6023</v>
      </c>
      <c r="C553" s="471"/>
      <c r="D553" s="471"/>
      <c r="E553" s="474">
        <v>6023</v>
      </c>
      <c r="F553" s="515" t="s">
        <v>1563</v>
      </c>
    </row>
    <row r="554" spans="1:6">
      <c r="A554" s="469" t="s">
        <v>1089</v>
      </c>
      <c r="B554" s="474">
        <v>40029.199999999997</v>
      </c>
      <c r="C554" s="471"/>
      <c r="D554" s="471"/>
      <c r="E554" s="474">
        <v>40029.199999999997</v>
      </c>
      <c r="F554" s="515" t="s">
        <v>1563</v>
      </c>
    </row>
    <row r="555" spans="1:6">
      <c r="A555" s="469" t="s">
        <v>1236</v>
      </c>
      <c r="B555" s="484">
        <v>38444</v>
      </c>
      <c r="C555" s="477"/>
      <c r="D555" s="477"/>
      <c r="E555" s="484">
        <v>38444</v>
      </c>
      <c r="F555" s="515" t="s">
        <v>1563</v>
      </c>
    </row>
    <row r="556" spans="1:6">
      <c r="A556" s="469" t="s">
        <v>1235</v>
      </c>
      <c r="B556" s="473">
        <v>2987</v>
      </c>
      <c r="C556" s="471"/>
      <c r="D556" s="471"/>
      <c r="E556" s="473">
        <v>2987</v>
      </c>
      <c r="F556" s="515" t="s">
        <v>1563</v>
      </c>
    </row>
    <row r="557" spans="1:6">
      <c r="A557" s="469" t="s">
        <v>864</v>
      </c>
      <c r="B557" s="474">
        <v>19090</v>
      </c>
      <c r="C557" s="471"/>
      <c r="D557" s="471"/>
      <c r="E557" s="474">
        <v>19090</v>
      </c>
      <c r="F557" s="515" t="s">
        <v>1563</v>
      </c>
    </row>
    <row r="558" spans="1:6">
      <c r="A558" s="469" t="s">
        <v>2194</v>
      </c>
      <c r="B558" s="470"/>
      <c r="C558" s="472">
        <v>1677634</v>
      </c>
      <c r="D558" s="472">
        <v>1095586</v>
      </c>
      <c r="E558" s="474">
        <v>582048</v>
      </c>
      <c r="F558" s="515" t="s">
        <v>1563</v>
      </c>
    </row>
    <row r="559" spans="1:6">
      <c r="A559" s="469" t="s">
        <v>2204</v>
      </c>
      <c r="B559" s="470"/>
      <c r="C559" s="472">
        <v>956699</v>
      </c>
      <c r="D559" s="472">
        <v>949418</v>
      </c>
      <c r="E559" s="474">
        <v>7281</v>
      </c>
      <c r="F559" s="515" t="s">
        <v>1563</v>
      </c>
    </row>
    <row r="560" spans="1:6">
      <c r="A560" s="469" t="s">
        <v>865</v>
      </c>
      <c r="B560" s="474">
        <v>6188</v>
      </c>
      <c r="C560" s="471"/>
      <c r="D560" s="471"/>
      <c r="E560" s="474">
        <v>6188</v>
      </c>
      <c r="F560" s="515" t="s">
        <v>1563</v>
      </c>
    </row>
    <row r="561" spans="1:6">
      <c r="A561" s="469" t="s">
        <v>866</v>
      </c>
      <c r="B561" s="474">
        <v>6576</v>
      </c>
      <c r="C561" s="471"/>
      <c r="D561" s="471"/>
      <c r="E561" s="474">
        <v>6576</v>
      </c>
      <c r="F561" s="515" t="s">
        <v>1563</v>
      </c>
    </row>
    <row r="562" spans="1:6">
      <c r="A562" s="469" t="s">
        <v>867</v>
      </c>
      <c r="B562" s="474">
        <v>486</v>
      </c>
      <c r="C562" s="471"/>
      <c r="D562" s="471"/>
      <c r="E562" s="474">
        <v>486</v>
      </c>
      <c r="F562" s="515" t="s">
        <v>1563</v>
      </c>
    </row>
    <row r="563" spans="1:6">
      <c r="A563" s="469" t="s">
        <v>868</v>
      </c>
      <c r="B563" s="474">
        <v>2101</v>
      </c>
      <c r="C563" s="471"/>
      <c r="D563" s="471"/>
      <c r="E563" s="474">
        <v>2101</v>
      </c>
      <c r="F563" s="515" t="s">
        <v>1563</v>
      </c>
    </row>
    <row r="564" spans="1:6">
      <c r="A564" s="469" t="s">
        <v>869</v>
      </c>
      <c r="B564" s="473">
        <v>300</v>
      </c>
      <c r="C564" s="471"/>
      <c r="D564" s="471"/>
      <c r="E564" s="473">
        <v>300</v>
      </c>
      <c r="F564" s="515" t="s">
        <v>1563</v>
      </c>
    </row>
    <row r="565" spans="1:6">
      <c r="A565" s="469" t="s">
        <v>1530</v>
      </c>
      <c r="B565" s="474">
        <v>18273</v>
      </c>
      <c r="C565" s="472">
        <v>670011</v>
      </c>
      <c r="D565" s="472">
        <v>670011</v>
      </c>
      <c r="E565" s="474">
        <v>18273</v>
      </c>
      <c r="F565" s="515" t="s">
        <v>1563</v>
      </c>
    </row>
    <row r="566" spans="1:6">
      <c r="A566" s="482" t="s">
        <v>101</v>
      </c>
      <c r="B566" s="494">
        <v>273232</v>
      </c>
      <c r="C566" s="475">
        <v>36636991</v>
      </c>
      <c r="D566" s="475">
        <v>35341157</v>
      </c>
      <c r="E566" s="494">
        <v>1569066</v>
      </c>
      <c r="F566" t="s">
        <v>2205</v>
      </c>
    </row>
    <row r="567" spans="1:6">
      <c r="A567" s="469" t="s">
        <v>2195</v>
      </c>
      <c r="B567" s="470"/>
      <c r="C567" s="472">
        <v>25500</v>
      </c>
      <c r="D567" s="472">
        <v>10000</v>
      </c>
      <c r="E567" s="474">
        <v>15500</v>
      </c>
      <c r="F567" s="515" t="s">
        <v>1566</v>
      </c>
    </row>
    <row r="568" spans="1:6">
      <c r="A568" s="469" t="s">
        <v>2196</v>
      </c>
      <c r="B568" s="470"/>
      <c r="C568" s="472">
        <v>5000</v>
      </c>
      <c r="D568" s="472">
        <v>5000</v>
      </c>
      <c r="E568" s="470"/>
    </row>
    <row r="569" spans="1:6">
      <c r="A569" s="469" t="s">
        <v>870</v>
      </c>
      <c r="B569" s="474">
        <v>2171.5</v>
      </c>
      <c r="C569" s="472">
        <v>253944</v>
      </c>
      <c r="D569" s="472">
        <v>242172</v>
      </c>
      <c r="E569" s="474">
        <v>13943.5</v>
      </c>
      <c r="F569" s="515" t="s">
        <v>1566</v>
      </c>
    </row>
    <row r="570" spans="1:6">
      <c r="A570" s="469" t="s">
        <v>2197</v>
      </c>
      <c r="B570" s="470"/>
      <c r="C570" s="472">
        <v>5000</v>
      </c>
      <c r="D570" s="472">
        <v>5000</v>
      </c>
      <c r="E570" s="470"/>
    </row>
    <row r="571" spans="1:6">
      <c r="A571" s="469" t="s">
        <v>871</v>
      </c>
      <c r="B571" s="474">
        <v>1922.5</v>
      </c>
      <c r="C571" s="472">
        <v>50280</v>
      </c>
      <c r="D571" s="472">
        <v>52295</v>
      </c>
      <c r="E571" s="473">
        <v>92.5</v>
      </c>
      <c r="F571" s="515" t="s">
        <v>1566</v>
      </c>
    </row>
    <row r="572" spans="1:6">
      <c r="A572" s="469" t="s">
        <v>872</v>
      </c>
      <c r="B572" s="470"/>
      <c r="C572" s="472">
        <v>43686</v>
      </c>
      <c r="D572" s="472">
        <v>38686</v>
      </c>
      <c r="E572" s="474">
        <v>5000</v>
      </c>
      <c r="F572" s="515" t="s">
        <v>1566</v>
      </c>
    </row>
    <row r="573" spans="1:6">
      <c r="A573" s="469" t="s">
        <v>873</v>
      </c>
      <c r="B573" s="474">
        <v>2037</v>
      </c>
      <c r="C573" s="472">
        <v>296800</v>
      </c>
      <c r="D573" s="472">
        <v>282753</v>
      </c>
      <c r="E573" s="474">
        <v>16084</v>
      </c>
      <c r="F573" s="515" t="s">
        <v>1566</v>
      </c>
    </row>
    <row r="574" spans="1:6">
      <c r="A574" s="469" t="s">
        <v>2198</v>
      </c>
      <c r="B574" s="470"/>
      <c r="C574" s="472">
        <v>3000</v>
      </c>
      <c r="D574" s="471"/>
      <c r="E574" s="474">
        <v>3000</v>
      </c>
      <c r="F574" s="515" t="s">
        <v>1566</v>
      </c>
    </row>
    <row r="575" spans="1:6">
      <c r="A575" s="469" t="s">
        <v>874</v>
      </c>
      <c r="B575" s="474">
        <v>23534.2</v>
      </c>
      <c r="C575" s="472">
        <v>126000</v>
      </c>
      <c r="D575" s="472">
        <v>122398</v>
      </c>
      <c r="E575" s="474">
        <v>27136.2</v>
      </c>
      <c r="F575" s="515" t="s">
        <v>1566</v>
      </c>
    </row>
    <row r="576" spans="1:6">
      <c r="A576" s="469" t="s">
        <v>875</v>
      </c>
      <c r="B576" s="474">
        <v>908</v>
      </c>
      <c r="C576" s="471"/>
      <c r="D576" s="471"/>
      <c r="E576" s="474">
        <v>908</v>
      </c>
      <c r="F576" s="515" t="s">
        <v>1566</v>
      </c>
    </row>
    <row r="577" spans="1:6">
      <c r="A577" s="469" t="s">
        <v>2055</v>
      </c>
      <c r="B577" s="470"/>
      <c r="C577" s="472">
        <v>10000</v>
      </c>
      <c r="D577" s="472">
        <v>10000</v>
      </c>
      <c r="E577" s="470"/>
    </row>
    <row r="578" spans="1:6">
      <c r="A578" s="469" t="s">
        <v>1747</v>
      </c>
      <c r="B578" s="474">
        <v>29105</v>
      </c>
      <c r="C578" s="472">
        <v>2227</v>
      </c>
      <c r="D578" s="471"/>
      <c r="E578" s="474">
        <v>31332</v>
      </c>
      <c r="F578" s="515" t="s">
        <v>1566</v>
      </c>
    </row>
    <row r="579" spans="1:6">
      <c r="A579" s="469" t="s">
        <v>876</v>
      </c>
      <c r="B579" s="474">
        <v>5128</v>
      </c>
      <c r="C579" s="472">
        <v>2500</v>
      </c>
      <c r="D579" s="471"/>
      <c r="E579" s="474">
        <v>7628</v>
      </c>
      <c r="F579" s="515" t="s">
        <v>1566</v>
      </c>
    </row>
    <row r="580" spans="1:6">
      <c r="A580" s="469" t="s">
        <v>2057</v>
      </c>
      <c r="B580" s="474">
        <v>15000</v>
      </c>
      <c r="C580" s="471"/>
      <c r="D580" s="472">
        <v>15000</v>
      </c>
      <c r="E580" s="470"/>
    </row>
    <row r="581" spans="1:6">
      <c r="A581" s="469" t="s">
        <v>2199</v>
      </c>
      <c r="B581" s="470"/>
      <c r="C581" s="472">
        <v>11431</v>
      </c>
      <c r="D581" s="472">
        <v>11431</v>
      </c>
      <c r="E581" s="470"/>
    </row>
    <row r="582" spans="1:6">
      <c r="A582" s="469" t="s">
        <v>877</v>
      </c>
      <c r="B582" s="474">
        <v>169004</v>
      </c>
      <c r="C582" s="472">
        <v>6989</v>
      </c>
      <c r="D582" s="472">
        <v>4000</v>
      </c>
      <c r="E582" s="474">
        <v>171993</v>
      </c>
      <c r="F582" s="515" t="s">
        <v>1566</v>
      </c>
    </row>
    <row r="583" spans="1:6">
      <c r="A583" s="469" t="s">
        <v>2062</v>
      </c>
      <c r="B583" s="473">
        <v>3000</v>
      </c>
      <c r="C583" s="471"/>
      <c r="D583" s="471"/>
      <c r="E583" s="473">
        <v>3000</v>
      </c>
      <c r="F583" s="515" t="s">
        <v>1566</v>
      </c>
    </row>
    <row r="584" spans="1:6">
      <c r="A584" s="469" t="s">
        <v>879</v>
      </c>
      <c r="B584" s="473">
        <v>24410</v>
      </c>
      <c r="C584" s="472">
        <v>55000</v>
      </c>
      <c r="D584" s="472">
        <v>25987</v>
      </c>
      <c r="E584" s="474">
        <v>4603</v>
      </c>
      <c r="F584" s="515" t="s">
        <v>1566</v>
      </c>
    </row>
    <row r="585" spans="1:6">
      <c r="A585" s="469" t="s">
        <v>2063</v>
      </c>
      <c r="B585" s="473">
        <v>6000</v>
      </c>
      <c r="C585" s="472">
        <v>129000</v>
      </c>
      <c r="D585" s="472">
        <v>129764</v>
      </c>
      <c r="E585" s="473">
        <v>6764</v>
      </c>
      <c r="F585" s="515" t="s">
        <v>1566</v>
      </c>
    </row>
    <row r="586" spans="1:6">
      <c r="A586" s="469" t="s">
        <v>1532</v>
      </c>
      <c r="B586" s="473">
        <v>1</v>
      </c>
      <c r="C586" s="471"/>
      <c r="D586" s="471"/>
      <c r="E586" s="473">
        <v>1</v>
      </c>
    </row>
    <row r="587" spans="1:6">
      <c r="A587" s="469" t="s">
        <v>880</v>
      </c>
      <c r="B587" s="474">
        <v>4362.5</v>
      </c>
      <c r="C587" s="472">
        <v>62867</v>
      </c>
      <c r="D587" s="472">
        <v>65312</v>
      </c>
      <c r="E587" s="474">
        <v>1917.5</v>
      </c>
      <c r="F587" s="515" t="s">
        <v>1566</v>
      </c>
    </row>
    <row r="588" spans="1:6">
      <c r="A588" s="469" t="s">
        <v>881</v>
      </c>
      <c r="B588" s="477"/>
      <c r="C588" s="475">
        <v>8000</v>
      </c>
      <c r="D588" s="477"/>
      <c r="E588" s="484">
        <v>8000</v>
      </c>
      <c r="F588" s="515" t="s">
        <v>1566</v>
      </c>
    </row>
    <row r="589" spans="1:6">
      <c r="A589" s="469" t="s">
        <v>1533</v>
      </c>
      <c r="B589" s="474">
        <v>11866</v>
      </c>
      <c r="C589" s="472">
        <v>135500</v>
      </c>
      <c r="D589" s="472">
        <v>92229</v>
      </c>
      <c r="E589" s="474">
        <v>55137</v>
      </c>
      <c r="F589" s="515" t="s">
        <v>1566</v>
      </c>
    </row>
    <row r="590" spans="1:6">
      <c r="A590" s="469" t="s">
        <v>1534</v>
      </c>
      <c r="B590" s="484">
        <v>4415</v>
      </c>
      <c r="C590" s="477"/>
      <c r="D590" s="477"/>
      <c r="E590" s="484">
        <v>4415</v>
      </c>
      <c r="F590" s="515" t="s">
        <v>1566</v>
      </c>
    </row>
    <row r="591" spans="1:6">
      <c r="A591" s="469" t="s">
        <v>883</v>
      </c>
      <c r="B591" s="484">
        <v>6125</v>
      </c>
      <c r="C591" s="475">
        <v>90759</v>
      </c>
      <c r="D591" s="475">
        <v>90208</v>
      </c>
      <c r="E591" s="484">
        <v>6676</v>
      </c>
      <c r="F591" s="515" t="s">
        <v>1566</v>
      </c>
    </row>
    <row r="592" spans="1:6">
      <c r="A592" s="469" t="s">
        <v>884</v>
      </c>
      <c r="B592" s="473">
        <v>3988.7</v>
      </c>
      <c r="C592" s="472">
        <v>526770</v>
      </c>
      <c r="D592" s="472">
        <v>480293</v>
      </c>
      <c r="E592" s="474">
        <v>42488.3</v>
      </c>
      <c r="F592" s="515" t="s">
        <v>1566</v>
      </c>
    </row>
    <row r="593" spans="1:6">
      <c r="A593" s="469" t="s">
        <v>885</v>
      </c>
      <c r="B593" s="474">
        <v>5134</v>
      </c>
      <c r="C593" s="472">
        <v>79900</v>
      </c>
      <c r="D593" s="472">
        <v>84434</v>
      </c>
      <c r="E593" s="474">
        <v>600</v>
      </c>
      <c r="F593" s="515" t="s">
        <v>1566</v>
      </c>
    </row>
    <row r="594" spans="1:6">
      <c r="A594" s="469" t="s">
        <v>2064</v>
      </c>
      <c r="B594" s="470"/>
      <c r="C594" s="472">
        <v>34611039</v>
      </c>
      <c r="D594" s="472">
        <v>33485550</v>
      </c>
      <c r="E594" s="474">
        <v>1125489</v>
      </c>
      <c r="F594" s="515" t="s">
        <v>1566</v>
      </c>
    </row>
    <row r="595" spans="1:6">
      <c r="A595" s="469" t="s">
        <v>1748</v>
      </c>
      <c r="B595" s="474">
        <v>18383</v>
      </c>
      <c r="C595" s="471"/>
      <c r="D595" s="471"/>
      <c r="E595" s="474">
        <v>18383</v>
      </c>
      <c r="F595" s="515" t="s">
        <v>1566</v>
      </c>
    </row>
    <row r="596" spans="1:6">
      <c r="A596" s="469" t="s">
        <v>2065</v>
      </c>
      <c r="B596" s="474">
        <v>886</v>
      </c>
      <c r="C596" s="471"/>
      <c r="D596" s="472">
        <v>886</v>
      </c>
      <c r="E596" s="470"/>
    </row>
    <row r="597" spans="1:6">
      <c r="A597" s="469" t="s">
        <v>2066</v>
      </c>
      <c r="B597" s="474">
        <v>1495</v>
      </c>
      <c r="C597" s="472">
        <v>4000</v>
      </c>
      <c r="D597" s="471"/>
      <c r="E597" s="474">
        <v>5495</v>
      </c>
      <c r="F597" s="515" t="s">
        <v>1566</v>
      </c>
    </row>
    <row r="598" spans="1:6">
      <c r="A598" s="469" t="s">
        <v>1233</v>
      </c>
      <c r="B598" s="470"/>
      <c r="C598" s="472">
        <v>3000</v>
      </c>
      <c r="D598" s="471"/>
      <c r="E598" s="474">
        <v>3000</v>
      </c>
      <c r="F598" s="515" t="s">
        <v>1566</v>
      </c>
    </row>
    <row r="599" spans="1:6">
      <c r="A599" s="469" t="s">
        <v>2200</v>
      </c>
      <c r="B599" s="470"/>
      <c r="C599" s="472">
        <v>5299</v>
      </c>
      <c r="D599" s="472">
        <v>5299</v>
      </c>
      <c r="E599" s="470"/>
    </row>
    <row r="600" spans="1:6">
      <c r="A600" s="469" t="s">
        <v>1749</v>
      </c>
      <c r="B600" s="474">
        <v>3000</v>
      </c>
      <c r="C600" s="471"/>
      <c r="D600" s="471"/>
      <c r="E600" s="474">
        <v>3000</v>
      </c>
      <c r="F600" s="515" t="s">
        <v>1566</v>
      </c>
    </row>
    <row r="601" spans="1:6">
      <c r="A601" s="469" t="s">
        <v>1093</v>
      </c>
      <c r="B601" s="470"/>
      <c r="C601" s="472">
        <v>64000</v>
      </c>
      <c r="D601" s="472">
        <v>63000</v>
      </c>
      <c r="E601" s="474">
        <v>1000</v>
      </c>
      <c r="F601" s="515" t="s">
        <v>1566</v>
      </c>
    </row>
    <row r="602" spans="1:6">
      <c r="A602" s="469" t="s">
        <v>887</v>
      </c>
      <c r="B602" s="474">
        <v>500</v>
      </c>
      <c r="C602" s="471"/>
      <c r="D602" s="471"/>
      <c r="E602" s="474">
        <v>500</v>
      </c>
      <c r="F602" s="515" t="s">
        <v>1566</v>
      </c>
    </row>
    <row r="603" spans="1:6">
      <c r="A603" s="469" t="s">
        <v>888</v>
      </c>
      <c r="B603" s="474">
        <v>750</v>
      </c>
      <c r="C603" s="471"/>
      <c r="D603" s="471"/>
      <c r="E603" s="474">
        <v>750</v>
      </c>
      <c r="F603" s="515" t="s">
        <v>1566</v>
      </c>
    </row>
    <row r="604" spans="1:6">
      <c r="A604" s="469" t="s">
        <v>889</v>
      </c>
      <c r="B604" s="474">
        <v>1500</v>
      </c>
      <c r="C604" s="471"/>
      <c r="D604" s="472">
        <v>1500</v>
      </c>
      <c r="E604" s="470"/>
    </row>
    <row r="605" spans="1:6">
      <c r="A605" s="469" t="s">
        <v>1750</v>
      </c>
      <c r="B605" s="474">
        <v>3405</v>
      </c>
      <c r="C605" s="472">
        <v>2000</v>
      </c>
      <c r="D605" s="472">
        <v>1000</v>
      </c>
      <c r="E605" s="474">
        <v>4405</v>
      </c>
      <c r="F605" s="515" t="s">
        <v>1566</v>
      </c>
    </row>
    <row r="606" spans="1:6">
      <c r="A606" s="469" t="s">
        <v>2067</v>
      </c>
      <c r="B606" s="470"/>
      <c r="C606" s="472">
        <v>17500</v>
      </c>
      <c r="D606" s="472">
        <v>16960</v>
      </c>
      <c r="E606" s="474">
        <v>540</v>
      </c>
      <c r="F606" s="515" t="s">
        <v>1566</v>
      </c>
    </row>
    <row r="607" spans="1:6">
      <c r="A607" s="482" t="s">
        <v>102</v>
      </c>
      <c r="B607" s="495"/>
      <c r="C607" s="475">
        <v>3790</v>
      </c>
      <c r="D607" s="475">
        <v>328961538.06</v>
      </c>
      <c r="E607" s="493">
        <v>328957748.06</v>
      </c>
      <c r="F607" t="s">
        <v>2205</v>
      </c>
    </row>
    <row r="608" spans="1:6">
      <c r="A608" s="469" t="s">
        <v>103</v>
      </c>
      <c r="B608" s="470"/>
      <c r="C608" s="472">
        <v>3790</v>
      </c>
      <c r="D608" s="472">
        <v>328210468.06</v>
      </c>
      <c r="E608" s="473">
        <v>328206678.06</v>
      </c>
    </row>
    <row r="609" spans="1:6">
      <c r="A609" s="469" t="s">
        <v>2201</v>
      </c>
      <c r="B609" s="470"/>
      <c r="C609" s="471"/>
      <c r="D609" s="472">
        <v>751070</v>
      </c>
      <c r="E609" s="473">
        <v>751070</v>
      </c>
    </row>
    <row r="610" spans="1:6">
      <c r="A610" s="482" t="s">
        <v>104</v>
      </c>
      <c r="B610" s="495"/>
      <c r="C610" s="475">
        <v>81440680.049999997</v>
      </c>
      <c r="D610" s="475">
        <v>9716</v>
      </c>
      <c r="E610" s="494">
        <v>81430964.049999997</v>
      </c>
      <c r="F610" t="s">
        <v>2208</v>
      </c>
    </row>
    <row r="611" spans="1:6">
      <c r="A611" s="469" t="s">
        <v>105</v>
      </c>
      <c r="B611" s="470"/>
      <c r="C611" s="472">
        <v>764695</v>
      </c>
      <c r="D611" s="472">
        <v>1332</v>
      </c>
      <c r="E611" s="474">
        <v>763363</v>
      </c>
    </row>
    <row r="612" spans="1:6">
      <c r="A612" s="469" t="s">
        <v>106</v>
      </c>
      <c r="B612" s="470"/>
      <c r="C612" s="472">
        <v>789848</v>
      </c>
      <c r="D612" s="471"/>
      <c r="E612" s="474">
        <v>789848</v>
      </c>
    </row>
    <row r="613" spans="1:6">
      <c r="A613" s="469" t="s">
        <v>107</v>
      </c>
      <c r="B613" s="470"/>
      <c r="C613" s="472">
        <v>978022</v>
      </c>
      <c r="D613" s="471"/>
      <c r="E613" s="474">
        <v>978022</v>
      </c>
      <c r="F613" s="466"/>
    </row>
    <row r="614" spans="1:6">
      <c r="A614" s="469" t="s">
        <v>108</v>
      </c>
      <c r="B614" s="470"/>
      <c r="C614" s="472">
        <v>439837</v>
      </c>
      <c r="D614" s="471"/>
      <c r="E614" s="474">
        <v>439837</v>
      </c>
    </row>
    <row r="615" spans="1:6">
      <c r="A615" s="469" t="s">
        <v>109</v>
      </c>
      <c r="B615" s="470"/>
      <c r="C615" s="472">
        <v>386686</v>
      </c>
      <c r="D615" s="471"/>
      <c r="E615" s="474">
        <v>386686</v>
      </c>
    </row>
    <row r="616" spans="1:6">
      <c r="A616" s="469" t="s">
        <v>110</v>
      </c>
      <c r="B616" s="470"/>
      <c r="C616" s="472">
        <v>3806352</v>
      </c>
      <c r="D616" s="471"/>
      <c r="E616" s="474">
        <v>3806352</v>
      </c>
    </row>
    <row r="617" spans="1:6">
      <c r="A617" s="469" t="s">
        <v>111</v>
      </c>
      <c r="B617" s="470"/>
      <c r="C617" s="472">
        <v>179763</v>
      </c>
      <c r="D617" s="471"/>
      <c r="E617" s="474">
        <v>179763</v>
      </c>
    </row>
    <row r="618" spans="1:6">
      <c r="A618" s="469" t="s">
        <v>113</v>
      </c>
      <c r="B618" s="470"/>
      <c r="C618" s="472">
        <v>2614243.75</v>
      </c>
      <c r="D618" s="471"/>
      <c r="E618" s="474">
        <v>2614243.75</v>
      </c>
    </row>
    <row r="619" spans="1:6">
      <c r="A619" s="469" t="s">
        <v>2068</v>
      </c>
      <c r="B619" s="470"/>
      <c r="C619" s="472">
        <v>5040</v>
      </c>
      <c r="D619" s="471"/>
      <c r="E619" s="474">
        <v>5040</v>
      </c>
    </row>
    <row r="620" spans="1:6">
      <c r="A620" s="469" t="s">
        <v>114</v>
      </c>
      <c r="B620" s="477"/>
      <c r="C620" s="475">
        <v>80073</v>
      </c>
      <c r="D620" s="477"/>
      <c r="E620" s="484">
        <v>80073</v>
      </c>
    </row>
    <row r="621" spans="1:6">
      <c r="A621" s="469" t="s">
        <v>1535</v>
      </c>
      <c r="B621" s="470"/>
      <c r="C621" s="472">
        <v>36694</v>
      </c>
      <c r="D621" s="471"/>
      <c r="E621" s="474">
        <v>36694</v>
      </c>
    </row>
    <row r="622" spans="1:6">
      <c r="A622" s="469" t="s">
        <v>115</v>
      </c>
      <c r="B622" s="470"/>
      <c r="C622" s="472">
        <v>959407</v>
      </c>
      <c r="D622" s="471"/>
      <c r="E622" s="474">
        <v>959407</v>
      </c>
    </row>
    <row r="623" spans="1:6">
      <c r="A623" s="469" t="s">
        <v>116</v>
      </c>
      <c r="B623" s="477"/>
      <c r="C623" s="475">
        <v>3647359</v>
      </c>
      <c r="D623" s="477"/>
      <c r="E623" s="484">
        <v>3647359</v>
      </c>
    </row>
    <row r="624" spans="1:6">
      <c r="A624" s="469" t="s">
        <v>117</v>
      </c>
      <c r="B624" s="470"/>
      <c r="C624" s="472">
        <v>45850</v>
      </c>
      <c r="D624" s="471"/>
      <c r="E624" s="474">
        <v>45850</v>
      </c>
    </row>
    <row r="625" spans="1:5">
      <c r="A625" s="469" t="s">
        <v>940</v>
      </c>
      <c r="B625" s="477"/>
      <c r="C625" s="475">
        <v>716535</v>
      </c>
      <c r="D625" s="477"/>
      <c r="E625" s="484">
        <v>716535</v>
      </c>
    </row>
    <row r="626" spans="1:5">
      <c r="A626" s="469" t="s">
        <v>119</v>
      </c>
      <c r="B626" s="470"/>
      <c r="C626" s="472">
        <v>1026220</v>
      </c>
      <c r="D626" s="471"/>
      <c r="E626" s="474">
        <v>1026220</v>
      </c>
    </row>
    <row r="627" spans="1:5">
      <c r="A627" s="469" t="s">
        <v>120</v>
      </c>
      <c r="B627" s="477"/>
      <c r="C627" s="475">
        <v>2842640</v>
      </c>
      <c r="D627" s="477"/>
      <c r="E627" s="484">
        <v>2842640</v>
      </c>
    </row>
    <row r="628" spans="1:5">
      <c r="A628" s="469" t="s">
        <v>939</v>
      </c>
      <c r="B628" s="470"/>
      <c r="C628" s="472">
        <v>5788413.5499999998</v>
      </c>
      <c r="D628" s="471"/>
      <c r="E628" s="474">
        <v>5788413.5499999998</v>
      </c>
    </row>
    <row r="629" spans="1:5">
      <c r="A629" s="469" t="s">
        <v>938</v>
      </c>
      <c r="B629" s="470"/>
      <c r="C629" s="472">
        <v>3367998.3</v>
      </c>
      <c r="D629" s="471"/>
      <c r="E629" s="474">
        <v>3367998.3</v>
      </c>
    </row>
    <row r="630" spans="1:5">
      <c r="A630" s="469" t="s">
        <v>937</v>
      </c>
      <c r="B630" s="470"/>
      <c r="C630" s="472">
        <v>396514</v>
      </c>
      <c r="D630" s="471"/>
      <c r="E630" s="474">
        <v>396514</v>
      </c>
    </row>
    <row r="631" spans="1:5">
      <c r="A631" s="469" t="s">
        <v>936</v>
      </c>
      <c r="B631" s="477"/>
      <c r="C631" s="475">
        <v>2844164</v>
      </c>
      <c r="D631" s="477"/>
      <c r="E631" s="484">
        <v>2844164</v>
      </c>
    </row>
    <row r="632" spans="1:5">
      <c r="A632" s="469" t="s">
        <v>935</v>
      </c>
      <c r="B632" s="470"/>
      <c r="C632" s="472">
        <v>332893.05</v>
      </c>
      <c r="D632" s="471"/>
      <c r="E632" s="474">
        <v>332893.05</v>
      </c>
    </row>
    <row r="633" spans="1:5">
      <c r="A633" s="469" t="s">
        <v>121</v>
      </c>
      <c r="B633" s="477"/>
      <c r="C633" s="475">
        <v>5610841</v>
      </c>
      <c r="D633" s="477"/>
      <c r="E633" s="484">
        <v>5610841</v>
      </c>
    </row>
    <row r="634" spans="1:5">
      <c r="A634" s="469" t="s">
        <v>934</v>
      </c>
      <c r="B634" s="470"/>
      <c r="C634" s="472">
        <v>333598</v>
      </c>
      <c r="D634" s="471"/>
      <c r="E634" s="474">
        <v>333598</v>
      </c>
    </row>
    <row r="635" spans="1:5">
      <c r="A635" s="478" t="s">
        <v>112</v>
      </c>
      <c r="B635" s="470"/>
      <c r="C635" s="472">
        <v>17716457</v>
      </c>
      <c r="D635" s="471"/>
      <c r="E635" s="474">
        <v>17716457</v>
      </c>
    </row>
    <row r="636" spans="1:5">
      <c r="A636" s="478" t="s">
        <v>122</v>
      </c>
      <c r="B636" s="470"/>
      <c r="C636" s="472">
        <v>5508674</v>
      </c>
      <c r="D636" s="471"/>
      <c r="E636" s="474">
        <v>5508674</v>
      </c>
    </row>
    <row r="637" spans="1:5">
      <c r="A637" s="469" t="s">
        <v>933</v>
      </c>
      <c r="B637" s="470"/>
      <c r="C637" s="472">
        <v>185969</v>
      </c>
      <c r="D637" s="471"/>
      <c r="E637" s="474">
        <v>185969</v>
      </c>
    </row>
    <row r="638" spans="1:5">
      <c r="A638" s="469" t="s">
        <v>123</v>
      </c>
      <c r="B638" s="470"/>
      <c r="C638" s="472">
        <v>13509650.6</v>
      </c>
      <c r="D638" s="472">
        <v>8384</v>
      </c>
      <c r="E638" s="474">
        <v>13501266.6</v>
      </c>
    </row>
    <row r="639" spans="1:5">
      <c r="A639" s="478" t="s">
        <v>932</v>
      </c>
      <c r="B639" s="470"/>
      <c r="C639" s="472">
        <v>639762</v>
      </c>
      <c r="D639" s="471"/>
      <c r="E639" s="474">
        <v>639762</v>
      </c>
    </row>
    <row r="640" spans="1:5">
      <c r="A640" s="469" t="s">
        <v>124</v>
      </c>
      <c r="B640" s="470"/>
      <c r="C640" s="472">
        <v>5236897.8</v>
      </c>
      <c r="D640" s="471"/>
      <c r="E640" s="474">
        <v>5236897.8</v>
      </c>
    </row>
    <row r="641" spans="1:6">
      <c r="A641" s="469" t="s">
        <v>931</v>
      </c>
      <c r="B641" s="470"/>
      <c r="C641" s="472">
        <v>649583</v>
      </c>
      <c r="D641" s="471"/>
      <c r="E641" s="474">
        <v>649583</v>
      </c>
    </row>
    <row r="642" spans="1:6">
      <c r="A642" s="482" t="s">
        <v>125</v>
      </c>
      <c r="B642" s="493">
        <v>12452141</v>
      </c>
      <c r="C642" s="475">
        <v>11083695.380000001</v>
      </c>
      <c r="D642" s="475">
        <v>8108911</v>
      </c>
      <c r="E642" s="493">
        <v>9477356.6199999992</v>
      </c>
      <c r="F642" t="s">
        <v>2205</v>
      </c>
    </row>
    <row r="643" spans="1:6">
      <c r="A643" s="469" t="s">
        <v>126</v>
      </c>
      <c r="B643" s="473">
        <v>30000</v>
      </c>
      <c r="C643" s="471"/>
      <c r="D643" s="471"/>
      <c r="E643" s="514">
        <v>30000</v>
      </c>
      <c r="F643" t="s">
        <v>1553</v>
      </c>
    </row>
    <row r="644" spans="1:6">
      <c r="A644" s="469" t="s">
        <v>127</v>
      </c>
      <c r="B644" s="473">
        <v>230500</v>
      </c>
      <c r="C644" s="471"/>
      <c r="D644" s="471"/>
      <c r="E644" s="514">
        <v>230500</v>
      </c>
      <c r="F644" t="s">
        <v>1553</v>
      </c>
    </row>
    <row r="645" spans="1:6">
      <c r="A645" s="469" t="s">
        <v>128</v>
      </c>
      <c r="B645" s="473">
        <v>12071641</v>
      </c>
      <c r="C645" s="472">
        <v>11083695.380000001</v>
      </c>
      <c r="D645" s="472">
        <v>8108911</v>
      </c>
      <c r="E645" s="514">
        <v>9096856.6199999992</v>
      </c>
      <c r="F645" t="s">
        <v>1553</v>
      </c>
    </row>
    <row r="646" spans="1:6">
      <c r="A646" s="469" t="s">
        <v>129</v>
      </c>
      <c r="B646" s="473">
        <v>120000</v>
      </c>
      <c r="C646" s="471"/>
      <c r="D646" s="471"/>
      <c r="E646" s="514">
        <v>120000</v>
      </c>
      <c r="F646" t="s">
        <v>1553</v>
      </c>
    </row>
    <row r="647" spans="1:6">
      <c r="A647" s="482" t="s">
        <v>130</v>
      </c>
      <c r="B647" s="493">
        <v>273457.21999999997</v>
      </c>
      <c r="C647" s="477"/>
      <c r="D647" s="477"/>
      <c r="E647" s="493">
        <v>273457.21999999997</v>
      </c>
      <c r="F647" t="s">
        <v>2205</v>
      </c>
    </row>
    <row r="648" spans="1:6">
      <c r="A648" s="469" t="s">
        <v>130</v>
      </c>
      <c r="B648" s="473">
        <v>273457.21999999997</v>
      </c>
      <c r="C648" s="471"/>
      <c r="D648" s="471"/>
      <c r="E648" s="473">
        <v>273457.21999999997</v>
      </c>
    </row>
    <row r="649" spans="1:6">
      <c r="A649" s="482" t="s">
        <v>131</v>
      </c>
      <c r="B649" s="493">
        <v>41435</v>
      </c>
      <c r="C649" s="475">
        <v>6999940</v>
      </c>
      <c r="D649" s="475">
        <v>7444441</v>
      </c>
      <c r="E649" s="493">
        <v>485936</v>
      </c>
      <c r="F649" t="s">
        <v>2205</v>
      </c>
    </row>
    <row r="650" spans="1:6">
      <c r="A650" s="469" t="s">
        <v>1225</v>
      </c>
      <c r="B650" s="473">
        <v>86254</v>
      </c>
      <c r="C650" s="472">
        <v>6499940</v>
      </c>
      <c r="D650" s="472">
        <v>6500441</v>
      </c>
      <c r="E650" s="473">
        <v>86755</v>
      </c>
      <c r="F650" t="s">
        <v>2209</v>
      </c>
    </row>
    <row r="651" spans="1:6">
      <c r="A651" s="469" t="s">
        <v>1536</v>
      </c>
      <c r="B651" s="474">
        <v>4127</v>
      </c>
      <c r="C651" s="472">
        <v>500000</v>
      </c>
      <c r="D651" s="472">
        <v>592500</v>
      </c>
      <c r="E651" s="473">
        <v>88373</v>
      </c>
      <c r="F651" t="s">
        <v>2209</v>
      </c>
    </row>
    <row r="652" spans="1:6">
      <c r="A652" s="469" t="s">
        <v>1224</v>
      </c>
      <c r="B652" s="474">
        <v>40692</v>
      </c>
      <c r="C652" s="471"/>
      <c r="D652" s="472">
        <v>351500</v>
      </c>
      <c r="E652" s="473">
        <v>310808</v>
      </c>
      <c r="F652" t="s">
        <v>2209</v>
      </c>
    </row>
    <row r="653" spans="1:6">
      <c r="A653" s="482" t="s">
        <v>132</v>
      </c>
      <c r="B653" s="494">
        <v>58913773</v>
      </c>
      <c r="C653" s="475">
        <v>126429800</v>
      </c>
      <c r="D653" s="475">
        <v>107489387</v>
      </c>
      <c r="E653" s="494">
        <v>77854186</v>
      </c>
      <c r="F653" t="s">
        <v>2205</v>
      </c>
    </row>
    <row r="654" spans="1:6">
      <c r="A654" s="469" t="s">
        <v>133</v>
      </c>
      <c r="B654" s="474">
        <v>58913773</v>
      </c>
      <c r="C654" s="472">
        <v>126429800</v>
      </c>
      <c r="D654" s="472">
        <v>107489387</v>
      </c>
      <c r="E654" s="474">
        <v>77854186</v>
      </c>
      <c r="F654" s="515" t="s">
        <v>1568</v>
      </c>
    </row>
    <row r="655" spans="1:6">
      <c r="A655" s="482" t="s">
        <v>1754</v>
      </c>
      <c r="B655" s="493">
        <v>8414902.8399999999</v>
      </c>
      <c r="C655" s="475">
        <v>46560859</v>
      </c>
      <c r="D655" s="475">
        <v>54931159.039999999</v>
      </c>
      <c r="E655" s="493">
        <v>16785202.879999999</v>
      </c>
      <c r="F655" t="s">
        <v>2205</v>
      </c>
    </row>
    <row r="656" spans="1:6">
      <c r="A656" s="469" t="s">
        <v>1755</v>
      </c>
      <c r="B656" s="473">
        <v>3836155.75</v>
      </c>
      <c r="C656" s="472">
        <v>5437126</v>
      </c>
      <c r="D656" s="472">
        <v>5183817.3099999996</v>
      </c>
      <c r="E656" s="473">
        <v>3582847.06</v>
      </c>
    </row>
    <row r="657" spans="1:5">
      <c r="A657" s="469" t="s">
        <v>1756</v>
      </c>
      <c r="B657" s="485">
        <v>2465832.75</v>
      </c>
      <c r="C657" s="475">
        <v>6102785</v>
      </c>
      <c r="D657" s="475">
        <v>5183817.3099999996</v>
      </c>
      <c r="E657" s="485">
        <v>1546865.06</v>
      </c>
    </row>
    <row r="658" spans="1:5">
      <c r="A658" s="469" t="s">
        <v>1757</v>
      </c>
      <c r="B658" s="484">
        <v>0.36</v>
      </c>
      <c r="C658" s="475">
        <v>818879</v>
      </c>
      <c r="D658" s="475">
        <v>1212561.18</v>
      </c>
      <c r="E658" s="485">
        <v>393681.82</v>
      </c>
    </row>
    <row r="659" spans="1:5">
      <c r="A659" s="469" t="s">
        <v>1758</v>
      </c>
      <c r="B659" s="474">
        <v>0.36</v>
      </c>
      <c r="C659" s="472">
        <v>857348</v>
      </c>
      <c r="D659" s="472">
        <v>1212561.18</v>
      </c>
      <c r="E659" s="473">
        <v>355212.82</v>
      </c>
    </row>
    <row r="660" spans="1:5">
      <c r="A660" s="478" t="s">
        <v>1754</v>
      </c>
      <c r="B660" s="484">
        <v>13131236</v>
      </c>
      <c r="C660" s="477"/>
      <c r="D660" s="477"/>
      <c r="E660" s="484">
        <v>13131236</v>
      </c>
    </row>
    <row r="661" spans="1:5">
      <c r="A661" s="469" t="s">
        <v>1759</v>
      </c>
      <c r="B661" s="473">
        <v>2009910.64</v>
      </c>
      <c r="C661" s="472">
        <v>8528189</v>
      </c>
      <c r="D661" s="472">
        <v>9756829.6899999995</v>
      </c>
      <c r="E661" s="473">
        <v>3238551.33</v>
      </c>
    </row>
    <row r="662" spans="1:5">
      <c r="A662" s="469" t="s">
        <v>1760</v>
      </c>
      <c r="B662" s="473">
        <v>2794896.64</v>
      </c>
      <c r="C662" s="472">
        <v>9007266</v>
      </c>
      <c r="D662" s="472">
        <v>9397281.0099999998</v>
      </c>
      <c r="E662" s="473">
        <v>3184911.65</v>
      </c>
    </row>
    <row r="663" spans="1:5">
      <c r="A663" s="469" t="s">
        <v>1761</v>
      </c>
      <c r="B663" s="485">
        <v>105892.77</v>
      </c>
      <c r="C663" s="475">
        <v>11726</v>
      </c>
      <c r="D663" s="477"/>
      <c r="E663" s="485">
        <v>94166.77</v>
      </c>
    </row>
    <row r="664" spans="1:5">
      <c r="A664" s="469" t="s">
        <v>1762</v>
      </c>
      <c r="B664" s="473">
        <v>82604.77</v>
      </c>
      <c r="C664" s="472">
        <v>11726</v>
      </c>
      <c r="D664" s="471"/>
      <c r="E664" s="473">
        <v>70878.77</v>
      </c>
    </row>
    <row r="665" spans="1:5">
      <c r="A665" s="469" t="s">
        <v>1763</v>
      </c>
      <c r="B665" s="485">
        <v>108043.25</v>
      </c>
      <c r="C665" s="475">
        <v>88210</v>
      </c>
      <c r="D665" s="475">
        <v>88200</v>
      </c>
      <c r="E665" s="485">
        <v>108033.25</v>
      </c>
    </row>
    <row r="666" spans="1:5">
      <c r="A666" s="469" t="s">
        <v>1764</v>
      </c>
      <c r="B666" s="473">
        <v>3626.25</v>
      </c>
      <c r="C666" s="472">
        <v>88210</v>
      </c>
      <c r="D666" s="472">
        <v>88200</v>
      </c>
      <c r="E666" s="473">
        <v>3616.25</v>
      </c>
    </row>
    <row r="667" spans="1:5">
      <c r="A667" s="469" t="s">
        <v>1765</v>
      </c>
      <c r="B667" s="473">
        <v>108479.47</v>
      </c>
      <c r="C667" s="472">
        <v>128910</v>
      </c>
      <c r="D667" s="472">
        <v>299700</v>
      </c>
      <c r="E667" s="473">
        <v>279269.46999999997</v>
      </c>
    </row>
    <row r="668" spans="1:5">
      <c r="A668" s="469" t="s">
        <v>1766</v>
      </c>
      <c r="B668" s="473">
        <v>92002.47</v>
      </c>
      <c r="C668" s="472">
        <v>226236</v>
      </c>
      <c r="D668" s="472">
        <v>299700</v>
      </c>
      <c r="E668" s="473">
        <v>165466.47</v>
      </c>
    </row>
    <row r="669" spans="1:5">
      <c r="A669" s="469" t="s">
        <v>1767</v>
      </c>
      <c r="B669" s="477"/>
      <c r="C669" s="475">
        <v>258205</v>
      </c>
      <c r="D669" s="475">
        <v>529988.76</v>
      </c>
      <c r="E669" s="485">
        <v>271783.76</v>
      </c>
    </row>
    <row r="670" spans="1:5">
      <c r="A670" s="469" t="s">
        <v>1768</v>
      </c>
      <c r="B670" s="470"/>
      <c r="C670" s="472">
        <v>317491</v>
      </c>
      <c r="D670" s="472">
        <v>529988.76</v>
      </c>
      <c r="E670" s="473">
        <v>212497.76</v>
      </c>
    </row>
    <row r="671" spans="1:5">
      <c r="A671" s="469" t="s">
        <v>1769</v>
      </c>
      <c r="B671" s="485">
        <v>115509.31</v>
      </c>
      <c r="C671" s="475">
        <v>663089</v>
      </c>
      <c r="D671" s="475">
        <v>898181.71</v>
      </c>
      <c r="E671" s="485">
        <v>350602.02</v>
      </c>
    </row>
    <row r="672" spans="1:5">
      <c r="A672" s="469" t="s">
        <v>1770</v>
      </c>
      <c r="B672" s="473">
        <v>100272.31</v>
      </c>
      <c r="C672" s="472">
        <v>692634</v>
      </c>
      <c r="D672" s="472">
        <v>898181.71</v>
      </c>
      <c r="E672" s="473">
        <v>305820.02</v>
      </c>
    </row>
    <row r="673" spans="1:6">
      <c r="A673" s="469" t="s">
        <v>1771</v>
      </c>
      <c r="B673" s="473">
        <v>1121839.8500000001</v>
      </c>
      <c r="C673" s="472">
        <v>180858</v>
      </c>
      <c r="D673" s="472">
        <v>766399.01</v>
      </c>
      <c r="E673" s="473">
        <v>1707380.86</v>
      </c>
    </row>
    <row r="674" spans="1:6">
      <c r="A674" s="469" t="s">
        <v>1772</v>
      </c>
      <c r="B674" s="473">
        <v>799478.85</v>
      </c>
      <c r="C674" s="472">
        <v>180858</v>
      </c>
      <c r="D674" s="472">
        <v>766399.01</v>
      </c>
      <c r="E674" s="473">
        <v>1385019.86</v>
      </c>
    </row>
    <row r="675" spans="1:6">
      <c r="A675" s="469" t="s">
        <v>1773</v>
      </c>
      <c r="B675" s="473">
        <v>3969679.46</v>
      </c>
      <c r="C675" s="472">
        <v>5420417</v>
      </c>
      <c r="D675" s="472">
        <v>6608809.46</v>
      </c>
      <c r="E675" s="473">
        <v>5158071.92</v>
      </c>
    </row>
    <row r="676" spans="1:6">
      <c r="A676" s="469" t="s">
        <v>1774</v>
      </c>
      <c r="B676" s="485">
        <v>4085044.46</v>
      </c>
      <c r="C676" s="475">
        <v>5643681</v>
      </c>
      <c r="D676" s="475">
        <v>7584514.2199999997</v>
      </c>
      <c r="E676" s="485">
        <v>6025877.6799999997</v>
      </c>
    </row>
    <row r="677" spans="1:6">
      <c r="A677" s="469" t="s">
        <v>1775</v>
      </c>
      <c r="B677" s="474">
        <v>90668.72</v>
      </c>
      <c r="C677" s="472">
        <v>947959</v>
      </c>
      <c r="D677" s="472">
        <v>1813014.36</v>
      </c>
      <c r="E677" s="473">
        <v>774386.64</v>
      </c>
    </row>
    <row r="678" spans="1:6">
      <c r="A678" s="469" t="s">
        <v>1776</v>
      </c>
      <c r="B678" s="474">
        <v>162460.72</v>
      </c>
      <c r="C678" s="472">
        <v>949056</v>
      </c>
      <c r="D678" s="472">
        <v>1813014.36</v>
      </c>
      <c r="E678" s="473">
        <v>701497.64</v>
      </c>
    </row>
    <row r="679" spans="1:6">
      <c r="A679" s="482" t="s">
        <v>134</v>
      </c>
      <c r="B679" s="494">
        <v>117150</v>
      </c>
      <c r="C679" s="477"/>
      <c r="D679" s="477"/>
      <c r="E679" s="494">
        <v>117150</v>
      </c>
      <c r="F679" t="s">
        <v>2205</v>
      </c>
    </row>
    <row r="680" spans="1:6">
      <c r="A680" s="469" t="s">
        <v>135</v>
      </c>
      <c r="B680" s="474">
        <v>116150</v>
      </c>
      <c r="C680" s="471"/>
      <c r="D680" s="471"/>
      <c r="E680" s="474">
        <v>116150</v>
      </c>
    </row>
    <row r="681" spans="1:6">
      <c r="A681" s="469" t="s">
        <v>136</v>
      </c>
      <c r="B681" s="484">
        <v>1000</v>
      </c>
      <c r="C681" s="477"/>
      <c r="D681" s="477"/>
      <c r="E681" s="484">
        <v>1000</v>
      </c>
    </row>
    <row r="682" spans="1:6">
      <c r="A682" s="482" t="s">
        <v>137</v>
      </c>
      <c r="B682" s="492">
        <v>61390310.049999997</v>
      </c>
      <c r="C682" s="499">
        <v>35028086.789999999</v>
      </c>
      <c r="D682" s="499">
        <v>27479910.239999998</v>
      </c>
      <c r="E682" s="492">
        <v>68938486.599999994</v>
      </c>
      <c r="F682" t="s">
        <v>2205</v>
      </c>
    </row>
    <row r="683" spans="1:6">
      <c r="A683" s="498" t="s">
        <v>29</v>
      </c>
      <c r="B683" s="494">
        <v>44177292.170000002</v>
      </c>
      <c r="C683" s="475">
        <v>18665100.789999999</v>
      </c>
      <c r="D683" s="475">
        <v>12107461.24</v>
      </c>
      <c r="E683" s="525">
        <v>50734931.719999999</v>
      </c>
    </row>
    <row r="684" spans="1:6">
      <c r="A684" s="469" t="s">
        <v>138</v>
      </c>
      <c r="B684" s="474">
        <v>8347405.5300000003</v>
      </c>
      <c r="C684" s="472">
        <v>6923099</v>
      </c>
      <c r="D684" s="472">
        <v>6409412</v>
      </c>
      <c r="E684" s="516">
        <v>8861092.5299999993</v>
      </c>
    </row>
    <row r="685" spans="1:6">
      <c r="A685" s="469" t="s">
        <v>139</v>
      </c>
      <c r="B685" s="474">
        <v>5816000</v>
      </c>
      <c r="C685" s="472">
        <v>6136000</v>
      </c>
      <c r="D685" s="472">
        <v>5816000</v>
      </c>
      <c r="E685" s="516">
        <v>6136000</v>
      </c>
      <c r="F685" t="s">
        <v>2340</v>
      </c>
    </row>
    <row r="686" spans="1:6">
      <c r="A686" s="469" t="s">
        <v>140</v>
      </c>
      <c r="B686" s="484">
        <v>40000</v>
      </c>
      <c r="C686" s="477"/>
      <c r="D686" s="477"/>
      <c r="E686" s="517">
        <v>40000</v>
      </c>
    </row>
    <row r="687" spans="1:6">
      <c r="A687" s="469" t="s">
        <v>923</v>
      </c>
      <c r="B687" s="474">
        <v>48000</v>
      </c>
      <c r="C687" s="471"/>
      <c r="D687" s="471"/>
      <c r="E687" s="516">
        <v>48000</v>
      </c>
    </row>
    <row r="688" spans="1:6">
      <c r="A688" s="469" t="s">
        <v>142</v>
      </c>
      <c r="B688" s="484">
        <v>9530</v>
      </c>
      <c r="C688" s="477"/>
      <c r="D688" s="477"/>
      <c r="E688" s="517">
        <v>9530</v>
      </c>
    </row>
    <row r="689" spans="1:6">
      <c r="A689" s="469" t="s">
        <v>143</v>
      </c>
      <c r="B689" s="474">
        <v>586400</v>
      </c>
      <c r="C689" s="472">
        <v>322326</v>
      </c>
      <c r="D689" s="472">
        <v>164800</v>
      </c>
      <c r="E689" s="516">
        <v>743926</v>
      </c>
    </row>
    <row r="690" spans="1:6">
      <c r="A690" s="469" t="s">
        <v>144</v>
      </c>
      <c r="B690" s="474">
        <v>5500</v>
      </c>
      <c r="C690" s="471"/>
      <c r="D690" s="471"/>
      <c r="E690" s="516">
        <v>5500</v>
      </c>
    </row>
    <row r="691" spans="1:6">
      <c r="A691" s="469" t="s">
        <v>145</v>
      </c>
      <c r="B691" s="474">
        <v>286113</v>
      </c>
      <c r="C691" s="471"/>
      <c r="D691" s="471"/>
      <c r="E691" s="516">
        <v>286113</v>
      </c>
    </row>
    <row r="692" spans="1:6">
      <c r="A692" s="469" t="s">
        <v>146</v>
      </c>
      <c r="B692" s="474">
        <v>13150</v>
      </c>
      <c r="C692" s="471"/>
      <c r="D692" s="471"/>
      <c r="E692" s="516">
        <v>13150</v>
      </c>
    </row>
    <row r="693" spans="1:6">
      <c r="A693" s="469" t="s">
        <v>147</v>
      </c>
      <c r="B693" s="474">
        <v>441587</v>
      </c>
      <c r="C693" s="472">
        <v>370500</v>
      </c>
      <c r="D693" s="472">
        <v>201500</v>
      </c>
      <c r="E693" s="516">
        <v>610587</v>
      </c>
    </row>
    <row r="694" spans="1:6">
      <c r="A694" s="469" t="s">
        <v>148</v>
      </c>
      <c r="B694" s="474">
        <v>328640.34999999998</v>
      </c>
      <c r="C694" s="471"/>
      <c r="D694" s="471"/>
      <c r="E694" s="516">
        <v>328640.34999999998</v>
      </c>
    </row>
    <row r="695" spans="1:6">
      <c r="A695" s="469" t="s">
        <v>149</v>
      </c>
      <c r="B695" s="484">
        <v>251995</v>
      </c>
      <c r="C695" s="475">
        <v>1436061</v>
      </c>
      <c r="D695" s="475">
        <v>1511322</v>
      </c>
      <c r="E695" s="517">
        <v>176734</v>
      </c>
      <c r="F695" s="515" t="s">
        <v>1571</v>
      </c>
    </row>
    <row r="696" spans="1:6">
      <c r="A696" s="469" t="s">
        <v>150</v>
      </c>
      <c r="B696" s="474">
        <v>28582</v>
      </c>
      <c r="C696" s="471"/>
      <c r="D696" s="471"/>
      <c r="E696" s="516">
        <v>28582</v>
      </c>
    </row>
    <row r="697" spans="1:6">
      <c r="A697" s="469" t="s">
        <v>141</v>
      </c>
      <c r="B697" s="474">
        <v>1035115</v>
      </c>
      <c r="C697" s="472">
        <v>1175000</v>
      </c>
      <c r="D697" s="472">
        <v>1269415</v>
      </c>
      <c r="E697" s="516">
        <v>940700</v>
      </c>
    </row>
    <row r="698" spans="1:6">
      <c r="A698" s="469"/>
      <c r="B698" s="474"/>
      <c r="C698" s="472"/>
      <c r="D698" s="472"/>
      <c r="E698" s="516"/>
    </row>
    <row r="699" spans="1:6">
      <c r="A699" s="482" t="s">
        <v>151</v>
      </c>
      <c r="B699" s="493">
        <v>242232701.06</v>
      </c>
      <c r="C699" s="475">
        <v>17233283</v>
      </c>
      <c r="D699" s="477"/>
      <c r="E699" s="493">
        <v>224999418.06</v>
      </c>
      <c r="F699" t="s">
        <v>2205</v>
      </c>
    </row>
    <row r="700" spans="1:6">
      <c r="A700" s="469" t="s">
        <v>152</v>
      </c>
      <c r="B700" s="474">
        <v>87556385</v>
      </c>
      <c r="C700" s="472">
        <v>-14294920</v>
      </c>
      <c r="D700" s="471"/>
      <c r="E700" s="474">
        <v>101851305</v>
      </c>
    </row>
    <row r="701" spans="1:6">
      <c r="A701" s="469" t="s">
        <v>153</v>
      </c>
      <c r="B701" s="474">
        <v>15444566</v>
      </c>
      <c r="C701" s="472">
        <v>-2938363</v>
      </c>
      <c r="D701" s="471"/>
      <c r="E701" s="474">
        <v>18382929</v>
      </c>
    </row>
    <row r="702" spans="1:6">
      <c r="A702" s="469" t="s">
        <v>154</v>
      </c>
      <c r="B702" s="473">
        <v>44374031.420000002</v>
      </c>
      <c r="C702" s="471"/>
      <c r="D702" s="471"/>
      <c r="E702" s="473">
        <v>44374031.420000002</v>
      </c>
    </row>
    <row r="703" spans="1:6">
      <c r="A703" s="469" t="s">
        <v>155</v>
      </c>
      <c r="B703" s="473">
        <v>300859620.63999999</v>
      </c>
      <c r="C703" s="471"/>
      <c r="D703" s="471"/>
      <c r="E703" s="473">
        <v>300859620.63999999</v>
      </c>
    </row>
    <row r="704" spans="1:6">
      <c r="A704" s="482" t="s">
        <v>159</v>
      </c>
      <c r="B704" s="494">
        <v>22225000</v>
      </c>
      <c r="C704" s="477"/>
      <c r="D704" s="477"/>
      <c r="E704" s="494">
        <v>22225000</v>
      </c>
      <c r="F704" t="s">
        <v>2205</v>
      </c>
    </row>
    <row r="705" spans="1:7">
      <c r="A705" s="469" t="s">
        <v>1223</v>
      </c>
      <c r="B705" s="474">
        <v>22225000</v>
      </c>
      <c r="C705" s="471"/>
      <c r="D705" s="471"/>
      <c r="E705" s="505">
        <v>22225000</v>
      </c>
    </row>
    <row r="706" spans="1:7">
      <c r="A706" s="482" t="s">
        <v>160</v>
      </c>
      <c r="B706" s="495"/>
      <c r="C706" s="475">
        <v>144233572.00999999</v>
      </c>
      <c r="D706" s="475">
        <v>50408</v>
      </c>
      <c r="E706" s="494">
        <v>144183164.00999999</v>
      </c>
    </row>
    <row r="707" spans="1:7">
      <c r="A707" s="469" t="s">
        <v>161</v>
      </c>
      <c r="B707" s="470"/>
      <c r="C707" s="472">
        <v>102586357</v>
      </c>
      <c r="D707" s="472">
        <v>44618</v>
      </c>
      <c r="E707" s="505">
        <v>102541739</v>
      </c>
    </row>
    <row r="708" spans="1:7">
      <c r="A708" s="469" t="s">
        <v>178</v>
      </c>
      <c r="B708" s="470"/>
      <c r="C708" s="472">
        <v>41647215.009999998</v>
      </c>
      <c r="D708" s="472">
        <v>5790</v>
      </c>
      <c r="E708" s="505">
        <v>41641425.009999998</v>
      </c>
    </row>
    <row r="709" spans="1:7">
      <c r="A709" s="482" t="s">
        <v>189</v>
      </c>
      <c r="B709" s="495"/>
      <c r="C709" s="477"/>
      <c r="D709" s="475">
        <v>10727466</v>
      </c>
      <c r="E709" s="493">
        <v>10727466</v>
      </c>
      <c r="F709" t="s">
        <v>2205</v>
      </c>
    </row>
    <row r="710" spans="1:7">
      <c r="A710" s="469" t="s">
        <v>190</v>
      </c>
      <c r="B710" s="470"/>
      <c r="C710" s="471"/>
      <c r="D710" s="472">
        <v>10727466</v>
      </c>
      <c r="E710" s="507">
        <v>10727466</v>
      </c>
    </row>
    <row r="711" spans="1:7">
      <c r="A711" s="482" t="s">
        <v>192</v>
      </c>
      <c r="B711" s="495"/>
      <c r="C711" s="475">
        <v>56615715.649999999</v>
      </c>
      <c r="D711" s="475">
        <v>765592.85</v>
      </c>
      <c r="E711" s="494">
        <v>55850122.799999997</v>
      </c>
      <c r="F711" t="s">
        <v>2208</v>
      </c>
      <c r="G711" s="466"/>
    </row>
    <row r="712" spans="1:7">
      <c r="A712" s="469" t="s">
        <v>193</v>
      </c>
      <c r="B712" s="470"/>
      <c r="C712" s="472">
        <v>154436</v>
      </c>
      <c r="D712" s="472">
        <v>176077.85</v>
      </c>
      <c r="E712" s="507">
        <v>-21641.85</v>
      </c>
    </row>
    <row r="713" spans="1:7">
      <c r="A713" s="469" t="s">
        <v>194</v>
      </c>
      <c r="B713" s="470"/>
      <c r="C713" s="472">
        <v>22154</v>
      </c>
      <c r="D713" s="471"/>
      <c r="E713" s="505">
        <v>22154</v>
      </c>
    </row>
    <row r="714" spans="1:7">
      <c r="A714" s="469" t="s">
        <v>195</v>
      </c>
      <c r="B714" s="470"/>
      <c r="C714" s="472">
        <v>47753</v>
      </c>
      <c r="D714" s="471"/>
      <c r="E714" s="505">
        <v>47753</v>
      </c>
    </row>
    <row r="715" spans="1:7">
      <c r="A715" s="469" t="s">
        <v>1540</v>
      </c>
      <c r="B715" s="477"/>
      <c r="C715" s="475">
        <v>836275.24</v>
      </c>
      <c r="D715" s="477"/>
      <c r="E715" s="355">
        <v>836275.24</v>
      </c>
    </row>
    <row r="716" spans="1:7">
      <c r="A716" s="478" t="s">
        <v>1541</v>
      </c>
      <c r="B716" s="470"/>
      <c r="C716" s="472">
        <v>12800</v>
      </c>
      <c r="D716" s="472">
        <v>3650</v>
      </c>
      <c r="E716" s="505">
        <v>9150</v>
      </c>
    </row>
    <row r="717" spans="1:7">
      <c r="A717" s="469" t="s">
        <v>196</v>
      </c>
      <c r="B717" s="470"/>
      <c r="C717" s="472">
        <v>6925</v>
      </c>
      <c r="D717" s="471"/>
      <c r="E717" s="505">
        <v>6925</v>
      </c>
    </row>
    <row r="718" spans="1:7">
      <c r="A718" s="469" t="s">
        <v>1222</v>
      </c>
      <c r="B718" s="470"/>
      <c r="C718" s="503">
        <v>28302</v>
      </c>
      <c r="D718" s="470"/>
      <c r="E718" s="505">
        <v>28302</v>
      </c>
    </row>
    <row r="719" spans="1:7">
      <c r="A719" s="486" t="s">
        <v>1751</v>
      </c>
      <c r="B719" s="502"/>
      <c r="C719" s="481">
        <v>9243</v>
      </c>
      <c r="D719" s="487"/>
      <c r="E719" s="508">
        <v>9243</v>
      </c>
    </row>
    <row r="720" spans="1:7">
      <c r="A720" s="469" t="s">
        <v>893</v>
      </c>
      <c r="B720" s="477"/>
      <c r="C720" s="475">
        <v>57125</v>
      </c>
      <c r="D720" s="477"/>
      <c r="E720" s="355">
        <v>57125</v>
      </c>
    </row>
    <row r="721" spans="1:5">
      <c r="A721" s="469" t="s">
        <v>197</v>
      </c>
      <c r="B721" s="470"/>
      <c r="C721" s="472">
        <v>3780000</v>
      </c>
      <c r="D721" s="471"/>
      <c r="E721" s="505">
        <v>3780000</v>
      </c>
    </row>
    <row r="722" spans="1:5">
      <c r="A722" s="469" t="s">
        <v>198</v>
      </c>
      <c r="B722" s="470"/>
      <c r="C722" s="503">
        <v>6985</v>
      </c>
      <c r="D722" s="470"/>
      <c r="E722" s="505">
        <v>6985</v>
      </c>
    </row>
    <row r="723" spans="1:5">
      <c r="A723" s="486" t="s">
        <v>199</v>
      </c>
      <c r="B723" s="502"/>
      <c r="C723" s="481">
        <v>204000</v>
      </c>
      <c r="D723" s="487"/>
      <c r="E723" s="356">
        <v>204000</v>
      </c>
    </row>
    <row r="724" spans="1:5">
      <c r="A724" s="469" t="s">
        <v>200</v>
      </c>
      <c r="B724" s="470"/>
      <c r="C724" s="472">
        <v>130000</v>
      </c>
      <c r="D724" s="471"/>
      <c r="E724" s="505">
        <v>130000</v>
      </c>
    </row>
    <row r="725" spans="1:5">
      <c r="A725" s="469" t="s">
        <v>201</v>
      </c>
      <c r="B725" s="470"/>
      <c r="C725" s="472">
        <v>16234</v>
      </c>
      <c r="D725" s="471"/>
      <c r="E725" s="506">
        <v>16234</v>
      </c>
    </row>
    <row r="726" spans="1:5">
      <c r="A726" s="469" t="s">
        <v>202</v>
      </c>
      <c r="B726" s="470"/>
      <c r="C726" s="472">
        <v>206633</v>
      </c>
      <c r="D726" s="472">
        <v>10000</v>
      </c>
      <c r="E726" s="505">
        <v>196633</v>
      </c>
    </row>
    <row r="727" spans="1:5">
      <c r="A727" s="469" t="s">
        <v>203</v>
      </c>
      <c r="B727" s="470"/>
      <c r="C727" s="472">
        <v>83494</v>
      </c>
      <c r="D727" s="471"/>
      <c r="E727" s="505">
        <v>83494</v>
      </c>
    </row>
    <row r="728" spans="1:5">
      <c r="A728" s="469" t="s">
        <v>1542</v>
      </c>
      <c r="B728" s="470"/>
      <c r="C728" s="472">
        <v>107300</v>
      </c>
      <c r="D728" s="471"/>
      <c r="E728" s="505">
        <v>107300</v>
      </c>
    </row>
    <row r="729" spans="1:5">
      <c r="A729" s="469" t="s">
        <v>204</v>
      </c>
      <c r="B729" s="470"/>
      <c r="C729" s="472">
        <v>34679427</v>
      </c>
      <c r="D729" s="472">
        <v>541319</v>
      </c>
      <c r="E729" s="504">
        <v>34138108</v>
      </c>
    </row>
    <row r="730" spans="1:5">
      <c r="A730" s="469" t="s">
        <v>1753</v>
      </c>
      <c r="B730" s="470"/>
      <c r="C730" s="472">
        <v>9243</v>
      </c>
      <c r="D730" s="471"/>
      <c r="E730" s="509">
        <v>9243</v>
      </c>
    </row>
    <row r="731" spans="1:5">
      <c r="A731" s="469" t="s">
        <v>206</v>
      </c>
      <c r="B731" s="470"/>
      <c r="C731" s="472">
        <v>273028</v>
      </c>
      <c r="D731" s="471"/>
      <c r="E731" s="506">
        <v>273028</v>
      </c>
    </row>
    <row r="732" spans="1:5">
      <c r="A732" s="469" t="s">
        <v>207</v>
      </c>
      <c r="B732" s="470"/>
      <c r="C732" s="472">
        <v>2383378</v>
      </c>
      <c r="D732" s="472">
        <v>14397</v>
      </c>
      <c r="E732" s="510">
        <v>2368981</v>
      </c>
    </row>
    <row r="733" spans="1:5">
      <c r="A733" s="469" t="s">
        <v>208</v>
      </c>
      <c r="B733" s="470"/>
      <c r="C733" s="472">
        <v>296064</v>
      </c>
      <c r="D733" s="471"/>
      <c r="E733" s="505">
        <v>296064</v>
      </c>
    </row>
    <row r="734" spans="1:5">
      <c r="A734" s="469" t="s">
        <v>210</v>
      </c>
      <c r="B734" s="470"/>
      <c r="C734" s="472">
        <v>133032.41</v>
      </c>
      <c r="D734" s="472">
        <v>20</v>
      </c>
      <c r="E734" s="505">
        <v>133012.41</v>
      </c>
    </row>
    <row r="735" spans="1:5">
      <c r="A735" s="469" t="s">
        <v>211</v>
      </c>
      <c r="B735" s="470"/>
      <c r="C735" s="472">
        <v>144500</v>
      </c>
      <c r="D735" s="471"/>
      <c r="E735" s="505">
        <v>144500</v>
      </c>
    </row>
    <row r="736" spans="1:5">
      <c r="A736" s="469" t="s">
        <v>212</v>
      </c>
      <c r="B736" s="470"/>
      <c r="C736" s="472">
        <v>185913</v>
      </c>
      <c r="D736" s="471"/>
      <c r="E736" s="505">
        <v>185913</v>
      </c>
    </row>
    <row r="737" spans="1:5">
      <c r="A737" s="469" t="s">
        <v>57</v>
      </c>
      <c r="B737" s="470"/>
      <c r="C737" s="472">
        <v>2441345</v>
      </c>
      <c r="D737" s="472">
        <v>7150</v>
      </c>
      <c r="E737" s="505">
        <v>2434195</v>
      </c>
    </row>
    <row r="738" spans="1:5">
      <c r="A738" s="469" t="s">
        <v>930</v>
      </c>
      <c r="B738" s="470"/>
      <c r="C738" s="472">
        <v>1038118</v>
      </c>
      <c r="D738" s="471"/>
      <c r="E738" s="510">
        <v>1038118</v>
      </c>
    </row>
    <row r="739" spans="1:5">
      <c r="A739" s="469" t="s">
        <v>929</v>
      </c>
      <c r="B739" s="470"/>
      <c r="C739" s="472">
        <v>113174</v>
      </c>
      <c r="D739" s="471"/>
      <c r="E739" s="505">
        <v>113174</v>
      </c>
    </row>
    <row r="740" spans="1:5">
      <c r="A740" s="469" t="s">
        <v>213</v>
      </c>
      <c r="B740" s="470"/>
      <c r="C740" s="472">
        <v>421260</v>
      </c>
      <c r="D740" s="471"/>
      <c r="E740" s="505">
        <v>421260</v>
      </c>
    </row>
    <row r="741" spans="1:5">
      <c r="A741" s="469" t="s">
        <v>928</v>
      </c>
      <c r="B741" s="470"/>
      <c r="C741" s="472">
        <v>572303</v>
      </c>
      <c r="D741" s="471"/>
      <c r="E741" s="505">
        <v>572303</v>
      </c>
    </row>
    <row r="742" spans="1:5">
      <c r="A742" s="469" t="s">
        <v>77</v>
      </c>
      <c r="B742" s="470"/>
      <c r="C742" s="472">
        <v>489849</v>
      </c>
      <c r="D742" s="471"/>
      <c r="E742" s="505">
        <v>489849</v>
      </c>
    </row>
    <row r="743" spans="1:5">
      <c r="A743" s="469" t="s">
        <v>71</v>
      </c>
      <c r="B743" s="470"/>
      <c r="C743" s="472">
        <v>1112554</v>
      </c>
      <c r="D743" s="472">
        <v>1440</v>
      </c>
      <c r="E743" s="505">
        <v>1111114</v>
      </c>
    </row>
    <row r="744" spans="1:5">
      <c r="A744" s="478" t="s">
        <v>927</v>
      </c>
      <c r="B744" s="470"/>
      <c r="C744" s="472">
        <v>1073994</v>
      </c>
      <c r="D744" s="472">
        <v>6750</v>
      </c>
      <c r="E744" s="505">
        <v>1067244</v>
      </c>
    </row>
    <row r="745" spans="1:5">
      <c r="A745" s="469" t="s">
        <v>926</v>
      </c>
      <c r="B745" s="470"/>
      <c r="C745" s="472">
        <v>5538874</v>
      </c>
      <c r="D745" s="472">
        <v>4789</v>
      </c>
      <c r="E745" s="505">
        <v>5534085</v>
      </c>
    </row>
    <row r="746" spans="1:5">
      <c r="A746" s="488" t="s">
        <v>74</v>
      </c>
      <c r="B746" s="476">
        <v>5.71</v>
      </c>
      <c r="C746" s="470"/>
      <c r="D746" s="470"/>
      <c r="E746" s="476">
        <v>5.71</v>
      </c>
    </row>
    <row r="747" spans="1:5">
      <c r="A747" s="479" t="s">
        <v>75</v>
      </c>
      <c r="B747" s="480"/>
      <c r="C747" s="481">
        <v>2065518947.21</v>
      </c>
      <c r="D747" s="481">
        <v>2065518947.21</v>
      </c>
      <c r="E747" s="480"/>
    </row>
  </sheetData>
  <mergeCells count="10">
    <mergeCell ref="B9:E9"/>
    <mergeCell ref="C10:D10"/>
    <mergeCell ref="A1:C1"/>
    <mergeCell ref="A2:C2"/>
    <mergeCell ref="A3:C3"/>
    <mergeCell ref="A4:E4"/>
    <mergeCell ref="A5:E5"/>
    <mergeCell ref="A6:D6"/>
    <mergeCell ref="A7:C7"/>
    <mergeCell ref="B8:E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3:D21"/>
  <sheetViews>
    <sheetView workbookViewId="0">
      <selection activeCell="B23" sqref="B23"/>
    </sheetView>
  </sheetViews>
  <sheetFormatPr defaultRowHeight="14.4"/>
  <cols>
    <col min="2" max="2" width="12.44140625" bestFit="1" customWidth="1"/>
    <col min="3" max="3" width="19.44140625" bestFit="1" customWidth="1"/>
  </cols>
  <sheetData>
    <row r="3" spans="2:4">
      <c r="B3" t="s">
        <v>30</v>
      </c>
      <c r="C3">
        <v>541360</v>
      </c>
    </row>
    <row r="4" spans="2:4">
      <c r="B4" t="s">
        <v>1861</v>
      </c>
      <c r="C4" t="s">
        <v>1862</v>
      </c>
      <c r="D4">
        <v>36183</v>
      </c>
    </row>
    <row r="5" spans="2:4">
      <c r="C5" t="s">
        <v>1863</v>
      </c>
      <c r="D5">
        <v>505177</v>
      </c>
    </row>
    <row r="6" spans="2:4">
      <c r="B6" s="229"/>
    </row>
    <row r="7" spans="2:4">
      <c r="B7" t="s">
        <v>1864</v>
      </c>
    </row>
    <row r="8" spans="2:4">
      <c r="B8" t="s">
        <v>1865</v>
      </c>
      <c r="C8">
        <v>412000</v>
      </c>
    </row>
    <row r="9" spans="2:4">
      <c r="B9" t="s">
        <v>1861</v>
      </c>
      <c r="C9" t="s">
        <v>1866</v>
      </c>
      <c r="D9">
        <v>412000</v>
      </c>
    </row>
    <row r="11" spans="2:4">
      <c r="B11" t="s">
        <v>1867</v>
      </c>
    </row>
    <row r="12" spans="2:4">
      <c r="B12" t="s">
        <v>1869</v>
      </c>
      <c r="C12">
        <v>539622</v>
      </c>
    </row>
    <row r="13" spans="2:4">
      <c r="B13" t="s">
        <v>1868</v>
      </c>
      <c r="C13" t="s">
        <v>1870</v>
      </c>
      <c r="D13">
        <v>539622</v>
      </c>
    </row>
    <row r="15" spans="2:4">
      <c r="B15" t="s">
        <v>1871</v>
      </c>
    </row>
    <row r="16" spans="2:4">
      <c r="B16" t="s">
        <v>1872</v>
      </c>
      <c r="C16">
        <v>322995</v>
      </c>
    </row>
    <row r="17" spans="2:4">
      <c r="B17" t="s">
        <v>1873</v>
      </c>
      <c r="C17" t="s">
        <v>1871</v>
      </c>
      <c r="D17">
        <v>322995</v>
      </c>
    </row>
    <row r="19" spans="2:4">
      <c r="B19" t="s">
        <v>1876</v>
      </c>
    </row>
    <row r="20" spans="2:4">
      <c r="B20" t="s">
        <v>1874</v>
      </c>
      <c r="C20">
        <v>6666315.1400000006</v>
      </c>
    </row>
    <row r="21" spans="2:4">
      <c r="B21" t="s">
        <v>1868</v>
      </c>
      <c r="C21" t="s">
        <v>1875</v>
      </c>
      <c r="D21">
        <v>6666315.1400000006</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590"/>
  <sheetViews>
    <sheetView topLeftCell="A477" workbookViewId="0">
      <selection activeCell="B498" sqref="B498"/>
    </sheetView>
  </sheetViews>
  <sheetFormatPr defaultColWidth="9.44140625" defaultRowHeight="14.4"/>
  <cols>
    <col min="1" max="1" width="51.44140625" bestFit="1" customWidth="1"/>
    <col min="2" max="3" width="13" bestFit="1" customWidth="1"/>
    <col min="4" max="4" width="36.5546875" bestFit="1" customWidth="1"/>
    <col min="5" max="7" width="12.5546875" bestFit="1" customWidth="1"/>
    <col min="8" max="9" width="12" bestFit="1" customWidth="1"/>
    <col min="10" max="10" width="10.5546875" bestFit="1" customWidth="1"/>
  </cols>
  <sheetData>
    <row r="1" spans="1:10" ht="15.6">
      <c r="A1" s="2699" t="s">
        <v>1661</v>
      </c>
      <c r="B1" s="2699"/>
      <c r="C1" s="2699"/>
    </row>
    <row r="2" spans="1:10">
      <c r="A2" s="3344" t="s">
        <v>1662</v>
      </c>
      <c r="B2" s="3344"/>
      <c r="C2" s="3344"/>
    </row>
    <row r="3" spans="1:10">
      <c r="A3" s="2701" t="s">
        <v>1663</v>
      </c>
      <c r="B3" s="2701"/>
      <c r="C3" s="2701"/>
    </row>
    <row r="4" spans="1:10">
      <c r="A4" s="3347" t="s">
        <v>1664</v>
      </c>
      <c r="B4" s="3347"/>
      <c r="C4" s="3347"/>
    </row>
    <row r="5" spans="1:10" ht="25.5" customHeight="1">
      <c r="A5" s="3348" t="s">
        <v>1665</v>
      </c>
      <c r="B5" s="3349"/>
      <c r="C5" s="3349"/>
    </row>
    <row r="6" spans="1:10" ht="15.6">
      <c r="A6" s="3350" t="s">
        <v>81</v>
      </c>
      <c r="B6" s="3351"/>
      <c r="C6" s="3351"/>
    </row>
    <row r="7" spans="1:10">
      <c r="A7" s="3348" t="s">
        <v>1666</v>
      </c>
      <c r="B7" s="3349"/>
      <c r="C7" s="3352"/>
    </row>
    <row r="8" spans="1:10">
      <c r="A8" s="10" t="s">
        <v>82</v>
      </c>
      <c r="B8" s="3355" t="s">
        <v>1667</v>
      </c>
      <c r="C8" s="3356"/>
      <c r="G8" s="100"/>
    </row>
    <row r="9" spans="1:10">
      <c r="A9" s="246" t="s">
        <v>1</v>
      </c>
      <c r="B9" s="3345" t="s">
        <v>1666</v>
      </c>
      <c r="C9" s="3346"/>
      <c r="F9" s="98"/>
    </row>
    <row r="10" spans="1:10">
      <c r="A10" s="246" t="s">
        <v>82</v>
      </c>
      <c r="B10" s="3271" t="s">
        <v>20</v>
      </c>
      <c r="C10" s="3272"/>
    </row>
    <row r="11" spans="1:10">
      <c r="A11" s="247" t="s">
        <v>82</v>
      </c>
      <c r="B11" s="101" t="s">
        <v>66</v>
      </c>
      <c r="C11" s="101" t="s">
        <v>67</v>
      </c>
    </row>
    <row r="12" spans="1:10">
      <c r="A12" s="232" t="s">
        <v>84</v>
      </c>
      <c r="B12" s="102"/>
      <c r="C12" s="103">
        <v>7147460</v>
      </c>
    </row>
    <row r="13" spans="1:10">
      <c r="A13" s="13" t="s">
        <v>85</v>
      </c>
      <c r="B13" s="113"/>
      <c r="C13" s="107">
        <v>7147460</v>
      </c>
      <c r="F13" s="206"/>
      <c r="I13" s="100"/>
      <c r="J13" s="100"/>
    </row>
    <row r="14" spans="1:10">
      <c r="A14" s="232" t="s">
        <v>86</v>
      </c>
      <c r="B14" s="103">
        <v>3843630</v>
      </c>
      <c r="C14" s="103">
        <v>10441228.199999999</v>
      </c>
      <c r="I14" s="100"/>
    </row>
    <row r="15" spans="1:10">
      <c r="A15" s="13" t="s">
        <v>87</v>
      </c>
      <c r="B15" s="96"/>
      <c r="C15" s="128"/>
      <c r="D15" s="3336" t="s">
        <v>530</v>
      </c>
      <c r="E15" s="3337"/>
      <c r="F15" s="3337"/>
      <c r="G15" s="3337"/>
      <c r="H15" s="3337"/>
      <c r="I15" s="3337"/>
      <c r="J15" s="100"/>
    </row>
    <row r="16" spans="1:10">
      <c r="A16" s="13" t="s">
        <v>89</v>
      </c>
      <c r="B16" s="93">
        <v>3843630</v>
      </c>
      <c r="C16" s="233">
        <v>10035816.060000001</v>
      </c>
      <c r="D16" s="3336" t="s">
        <v>1347</v>
      </c>
      <c r="E16" s="3337"/>
      <c r="F16" s="3337"/>
      <c r="G16" s="3337"/>
      <c r="H16" s="3337"/>
      <c r="I16" s="3337"/>
    </row>
    <row r="17" spans="1:10">
      <c r="A17" s="15" t="s">
        <v>1295</v>
      </c>
      <c r="B17" s="107">
        <v>889138</v>
      </c>
      <c r="C17" s="234">
        <v>4213236.93</v>
      </c>
      <c r="D17" s="3336" t="s">
        <v>98</v>
      </c>
      <c r="E17" s="3337"/>
      <c r="F17" s="3337"/>
      <c r="G17" s="3337"/>
      <c r="H17" s="3337"/>
      <c r="I17" s="3337"/>
    </row>
    <row r="18" spans="1:10">
      <c r="A18" s="190" t="s">
        <v>1668</v>
      </c>
      <c r="B18" s="96"/>
      <c r="C18" s="104">
        <v>16</v>
      </c>
      <c r="D18" s="3336" t="s">
        <v>1347</v>
      </c>
      <c r="E18" s="3337"/>
      <c r="F18" s="3337"/>
      <c r="G18" s="3337"/>
      <c r="H18" s="3337"/>
      <c r="I18" s="3337"/>
      <c r="J18" s="206">
        <f>+SUM(C45:C80)</f>
        <v>2032207.85</v>
      </c>
    </row>
    <row r="19" spans="1:10">
      <c r="A19" s="190" t="s">
        <v>557</v>
      </c>
      <c r="B19" s="96"/>
      <c r="C19" s="104">
        <v>468288.93</v>
      </c>
      <c r="D19" s="3336" t="s">
        <v>1347</v>
      </c>
      <c r="E19" s="3337"/>
      <c r="F19" s="3337"/>
      <c r="G19" s="3337"/>
      <c r="H19" s="3337"/>
      <c r="I19" s="3337"/>
      <c r="J19" s="98">
        <f>+SUM(C83:C135)</f>
        <v>3027378.63</v>
      </c>
    </row>
    <row r="20" spans="1:10">
      <c r="A20" s="15" t="s">
        <v>1669</v>
      </c>
      <c r="B20" s="96"/>
      <c r="C20" s="127">
        <v>900</v>
      </c>
      <c r="D20" s="3336" t="s">
        <v>530</v>
      </c>
      <c r="E20" s="3337"/>
      <c r="F20" s="3337"/>
      <c r="G20" s="3337"/>
      <c r="H20" s="3337"/>
      <c r="I20" s="3337"/>
      <c r="J20" s="98">
        <f>+SUM(C137:C155)</f>
        <v>462906</v>
      </c>
    </row>
    <row r="21" spans="1:10" ht="15" customHeight="1">
      <c r="A21" s="190" t="s">
        <v>1378</v>
      </c>
      <c r="B21" s="96"/>
      <c r="C21" s="127">
        <v>24150</v>
      </c>
      <c r="D21" s="3336" t="s">
        <v>98</v>
      </c>
      <c r="E21" s="3337"/>
      <c r="F21" s="3337"/>
      <c r="G21" s="3337"/>
      <c r="H21" s="3337"/>
      <c r="I21" s="3337"/>
      <c r="J21" s="98">
        <f>+SUM(C157:C177)</f>
        <v>3667410.83</v>
      </c>
    </row>
    <row r="22" spans="1:10">
      <c r="A22" s="191" t="s">
        <v>1379</v>
      </c>
      <c r="B22" s="96"/>
      <c r="C22" s="104">
        <v>46383</v>
      </c>
      <c r="D22" s="3336" t="s">
        <v>1347</v>
      </c>
      <c r="E22" s="3337"/>
      <c r="F22" s="3337"/>
      <c r="G22" s="3337"/>
      <c r="H22" s="3337"/>
      <c r="I22" s="3337"/>
      <c r="J22" s="215">
        <f>SUM(J18:J21)</f>
        <v>9189903.3100000005</v>
      </c>
    </row>
    <row r="23" spans="1:10">
      <c r="A23" s="15" t="s">
        <v>559</v>
      </c>
      <c r="B23" s="96"/>
      <c r="C23" s="104">
        <v>12864</v>
      </c>
      <c r="D23" s="3336" t="s">
        <v>1347</v>
      </c>
      <c r="E23" s="3337"/>
      <c r="F23" s="3337"/>
      <c r="G23" s="3337"/>
      <c r="H23" s="3337"/>
      <c r="I23" s="3337"/>
      <c r="J23">
        <v>8248733</v>
      </c>
    </row>
    <row r="24" spans="1:10">
      <c r="A24" s="190" t="s">
        <v>1670</v>
      </c>
      <c r="B24" s="104">
        <v>47780</v>
      </c>
      <c r="C24" s="96"/>
      <c r="D24" s="3336" t="s">
        <v>1347</v>
      </c>
      <c r="E24" s="3337"/>
      <c r="F24" s="3337"/>
      <c r="G24" s="3337"/>
      <c r="H24" s="3337"/>
      <c r="I24" s="3337"/>
      <c r="J24" s="206">
        <f>+J22-J23</f>
        <v>941170.31000000052</v>
      </c>
    </row>
    <row r="25" spans="1:10">
      <c r="A25" s="15" t="s">
        <v>560</v>
      </c>
      <c r="B25" s="96"/>
      <c r="C25" s="104">
        <v>182380</v>
      </c>
      <c r="D25" s="3336" t="s">
        <v>1347</v>
      </c>
      <c r="E25" s="3337"/>
      <c r="F25" s="3337"/>
      <c r="G25" s="3337"/>
      <c r="H25" s="3337"/>
      <c r="I25" s="3337"/>
    </row>
    <row r="26" spans="1:10">
      <c r="A26" s="15" t="s">
        <v>1671</v>
      </c>
      <c r="B26" s="96"/>
      <c r="C26" s="104">
        <v>35000</v>
      </c>
      <c r="D26" s="3336" t="s">
        <v>1347</v>
      </c>
      <c r="E26" s="3337"/>
      <c r="F26" s="3337"/>
      <c r="G26" s="3337"/>
      <c r="H26" s="3337"/>
      <c r="I26" s="3337"/>
    </row>
    <row r="27" spans="1:10">
      <c r="A27" s="13" t="s">
        <v>561</v>
      </c>
      <c r="B27" s="96"/>
      <c r="C27" s="104">
        <v>252786</v>
      </c>
      <c r="D27" s="3336" t="s">
        <v>1347</v>
      </c>
      <c r="E27" s="3337"/>
      <c r="F27" s="3337"/>
      <c r="G27" s="3337"/>
      <c r="H27" s="3337"/>
      <c r="I27" s="3337"/>
    </row>
    <row r="28" spans="1:10">
      <c r="A28" s="190" t="s">
        <v>1293</v>
      </c>
      <c r="B28" s="96"/>
      <c r="C28" s="104">
        <v>17000</v>
      </c>
      <c r="D28" s="3336" t="s">
        <v>1347</v>
      </c>
      <c r="E28" s="3337"/>
      <c r="F28" s="3337"/>
      <c r="G28" s="3337"/>
      <c r="H28" s="3337"/>
      <c r="I28" s="3337"/>
    </row>
    <row r="29" spans="1:10">
      <c r="A29" s="17" t="s">
        <v>563</v>
      </c>
      <c r="B29" s="96"/>
      <c r="C29" s="104">
        <v>111200</v>
      </c>
      <c r="D29" s="3336" t="s">
        <v>1347</v>
      </c>
      <c r="E29" s="3337"/>
      <c r="F29" s="3337"/>
      <c r="G29" s="3337"/>
      <c r="H29" s="3337"/>
      <c r="I29" s="3337"/>
    </row>
    <row r="30" spans="1:10">
      <c r="A30" s="190" t="s">
        <v>1292</v>
      </c>
      <c r="B30" s="104">
        <v>450000</v>
      </c>
      <c r="C30" s="96"/>
      <c r="D30" s="3336" t="s">
        <v>1347</v>
      </c>
      <c r="E30" s="3337"/>
      <c r="F30" s="3337"/>
      <c r="G30" s="3337"/>
      <c r="H30" s="3337"/>
      <c r="I30" s="3337"/>
    </row>
    <row r="31" spans="1:10">
      <c r="A31" s="191" t="s">
        <v>564</v>
      </c>
      <c r="B31" s="96"/>
      <c r="C31" s="104">
        <v>404615</v>
      </c>
      <c r="D31" s="3336" t="s">
        <v>1347</v>
      </c>
      <c r="E31" s="3337"/>
      <c r="F31" s="3337"/>
      <c r="G31" s="3337"/>
      <c r="H31" s="3337"/>
      <c r="I31" s="3337"/>
    </row>
    <row r="32" spans="1:10">
      <c r="A32" s="15" t="s">
        <v>565</v>
      </c>
      <c r="B32" s="96"/>
      <c r="C32" s="104">
        <v>340410</v>
      </c>
      <c r="D32" s="3336" t="s">
        <v>1347</v>
      </c>
      <c r="E32" s="3337"/>
      <c r="F32" s="3337"/>
      <c r="G32" s="3337"/>
      <c r="H32" s="3337"/>
      <c r="I32" s="3337"/>
    </row>
    <row r="33" spans="1:10">
      <c r="A33" s="15" t="s">
        <v>566</v>
      </c>
      <c r="B33" s="96"/>
      <c r="C33" s="127">
        <v>19833</v>
      </c>
      <c r="D33" s="3336" t="s">
        <v>98</v>
      </c>
      <c r="E33" s="3337"/>
      <c r="F33" s="3337"/>
      <c r="G33" s="3337"/>
      <c r="H33" s="3337"/>
      <c r="I33" s="3337"/>
    </row>
    <row r="34" spans="1:10">
      <c r="A34" s="190" t="s">
        <v>972</v>
      </c>
      <c r="B34" s="96"/>
      <c r="C34" s="104">
        <v>20000</v>
      </c>
      <c r="D34" s="3336" t="s">
        <v>1347</v>
      </c>
      <c r="E34" s="3337"/>
      <c r="F34" s="3337"/>
      <c r="G34" s="3337"/>
      <c r="H34" s="3337"/>
      <c r="I34" s="3337"/>
    </row>
    <row r="35" spans="1:10">
      <c r="A35" s="190" t="s">
        <v>1672</v>
      </c>
      <c r="B35" s="104">
        <v>300000</v>
      </c>
      <c r="C35" s="96"/>
      <c r="D35" s="3336" t="s">
        <v>1347</v>
      </c>
      <c r="E35" s="3337"/>
      <c r="F35" s="3337"/>
      <c r="G35" s="3337"/>
      <c r="H35" s="3337"/>
      <c r="I35" s="3337"/>
    </row>
    <row r="36" spans="1:10">
      <c r="A36" s="15" t="s">
        <v>567</v>
      </c>
      <c r="B36" s="96"/>
      <c r="C36" s="104">
        <v>48834</v>
      </c>
      <c r="D36" s="3336" t="s">
        <v>1347</v>
      </c>
      <c r="E36" s="3337"/>
      <c r="F36" s="3337"/>
      <c r="G36" s="3337"/>
      <c r="H36" s="3337"/>
      <c r="I36" s="3337"/>
    </row>
    <row r="37" spans="1:10">
      <c r="A37" s="190" t="s">
        <v>568</v>
      </c>
      <c r="B37" s="104">
        <v>38738</v>
      </c>
      <c r="C37" s="128"/>
      <c r="D37" s="3336" t="s">
        <v>1359</v>
      </c>
      <c r="E37" s="3337"/>
      <c r="F37" s="3337"/>
      <c r="G37" s="3337"/>
      <c r="H37" s="3337"/>
      <c r="I37" s="3337"/>
    </row>
    <row r="38" spans="1:10">
      <c r="A38" s="190" t="s">
        <v>569</v>
      </c>
      <c r="B38" s="96"/>
      <c r="C38" s="104">
        <v>1835922</v>
      </c>
      <c r="D38" s="3336" t="s">
        <v>1347</v>
      </c>
      <c r="E38" s="3337"/>
      <c r="F38" s="3337"/>
      <c r="G38" s="3337"/>
      <c r="H38" s="3337"/>
      <c r="I38" s="3337"/>
    </row>
    <row r="39" spans="1:10">
      <c r="A39" s="15" t="s">
        <v>1673</v>
      </c>
      <c r="B39" s="96"/>
      <c r="C39" s="104">
        <v>19815</v>
      </c>
      <c r="D39" s="3336" t="s">
        <v>1347</v>
      </c>
      <c r="E39" s="3337"/>
      <c r="F39" s="3337"/>
      <c r="G39" s="3337"/>
      <c r="H39" s="3337"/>
      <c r="I39" s="3337"/>
    </row>
    <row r="40" spans="1:10">
      <c r="A40" s="190" t="s">
        <v>570</v>
      </c>
      <c r="B40" s="96"/>
      <c r="C40" s="104">
        <v>5700</v>
      </c>
      <c r="D40" s="3336" t="s">
        <v>1347</v>
      </c>
      <c r="E40" s="3337"/>
      <c r="F40" s="3337"/>
      <c r="G40" s="3337"/>
      <c r="H40" s="3337"/>
      <c r="I40" s="3337"/>
    </row>
    <row r="41" spans="1:10">
      <c r="A41" s="190" t="s">
        <v>1382</v>
      </c>
      <c r="B41" s="104">
        <v>13000</v>
      </c>
      <c r="C41" s="96"/>
      <c r="D41" s="3336" t="s">
        <v>1347</v>
      </c>
      <c r="E41" s="3337"/>
      <c r="F41" s="3337"/>
      <c r="G41" s="3337"/>
      <c r="H41" s="3337"/>
      <c r="I41" s="3337"/>
    </row>
    <row r="42" spans="1:10">
      <c r="A42" s="190" t="s">
        <v>1383</v>
      </c>
      <c r="B42" s="104">
        <v>39620</v>
      </c>
      <c r="C42" s="96"/>
      <c r="D42" s="3336" t="s">
        <v>949</v>
      </c>
      <c r="E42" s="3337"/>
      <c r="F42" s="3337"/>
      <c r="G42" s="3337"/>
      <c r="H42" s="3337"/>
      <c r="I42" s="3337"/>
    </row>
    <row r="43" spans="1:10">
      <c r="A43" s="15" t="s">
        <v>68</v>
      </c>
      <c r="B43" s="96"/>
      <c r="C43" s="104">
        <v>367140</v>
      </c>
      <c r="D43" t="s">
        <v>1348</v>
      </c>
    </row>
    <row r="44" spans="1:10">
      <c r="A44" s="203" t="s">
        <v>1291</v>
      </c>
      <c r="B44" s="93">
        <v>1074889</v>
      </c>
      <c r="C44" s="93">
        <v>2435510.9500000002</v>
      </c>
      <c r="F44" s="207">
        <f>B45+B55+B61+B81</f>
        <v>601</v>
      </c>
      <c r="G44" s="100">
        <f>B44-F44</f>
        <v>1074288</v>
      </c>
      <c r="I44" s="98">
        <f>SUM(C46:C81)</f>
        <v>2036960.85</v>
      </c>
      <c r="J44" s="208">
        <f>C44-I44</f>
        <v>398550.10000000009</v>
      </c>
    </row>
    <row r="45" spans="1:10" ht="15">
      <c r="A45" s="190" t="s">
        <v>1290</v>
      </c>
      <c r="B45" s="104">
        <v>601</v>
      </c>
      <c r="C45" s="96"/>
      <c r="D45" s="6" t="s">
        <v>530</v>
      </c>
      <c r="E45" s="3"/>
      <c r="I45" s="100">
        <f>I44+37428</f>
        <v>2074388.85</v>
      </c>
      <c r="J45" s="208">
        <v>0</v>
      </c>
    </row>
    <row r="46" spans="1:10" ht="15">
      <c r="A46" s="190" t="s">
        <v>1289</v>
      </c>
      <c r="B46" s="96"/>
      <c r="C46" s="104">
        <v>43181</v>
      </c>
      <c r="D46" s="6" t="s">
        <v>530</v>
      </c>
      <c r="E46" s="3"/>
      <c r="I46" s="100"/>
    </row>
    <row r="47" spans="1:10" ht="15">
      <c r="A47" s="190" t="s">
        <v>1385</v>
      </c>
      <c r="B47" s="96"/>
      <c r="C47" s="104">
        <v>16283.5</v>
      </c>
      <c r="D47" s="6" t="s">
        <v>530</v>
      </c>
      <c r="E47" s="3"/>
    </row>
    <row r="48" spans="1:10" ht="15">
      <c r="A48" s="190" t="s">
        <v>1674</v>
      </c>
      <c r="B48" s="96"/>
      <c r="C48" s="104">
        <v>54253</v>
      </c>
      <c r="D48" s="6" t="s">
        <v>530</v>
      </c>
      <c r="E48" s="3"/>
    </row>
    <row r="49" spans="1:5" ht="15">
      <c r="A49" s="15" t="s">
        <v>1388</v>
      </c>
      <c r="B49" s="96"/>
      <c r="C49" s="104">
        <v>21898</v>
      </c>
      <c r="D49" s="6" t="s">
        <v>530</v>
      </c>
      <c r="E49" s="3"/>
    </row>
    <row r="50" spans="1:5" ht="15">
      <c r="A50" s="190" t="s">
        <v>1675</v>
      </c>
      <c r="B50" s="104">
        <v>1742</v>
      </c>
      <c r="C50" s="96"/>
      <c r="D50" s="6" t="s">
        <v>530</v>
      </c>
      <c r="E50" s="3"/>
    </row>
    <row r="51" spans="1:5" ht="15">
      <c r="A51" s="15" t="s">
        <v>1389</v>
      </c>
      <c r="B51" s="96"/>
      <c r="C51" s="104">
        <v>12126</v>
      </c>
      <c r="D51" s="6" t="s">
        <v>530</v>
      </c>
      <c r="E51" s="3"/>
    </row>
    <row r="52" spans="1:5" ht="15">
      <c r="A52" s="190" t="s">
        <v>1676</v>
      </c>
      <c r="B52" s="104">
        <v>6</v>
      </c>
      <c r="C52" s="96"/>
      <c r="D52" s="6" t="s">
        <v>530</v>
      </c>
      <c r="E52" s="3"/>
    </row>
    <row r="53" spans="1:5" ht="15">
      <c r="A53" s="190" t="s">
        <v>1677</v>
      </c>
      <c r="B53" s="96"/>
      <c r="C53" s="104">
        <v>7290</v>
      </c>
      <c r="D53" s="6" t="s">
        <v>530</v>
      </c>
      <c r="E53" s="3"/>
    </row>
    <row r="54" spans="1:5" ht="15">
      <c r="A54" s="190" t="s">
        <v>1390</v>
      </c>
      <c r="B54" s="96"/>
      <c r="C54" s="104">
        <v>23209</v>
      </c>
      <c r="D54" s="6" t="s">
        <v>530</v>
      </c>
      <c r="E54" s="3"/>
    </row>
    <row r="55" spans="1:5" ht="15">
      <c r="A55" s="15" t="s">
        <v>1678</v>
      </c>
      <c r="B55" s="96"/>
      <c r="C55" s="104">
        <v>150683</v>
      </c>
      <c r="D55" s="6" t="s">
        <v>530</v>
      </c>
      <c r="E55" s="3"/>
    </row>
    <row r="56" spans="1:5" ht="15">
      <c r="A56" s="190" t="s">
        <v>1392</v>
      </c>
      <c r="B56" s="96"/>
      <c r="C56" s="104">
        <v>31643</v>
      </c>
      <c r="D56" s="6" t="s">
        <v>530</v>
      </c>
      <c r="E56" s="3"/>
    </row>
    <row r="57" spans="1:5" ht="15">
      <c r="A57" s="190" t="s">
        <v>578</v>
      </c>
      <c r="B57" s="96"/>
      <c r="C57" s="104">
        <v>107676</v>
      </c>
      <c r="D57" s="6" t="s">
        <v>530</v>
      </c>
      <c r="E57" s="3"/>
    </row>
    <row r="58" spans="1:5" ht="15">
      <c r="A58" s="15" t="s">
        <v>1393</v>
      </c>
      <c r="B58" s="96"/>
      <c r="C58" s="104">
        <v>70388</v>
      </c>
      <c r="D58" s="6" t="s">
        <v>530</v>
      </c>
      <c r="E58" s="3"/>
    </row>
    <row r="59" spans="1:5" ht="15">
      <c r="A59" s="190" t="s">
        <v>1679</v>
      </c>
      <c r="B59" s="104">
        <v>188443</v>
      </c>
      <c r="C59" s="96"/>
      <c r="D59" s="6" t="s">
        <v>530</v>
      </c>
      <c r="E59" s="3"/>
    </row>
    <row r="60" spans="1:5" ht="15">
      <c r="A60" s="15" t="s">
        <v>579</v>
      </c>
      <c r="B60" s="96"/>
      <c r="C60" s="104">
        <v>75523</v>
      </c>
      <c r="D60" s="6" t="s">
        <v>530</v>
      </c>
      <c r="E60" s="3"/>
    </row>
    <row r="61" spans="1:5" ht="15">
      <c r="A61" s="190" t="s">
        <v>581</v>
      </c>
      <c r="B61" s="96"/>
      <c r="C61" s="104">
        <v>28452</v>
      </c>
      <c r="D61" s="6" t="s">
        <v>530</v>
      </c>
      <c r="E61" s="3"/>
    </row>
    <row r="62" spans="1:5" ht="15">
      <c r="A62" s="190" t="s">
        <v>1395</v>
      </c>
      <c r="B62" s="104">
        <v>64600</v>
      </c>
      <c r="C62" s="96"/>
      <c r="D62" s="6" t="s">
        <v>530</v>
      </c>
      <c r="E62" s="3"/>
    </row>
    <row r="63" spans="1:5" ht="15">
      <c r="A63" s="15" t="s">
        <v>1396</v>
      </c>
      <c r="B63" s="96"/>
      <c r="C63" s="104">
        <v>25218</v>
      </c>
      <c r="D63" s="6" t="s">
        <v>530</v>
      </c>
      <c r="E63" s="3"/>
    </row>
    <row r="64" spans="1:5" ht="15">
      <c r="A64" s="190" t="s">
        <v>1397</v>
      </c>
      <c r="B64" s="96"/>
      <c r="C64" s="104">
        <v>5205</v>
      </c>
      <c r="D64" s="6" t="s">
        <v>530</v>
      </c>
      <c r="E64" s="3"/>
    </row>
    <row r="65" spans="1:5" ht="15">
      <c r="A65" s="15" t="s">
        <v>1398</v>
      </c>
      <c r="B65" s="104">
        <v>2807</v>
      </c>
      <c r="C65" s="96"/>
      <c r="D65" s="6" t="s">
        <v>530</v>
      </c>
      <c r="E65" s="3"/>
    </row>
    <row r="66" spans="1:5" ht="15">
      <c r="A66" s="15" t="s">
        <v>259</v>
      </c>
      <c r="B66" s="96"/>
      <c r="C66" s="104">
        <v>842755.5</v>
      </c>
      <c r="D66" s="6" t="s">
        <v>530</v>
      </c>
      <c r="E66" s="3"/>
    </row>
    <row r="67" spans="1:5" ht="15">
      <c r="A67" s="190" t="s">
        <v>257</v>
      </c>
      <c r="B67" s="96"/>
      <c r="C67" s="104">
        <v>234051.5</v>
      </c>
      <c r="D67" s="6" t="s">
        <v>530</v>
      </c>
      <c r="E67" s="3"/>
    </row>
    <row r="68" spans="1:5" ht="15">
      <c r="A68" s="190" t="s">
        <v>1399</v>
      </c>
      <c r="B68" s="96"/>
      <c r="C68" s="104">
        <v>1794</v>
      </c>
      <c r="D68" s="6" t="s">
        <v>530</v>
      </c>
      <c r="E68" s="3"/>
    </row>
    <row r="69" spans="1:5" ht="15">
      <c r="A69" s="15" t="s">
        <v>1287</v>
      </c>
      <c r="B69" s="96"/>
      <c r="C69" s="104">
        <v>26111</v>
      </c>
      <c r="D69" s="6" t="s">
        <v>530</v>
      </c>
      <c r="E69" s="3"/>
    </row>
    <row r="70" spans="1:5" ht="15">
      <c r="A70" s="15" t="s">
        <v>1680</v>
      </c>
      <c r="B70" s="96"/>
      <c r="C70" s="104">
        <v>51</v>
      </c>
      <c r="D70" s="6" t="s">
        <v>530</v>
      </c>
      <c r="E70" s="3"/>
    </row>
    <row r="71" spans="1:5" ht="15">
      <c r="A71" s="15" t="s">
        <v>1681</v>
      </c>
      <c r="B71" s="96"/>
      <c r="C71" s="104">
        <v>106</v>
      </c>
      <c r="D71" s="6" t="s">
        <v>530</v>
      </c>
      <c r="E71" s="3"/>
    </row>
    <row r="72" spans="1:5" ht="15">
      <c r="A72" s="190" t="s">
        <v>1682</v>
      </c>
      <c r="B72" s="96"/>
      <c r="C72" s="104">
        <v>31120</v>
      </c>
      <c r="D72" s="6" t="s">
        <v>530</v>
      </c>
      <c r="E72" s="3"/>
    </row>
    <row r="73" spans="1:5" ht="15">
      <c r="A73" s="15" t="s">
        <v>1683</v>
      </c>
      <c r="B73" s="96"/>
      <c r="C73" s="104">
        <v>7110</v>
      </c>
      <c r="D73" s="6" t="s">
        <v>530</v>
      </c>
      <c r="E73" s="3"/>
    </row>
    <row r="74" spans="1:5" ht="15">
      <c r="A74" s="15" t="s">
        <v>586</v>
      </c>
      <c r="B74" s="104">
        <v>11210</v>
      </c>
      <c r="C74" s="96"/>
      <c r="D74" s="6" t="s">
        <v>530</v>
      </c>
      <c r="E74" s="3"/>
    </row>
    <row r="75" spans="1:5" ht="15">
      <c r="A75" s="190" t="s">
        <v>1684</v>
      </c>
      <c r="B75" s="96"/>
      <c r="C75" s="104">
        <v>5000</v>
      </c>
      <c r="D75" s="6" t="s">
        <v>530</v>
      </c>
      <c r="E75" s="3"/>
    </row>
    <row r="76" spans="1:5" ht="15">
      <c r="A76" s="15" t="s">
        <v>1685</v>
      </c>
      <c r="B76" s="96"/>
      <c r="C76" s="104">
        <v>805</v>
      </c>
      <c r="D76" s="6" t="s">
        <v>530</v>
      </c>
      <c r="E76" s="3"/>
    </row>
    <row r="77" spans="1:5" ht="15">
      <c r="A77" s="15" t="s">
        <v>1686</v>
      </c>
      <c r="B77" s="104">
        <v>93562</v>
      </c>
      <c r="C77" s="96"/>
      <c r="D77" s="6" t="s">
        <v>530</v>
      </c>
      <c r="E77" s="3"/>
    </row>
    <row r="78" spans="1:5" ht="15">
      <c r="A78" s="15" t="s">
        <v>1687</v>
      </c>
      <c r="B78" s="104">
        <v>69795</v>
      </c>
      <c r="C78" s="96"/>
      <c r="D78" s="6" t="s">
        <v>530</v>
      </c>
      <c r="E78" s="3"/>
    </row>
    <row r="79" spans="1:5" ht="15">
      <c r="A79" s="190" t="s">
        <v>1688</v>
      </c>
      <c r="B79" s="96"/>
      <c r="C79" s="104">
        <v>1210</v>
      </c>
      <c r="D79" s="6" t="s">
        <v>530</v>
      </c>
      <c r="E79" s="3"/>
    </row>
    <row r="80" spans="1:5" ht="15">
      <c r="A80" s="13" t="s">
        <v>587</v>
      </c>
      <c r="B80" s="96"/>
      <c r="C80" s="104">
        <v>209065.35</v>
      </c>
      <c r="D80" s="6" t="s">
        <v>530</v>
      </c>
      <c r="E80" s="3"/>
    </row>
    <row r="81" spans="1:5" ht="15">
      <c r="A81" s="15" t="s">
        <v>1403</v>
      </c>
      <c r="B81" s="96"/>
      <c r="C81" s="104">
        <v>4753</v>
      </c>
      <c r="D81" s="6" t="s">
        <v>530</v>
      </c>
      <c r="E81" s="3"/>
    </row>
    <row r="82" spans="1:5" ht="15">
      <c r="A82" s="190" t="s">
        <v>1404</v>
      </c>
      <c r="B82" s="108"/>
      <c r="C82" s="93">
        <v>45</v>
      </c>
      <c r="D82" s="6"/>
      <c r="E82" s="3"/>
    </row>
    <row r="83" spans="1:5" ht="15">
      <c r="A83" s="190" t="s">
        <v>258</v>
      </c>
      <c r="B83" s="96"/>
      <c r="C83" s="216">
        <v>196558</v>
      </c>
      <c r="D83" s="6" t="s">
        <v>530</v>
      </c>
      <c r="E83" s="3"/>
    </row>
    <row r="84" spans="1:5" ht="15">
      <c r="A84" s="15" t="s">
        <v>1689</v>
      </c>
      <c r="B84" s="96"/>
      <c r="C84" s="104">
        <v>5250</v>
      </c>
      <c r="D84" s="6" t="s">
        <v>530</v>
      </c>
      <c r="E84" s="3"/>
    </row>
    <row r="85" spans="1:5" ht="15">
      <c r="A85" s="190" t="s">
        <v>1405</v>
      </c>
      <c r="B85" s="104">
        <v>2750</v>
      </c>
      <c r="C85" s="228"/>
      <c r="D85" s="6" t="s">
        <v>530</v>
      </c>
      <c r="E85" s="3"/>
    </row>
    <row r="86" spans="1:5" ht="15">
      <c r="A86" s="15" t="s">
        <v>1690</v>
      </c>
      <c r="B86" s="104">
        <v>849</v>
      </c>
      <c r="C86" s="96"/>
      <c r="D86" s="6" t="s">
        <v>530</v>
      </c>
      <c r="E86" s="3"/>
    </row>
    <row r="87" spans="1:5" ht="15">
      <c r="A87" s="190" t="s">
        <v>1691</v>
      </c>
      <c r="B87" s="96"/>
      <c r="C87" s="104">
        <v>645</v>
      </c>
      <c r="D87" s="6" t="s">
        <v>530</v>
      </c>
      <c r="E87" s="3"/>
    </row>
    <row r="88" spans="1:5" ht="15">
      <c r="A88" s="190" t="s">
        <v>1692</v>
      </c>
      <c r="B88" s="96"/>
      <c r="C88" s="104">
        <v>10801</v>
      </c>
      <c r="D88" s="6" t="s">
        <v>530</v>
      </c>
      <c r="E88" s="3"/>
    </row>
    <row r="89" spans="1:5" ht="15">
      <c r="A89" s="190" t="s">
        <v>1693</v>
      </c>
      <c r="B89" s="96"/>
      <c r="C89" s="216">
        <v>1032.5</v>
      </c>
      <c r="D89" s="6" t="s">
        <v>530</v>
      </c>
      <c r="E89" s="3"/>
    </row>
    <row r="90" spans="1:5" ht="15">
      <c r="A90" s="190" t="s">
        <v>1408</v>
      </c>
      <c r="B90" s="104">
        <v>2977</v>
      </c>
      <c r="C90" s="96"/>
      <c r="D90" s="6" t="s">
        <v>530</v>
      </c>
      <c r="E90" s="3"/>
    </row>
    <row r="91" spans="1:5" ht="15">
      <c r="A91" s="190" t="s">
        <v>597</v>
      </c>
      <c r="B91" s="96"/>
      <c r="C91" s="104">
        <v>3140</v>
      </c>
      <c r="D91" s="6" t="s">
        <v>530</v>
      </c>
      <c r="E91" s="3"/>
    </row>
    <row r="92" spans="1:5" ht="15">
      <c r="A92" s="15" t="s">
        <v>599</v>
      </c>
      <c r="B92" s="96"/>
      <c r="C92" s="104">
        <v>4960</v>
      </c>
      <c r="D92" s="6" t="s">
        <v>530</v>
      </c>
      <c r="E92" s="3"/>
    </row>
    <row r="93" spans="1:5" ht="15">
      <c r="A93" s="15" t="s">
        <v>994</v>
      </c>
      <c r="B93" s="96"/>
      <c r="C93" s="216">
        <v>15159</v>
      </c>
      <c r="D93" s="6" t="s">
        <v>530</v>
      </c>
      <c r="E93" s="3"/>
    </row>
    <row r="94" spans="1:5" ht="15">
      <c r="A94" s="190" t="s">
        <v>1694</v>
      </c>
      <c r="B94" s="96"/>
      <c r="C94" s="216">
        <v>68204</v>
      </c>
      <c r="D94" s="6" t="s">
        <v>530</v>
      </c>
      <c r="E94" s="3"/>
    </row>
    <row r="95" spans="1:5" ht="15">
      <c r="A95" s="190" t="s">
        <v>1411</v>
      </c>
      <c r="B95" s="104">
        <v>22633</v>
      </c>
      <c r="C95" s="96"/>
      <c r="D95" s="6" t="s">
        <v>530</v>
      </c>
      <c r="E95" s="3"/>
    </row>
    <row r="96" spans="1:5" ht="15">
      <c r="A96" s="190" t="s">
        <v>1695</v>
      </c>
      <c r="B96" s="96"/>
      <c r="C96" s="104">
        <v>1</v>
      </c>
      <c r="D96" s="6" t="s">
        <v>530</v>
      </c>
      <c r="E96" s="3"/>
    </row>
    <row r="97" spans="1:5" ht="15">
      <c r="A97" s="190" t="s">
        <v>1696</v>
      </c>
      <c r="B97" s="96"/>
      <c r="C97" s="104">
        <v>0.6</v>
      </c>
      <c r="D97" s="6" t="s">
        <v>530</v>
      </c>
      <c r="E97" s="3"/>
    </row>
    <row r="98" spans="1:5" ht="15">
      <c r="A98" s="190" t="s">
        <v>1697</v>
      </c>
      <c r="B98" s="96"/>
      <c r="C98" s="104">
        <v>6</v>
      </c>
      <c r="D98" s="6" t="s">
        <v>530</v>
      </c>
      <c r="E98" s="3"/>
    </row>
    <row r="99" spans="1:5" ht="15">
      <c r="A99" s="190" t="s">
        <v>1413</v>
      </c>
      <c r="B99" s="96"/>
      <c r="C99" s="216">
        <v>1</v>
      </c>
      <c r="D99" s="6" t="s">
        <v>530</v>
      </c>
      <c r="E99" s="3"/>
    </row>
    <row r="100" spans="1:5" ht="15">
      <c r="A100" s="190" t="s">
        <v>605</v>
      </c>
      <c r="B100" s="104">
        <v>612518</v>
      </c>
      <c r="C100" s="96"/>
      <c r="D100" s="6" t="s">
        <v>530</v>
      </c>
      <c r="E100" s="3"/>
    </row>
    <row r="101" spans="1:5" ht="15">
      <c r="A101" s="191" t="s">
        <v>606</v>
      </c>
      <c r="B101" s="96"/>
      <c r="C101" s="216">
        <v>92098</v>
      </c>
      <c r="D101" s="6" t="s">
        <v>530</v>
      </c>
      <c r="E101" s="3"/>
    </row>
    <row r="102" spans="1:5" ht="15">
      <c r="A102" s="17" t="s">
        <v>1698</v>
      </c>
      <c r="B102" s="104">
        <v>396</v>
      </c>
      <c r="C102" s="96"/>
      <c r="D102" s="6" t="s">
        <v>530</v>
      </c>
      <c r="E102" s="3"/>
    </row>
    <row r="103" spans="1:5" ht="15">
      <c r="A103" s="190" t="s">
        <v>1699</v>
      </c>
      <c r="B103" s="96"/>
      <c r="C103" s="216">
        <v>649</v>
      </c>
      <c r="D103" s="6" t="s">
        <v>530</v>
      </c>
      <c r="E103" s="3"/>
    </row>
    <row r="104" spans="1:5" ht="15">
      <c r="A104" s="15" t="s">
        <v>1284</v>
      </c>
      <c r="B104" s="93">
        <v>1879247</v>
      </c>
      <c r="C104" s="235">
        <v>1704198.73</v>
      </c>
      <c r="D104" s="6" t="s">
        <v>530</v>
      </c>
      <c r="E104" s="3"/>
    </row>
    <row r="105" spans="1:5" ht="15">
      <c r="A105" s="15" t="s">
        <v>1421</v>
      </c>
      <c r="B105" s="104">
        <v>51354</v>
      </c>
      <c r="C105" s="96"/>
      <c r="D105" s="6" t="s">
        <v>530</v>
      </c>
      <c r="E105" s="3"/>
    </row>
    <row r="106" spans="1:5" ht="15">
      <c r="A106" s="190" t="s">
        <v>610</v>
      </c>
      <c r="B106" s="96"/>
      <c r="C106" s="216">
        <v>36848</v>
      </c>
      <c r="D106" s="6" t="s">
        <v>530</v>
      </c>
      <c r="E106" s="3"/>
    </row>
    <row r="107" spans="1:5" ht="15">
      <c r="A107" s="190" t="s">
        <v>1700</v>
      </c>
      <c r="B107" s="96"/>
      <c r="C107" s="216">
        <v>115785</v>
      </c>
      <c r="D107" s="6" t="s">
        <v>530</v>
      </c>
      <c r="E107" s="3"/>
    </row>
    <row r="108" spans="1:5" ht="15">
      <c r="A108" s="190" t="s">
        <v>615</v>
      </c>
      <c r="B108" s="96"/>
      <c r="C108" s="216">
        <v>142197.29999999999</v>
      </c>
      <c r="D108" s="6" t="s">
        <v>530</v>
      </c>
      <c r="E108" s="3"/>
    </row>
    <row r="109" spans="1:5" ht="15">
      <c r="A109" s="190" t="s">
        <v>617</v>
      </c>
      <c r="B109" s="104">
        <v>252828</v>
      </c>
      <c r="C109" s="96"/>
      <c r="D109" s="6" t="s">
        <v>530</v>
      </c>
      <c r="E109" s="3"/>
    </row>
    <row r="110" spans="1:5" ht="15">
      <c r="A110" s="190" t="s">
        <v>1423</v>
      </c>
      <c r="B110" s="96"/>
      <c r="C110" s="216">
        <v>78377</v>
      </c>
      <c r="D110" s="6" t="s">
        <v>530</v>
      </c>
      <c r="E110" s="3"/>
    </row>
    <row r="111" spans="1:5" ht="15">
      <c r="A111" s="190" t="s">
        <v>1424</v>
      </c>
      <c r="B111" s="104">
        <v>170</v>
      </c>
      <c r="C111" s="96"/>
      <c r="D111" s="6" t="s">
        <v>530</v>
      </c>
      <c r="E111" s="3"/>
    </row>
    <row r="112" spans="1:5" ht="15">
      <c r="A112" s="190" t="s">
        <v>1426</v>
      </c>
      <c r="B112" s="104">
        <v>1467</v>
      </c>
      <c r="C112" s="96"/>
      <c r="D112" s="6" t="s">
        <v>530</v>
      </c>
      <c r="E112" s="3"/>
    </row>
    <row r="113" spans="1:5" ht="15">
      <c r="A113" s="15" t="s">
        <v>1428</v>
      </c>
      <c r="B113" s="96"/>
      <c r="C113" s="216">
        <v>1500</v>
      </c>
      <c r="D113" s="6" t="s">
        <v>530</v>
      </c>
      <c r="E113" s="3"/>
    </row>
    <row r="114" spans="1:5" ht="15">
      <c r="A114" s="190" t="s">
        <v>1282</v>
      </c>
      <c r="B114" s="96"/>
      <c r="C114" s="104">
        <v>1665</v>
      </c>
      <c r="D114" s="6" t="s">
        <v>530</v>
      </c>
      <c r="E114" s="3"/>
    </row>
    <row r="115" spans="1:5" ht="15">
      <c r="A115" s="15" t="s">
        <v>1430</v>
      </c>
      <c r="B115" s="96"/>
      <c r="C115" s="104">
        <v>70950</v>
      </c>
      <c r="D115" s="6" t="s">
        <v>530</v>
      </c>
      <c r="E115" s="3"/>
    </row>
    <row r="116" spans="1:5" ht="15">
      <c r="A116" s="190" t="s">
        <v>624</v>
      </c>
      <c r="B116" s="104">
        <v>6000</v>
      </c>
      <c r="C116" s="228"/>
      <c r="D116" s="6" t="s">
        <v>530</v>
      </c>
      <c r="E116" s="3"/>
    </row>
    <row r="117" spans="1:5" ht="15">
      <c r="A117" s="190" t="s">
        <v>1431</v>
      </c>
      <c r="B117" s="96"/>
      <c r="C117" s="104">
        <v>1900</v>
      </c>
      <c r="D117" s="6" t="s">
        <v>530</v>
      </c>
      <c r="E117" s="3"/>
    </row>
    <row r="118" spans="1:5" ht="15">
      <c r="A118" s="190" t="s">
        <v>1432</v>
      </c>
      <c r="B118" s="104">
        <v>2716</v>
      </c>
      <c r="C118" s="228"/>
      <c r="D118" s="6" t="s">
        <v>530</v>
      </c>
      <c r="E118" s="3"/>
    </row>
    <row r="119" spans="1:5" ht="15">
      <c r="A119" s="190" t="s">
        <v>1433</v>
      </c>
      <c r="B119" s="96"/>
      <c r="C119" s="216">
        <v>1125</v>
      </c>
      <c r="D119" s="6" t="s">
        <v>530</v>
      </c>
      <c r="E119" s="3"/>
    </row>
    <row r="120" spans="1:5" ht="15">
      <c r="A120" s="191" t="s">
        <v>1701</v>
      </c>
      <c r="B120" s="104">
        <v>336435</v>
      </c>
      <c r="C120" s="228"/>
      <c r="D120" s="6" t="s">
        <v>530</v>
      </c>
      <c r="E120" s="3"/>
    </row>
    <row r="121" spans="1:5" ht="15">
      <c r="A121" s="15" t="s">
        <v>1434</v>
      </c>
      <c r="B121" s="96"/>
      <c r="C121" s="104">
        <v>800</v>
      </c>
      <c r="D121" s="6" t="s">
        <v>530</v>
      </c>
      <c r="E121" s="3"/>
    </row>
    <row r="122" spans="1:5" ht="15">
      <c r="A122" s="190" t="s">
        <v>1435</v>
      </c>
      <c r="B122" s="96"/>
      <c r="C122" s="104">
        <v>13983</v>
      </c>
      <c r="D122" s="6" t="s">
        <v>530</v>
      </c>
      <c r="E122" s="3"/>
    </row>
    <row r="123" spans="1:5" ht="15">
      <c r="A123" s="190" t="s">
        <v>1702</v>
      </c>
      <c r="B123" s="96"/>
      <c r="C123" s="104">
        <v>80600</v>
      </c>
      <c r="D123" s="6" t="s">
        <v>530</v>
      </c>
      <c r="E123" s="3"/>
    </row>
    <row r="124" spans="1:5" ht="15">
      <c r="A124" s="190" t="s">
        <v>1280</v>
      </c>
      <c r="B124" s="96"/>
      <c r="C124" s="104">
        <v>37763</v>
      </c>
      <c r="D124" s="6" t="s">
        <v>530</v>
      </c>
      <c r="E124" s="3"/>
    </row>
    <row r="125" spans="1:5" ht="15">
      <c r="A125" s="190" t="s">
        <v>1437</v>
      </c>
      <c r="B125" s="96"/>
      <c r="C125" s="216">
        <v>587</v>
      </c>
      <c r="D125" s="6" t="s">
        <v>530</v>
      </c>
      <c r="E125" s="3"/>
    </row>
    <row r="126" spans="1:5" ht="15">
      <c r="A126" s="190" t="s">
        <v>637</v>
      </c>
      <c r="B126" s="104">
        <v>8402</v>
      </c>
      <c r="C126" s="96"/>
      <c r="D126" s="6" t="s">
        <v>530</v>
      </c>
      <c r="E126" s="3"/>
    </row>
    <row r="127" spans="1:5" ht="15">
      <c r="A127" s="15" t="s">
        <v>1441</v>
      </c>
      <c r="B127" s="96"/>
      <c r="C127" s="216">
        <v>5458</v>
      </c>
      <c r="D127" s="6" t="s">
        <v>530</v>
      </c>
      <c r="E127" s="3"/>
    </row>
    <row r="128" spans="1:5" ht="15">
      <c r="A128" s="190" t="s">
        <v>646</v>
      </c>
      <c r="B128" s="96"/>
      <c r="C128" s="216">
        <v>187808</v>
      </c>
      <c r="D128" s="6" t="s">
        <v>530</v>
      </c>
      <c r="E128" s="3"/>
    </row>
    <row r="129" spans="1:5" ht="15">
      <c r="A129" s="190" t="s">
        <v>1703</v>
      </c>
      <c r="B129" s="104">
        <v>120490</v>
      </c>
      <c r="C129" s="96"/>
      <c r="D129" s="6" t="s">
        <v>530</v>
      </c>
      <c r="E129" s="3"/>
    </row>
    <row r="130" spans="1:5" ht="15">
      <c r="A130" s="190" t="s">
        <v>1704</v>
      </c>
      <c r="B130" s="96"/>
      <c r="C130" s="104">
        <v>774</v>
      </c>
      <c r="D130" s="6" t="s">
        <v>530</v>
      </c>
      <c r="E130" s="3"/>
    </row>
    <row r="131" spans="1:5" ht="15">
      <c r="A131" s="190" t="s">
        <v>1445</v>
      </c>
      <c r="B131" s="104">
        <v>67735</v>
      </c>
      <c r="C131" s="96"/>
      <c r="D131" s="6" t="s">
        <v>530</v>
      </c>
      <c r="E131" s="3"/>
    </row>
    <row r="132" spans="1:5" ht="15">
      <c r="A132" s="15" t="s">
        <v>1705</v>
      </c>
      <c r="B132" s="104">
        <v>3000</v>
      </c>
      <c r="C132" s="228"/>
      <c r="D132" s="6" t="s">
        <v>530</v>
      </c>
      <c r="E132" s="3"/>
    </row>
    <row r="133" spans="1:5" ht="15">
      <c r="A133" s="190" t="s">
        <v>661</v>
      </c>
      <c r="B133" s="96"/>
      <c r="C133" s="216">
        <v>60</v>
      </c>
      <c r="D133" s="6" t="s">
        <v>530</v>
      </c>
      <c r="E133" s="3"/>
    </row>
    <row r="134" spans="1:5" ht="15">
      <c r="A134" s="190" t="s">
        <v>1706</v>
      </c>
      <c r="B134" s="96"/>
      <c r="C134" s="104">
        <v>146494.5</v>
      </c>
      <c r="D134" s="6" t="s">
        <v>530</v>
      </c>
      <c r="E134" s="3"/>
    </row>
    <row r="135" spans="1:5" ht="15">
      <c r="A135" s="190" t="s">
        <v>666</v>
      </c>
      <c r="B135" s="104">
        <v>7740</v>
      </c>
      <c r="C135" s="228"/>
      <c r="D135" s="6" t="s">
        <v>530</v>
      </c>
      <c r="E135" s="3"/>
    </row>
    <row r="136" spans="1:5" ht="15">
      <c r="A136" s="190" t="s">
        <v>669</v>
      </c>
      <c r="B136" s="93">
        <v>25367</v>
      </c>
      <c r="C136" s="108"/>
      <c r="D136" s="6"/>
      <c r="E136" s="3"/>
    </row>
    <row r="137" spans="1:5" ht="15">
      <c r="A137" s="190" t="s">
        <v>1279</v>
      </c>
      <c r="B137" s="104">
        <v>252389</v>
      </c>
      <c r="C137" s="96"/>
      <c r="D137" s="6" t="s">
        <v>530</v>
      </c>
      <c r="E137" s="3"/>
    </row>
    <row r="138" spans="1:5" ht="15">
      <c r="A138" s="190" t="s">
        <v>1707</v>
      </c>
      <c r="B138" s="96"/>
      <c r="C138" s="104">
        <v>90</v>
      </c>
      <c r="D138" s="6" t="s">
        <v>530</v>
      </c>
      <c r="E138" s="3"/>
    </row>
    <row r="139" spans="1:5" ht="15">
      <c r="A139" s="190" t="s">
        <v>1708</v>
      </c>
      <c r="B139" s="96"/>
      <c r="C139" s="104">
        <v>212</v>
      </c>
      <c r="D139" s="6" t="s">
        <v>530</v>
      </c>
      <c r="E139" s="3"/>
    </row>
    <row r="140" spans="1:5" ht="15">
      <c r="A140" s="190" t="s">
        <v>1709</v>
      </c>
      <c r="B140" s="104">
        <v>2021</v>
      </c>
      <c r="C140" s="96"/>
      <c r="D140" s="6" t="s">
        <v>530</v>
      </c>
      <c r="E140" s="3"/>
    </row>
    <row r="141" spans="1:5" ht="15">
      <c r="A141" s="190" t="s">
        <v>1451</v>
      </c>
      <c r="B141" s="96"/>
      <c r="C141" s="104">
        <v>2000</v>
      </c>
      <c r="D141" s="6" t="s">
        <v>530</v>
      </c>
      <c r="E141" s="3"/>
    </row>
    <row r="142" spans="1:5" ht="15">
      <c r="A142" s="190" t="s">
        <v>1710</v>
      </c>
      <c r="B142" s="104">
        <v>1262</v>
      </c>
      <c r="C142" s="96"/>
      <c r="D142" s="6" t="s">
        <v>530</v>
      </c>
      <c r="E142" s="3"/>
    </row>
    <row r="143" spans="1:5" ht="15">
      <c r="A143" s="190" t="s">
        <v>1025</v>
      </c>
      <c r="B143" s="96"/>
      <c r="C143" s="104">
        <v>112803</v>
      </c>
      <c r="D143" s="6" t="s">
        <v>530</v>
      </c>
      <c r="E143" s="3"/>
    </row>
    <row r="144" spans="1:5" ht="15">
      <c r="A144" s="190" t="s">
        <v>1711</v>
      </c>
      <c r="B144" s="96"/>
      <c r="C144" s="104">
        <v>2500</v>
      </c>
      <c r="D144" s="6" t="s">
        <v>530</v>
      </c>
      <c r="E144" s="3"/>
    </row>
    <row r="145" spans="1:6" ht="15">
      <c r="A145" s="190" t="s">
        <v>1454</v>
      </c>
      <c r="B145" s="96"/>
      <c r="C145" s="104">
        <v>2600</v>
      </c>
      <c r="D145" s="6" t="s">
        <v>530</v>
      </c>
      <c r="E145" s="3"/>
    </row>
    <row r="146" spans="1:6" ht="15">
      <c r="A146" s="15" t="s">
        <v>1028</v>
      </c>
      <c r="B146" s="104">
        <v>4180</v>
      </c>
      <c r="C146" s="96"/>
      <c r="D146" s="6" t="s">
        <v>530</v>
      </c>
      <c r="E146" s="3"/>
    </row>
    <row r="147" spans="1:6" ht="15">
      <c r="A147" s="190" t="s">
        <v>1712</v>
      </c>
      <c r="B147" s="96"/>
      <c r="C147" s="104">
        <v>185976</v>
      </c>
      <c r="D147" s="6" t="s">
        <v>530</v>
      </c>
      <c r="E147" s="3"/>
    </row>
    <row r="148" spans="1:6" ht="15">
      <c r="A148" s="190" t="s">
        <v>1456</v>
      </c>
      <c r="B148" s="96"/>
      <c r="C148" s="104">
        <v>236</v>
      </c>
      <c r="D148" s="6" t="s">
        <v>530</v>
      </c>
      <c r="E148" s="3"/>
    </row>
    <row r="149" spans="1:6" ht="15">
      <c r="A149" s="15" t="s">
        <v>685</v>
      </c>
      <c r="B149" s="104">
        <v>175000</v>
      </c>
      <c r="C149" s="96"/>
      <c r="D149" s="6" t="s">
        <v>530</v>
      </c>
      <c r="E149" s="3"/>
    </row>
    <row r="150" spans="1:6" ht="15">
      <c r="A150" s="190" t="s">
        <v>1457</v>
      </c>
      <c r="B150" s="96"/>
      <c r="C150" s="104">
        <v>11801</v>
      </c>
      <c r="D150" s="6" t="s">
        <v>530</v>
      </c>
      <c r="E150" s="3"/>
    </row>
    <row r="151" spans="1:6" ht="15">
      <c r="A151" s="190" t="s">
        <v>1713</v>
      </c>
      <c r="B151" s="104">
        <v>2500</v>
      </c>
      <c r="C151" s="96"/>
      <c r="D151" s="6" t="s">
        <v>530</v>
      </c>
      <c r="E151" s="3"/>
    </row>
    <row r="152" spans="1:6" ht="15">
      <c r="A152" s="190" t="s">
        <v>1458</v>
      </c>
      <c r="B152" s="104">
        <v>760</v>
      </c>
      <c r="C152" s="96"/>
      <c r="D152" s="6" t="s">
        <v>530</v>
      </c>
      <c r="E152" s="3"/>
    </row>
    <row r="153" spans="1:6" ht="15">
      <c r="A153" s="190" t="s">
        <v>1278</v>
      </c>
      <c r="B153" s="104">
        <v>99115</v>
      </c>
      <c r="C153" s="96"/>
      <c r="D153" s="6" t="s">
        <v>530</v>
      </c>
      <c r="E153" s="3"/>
    </row>
    <row r="154" spans="1:6" ht="15">
      <c r="A154" s="190" t="s">
        <v>1714</v>
      </c>
      <c r="B154" s="104">
        <v>3870</v>
      </c>
      <c r="C154" s="96"/>
      <c r="D154" s="6" t="s">
        <v>530</v>
      </c>
      <c r="E154" s="3"/>
    </row>
    <row r="155" spans="1:6" ht="15">
      <c r="A155" s="190" t="s">
        <v>1276</v>
      </c>
      <c r="B155" s="96"/>
      <c r="C155" s="104">
        <v>144688</v>
      </c>
      <c r="D155" s="6" t="s">
        <v>530</v>
      </c>
      <c r="E155" s="3"/>
    </row>
    <row r="156" spans="1:6" ht="15">
      <c r="A156" s="190" t="s">
        <v>1031</v>
      </c>
      <c r="B156" s="93">
        <v>357858</v>
      </c>
      <c r="C156" s="108"/>
      <c r="D156" s="6"/>
      <c r="E156" s="3"/>
      <c r="F156" s="98"/>
    </row>
    <row r="157" spans="1:6" ht="15">
      <c r="A157" s="190" t="s">
        <v>1715</v>
      </c>
      <c r="B157" s="104">
        <v>350</v>
      </c>
      <c r="C157" s="96"/>
      <c r="D157" s="6" t="s">
        <v>530</v>
      </c>
      <c r="E157" s="3"/>
    </row>
    <row r="158" spans="1:6" ht="15">
      <c r="A158" s="190" t="s">
        <v>698</v>
      </c>
      <c r="B158" s="104">
        <v>96238</v>
      </c>
      <c r="C158" s="96"/>
      <c r="D158" s="6" t="s">
        <v>530</v>
      </c>
      <c r="E158" s="3"/>
    </row>
    <row r="159" spans="1:6" ht="15">
      <c r="A159" s="190" t="s">
        <v>1032</v>
      </c>
      <c r="B159" s="96"/>
      <c r="C159" s="104">
        <v>316617.93</v>
      </c>
      <c r="D159" s="6" t="s">
        <v>530</v>
      </c>
      <c r="E159" s="3"/>
    </row>
    <row r="160" spans="1:6" ht="15">
      <c r="A160" s="15" t="s">
        <v>1274</v>
      </c>
      <c r="B160" s="93">
        <v>356</v>
      </c>
      <c r="C160" s="233">
        <v>1682869.45</v>
      </c>
      <c r="D160" s="6" t="s">
        <v>530</v>
      </c>
      <c r="E160" s="3"/>
    </row>
    <row r="161" spans="1:5" ht="15">
      <c r="A161" s="190" t="s">
        <v>1468</v>
      </c>
      <c r="B161" s="104">
        <v>1</v>
      </c>
      <c r="C161" s="96"/>
      <c r="D161" s="6" t="s">
        <v>530</v>
      </c>
      <c r="E161" s="3"/>
    </row>
    <row r="162" spans="1:5" ht="15">
      <c r="A162" s="190" t="s">
        <v>1469</v>
      </c>
      <c r="B162" s="96"/>
      <c r="C162" s="104">
        <v>10962</v>
      </c>
      <c r="D162" s="6" t="s">
        <v>530</v>
      </c>
      <c r="E162" s="3"/>
    </row>
    <row r="163" spans="1:5" ht="15">
      <c r="A163" s="190" t="s">
        <v>1482</v>
      </c>
      <c r="B163" s="96"/>
      <c r="C163" s="104">
        <v>1500</v>
      </c>
      <c r="D163" s="6" t="s">
        <v>530</v>
      </c>
      <c r="E163" s="3"/>
    </row>
    <row r="164" spans="1:5" ht="15">
      <c r="A164" s="190" t="s">
        <v>1273</v>
      </c>
      <c r="B164" s="96"/>
      <c r="C164" s="104">
        <v>28985</v>
      </c>
      <c r="D164" s="6" t="s">
        <v>530</v>
      </c>
      <c r="E164" s="3"/>
    </row>
    <row r="165" spans="1:5" ht="15">
      <c r="A165" s="190" t="s">
        <v>704</v>
      </c>
      <c r="B165" s="96"/>
      <c r="C165" s="104">
        <v>761986</v>
      </c>
      <c r="D165" s="6" t="s">
        <v>530</v>
      </c>
      <c r="E165" s="3"/>
    </row>
    <row r="166" spans="1:5" ht="15">
      <c r="A166" s="190" t="s">
        <v>1470</v>
      </c>
      <c r="B166" s="96"/>
      <c r="C166" s="104">
        <v>63635</v>
      </c>
      <c r="D166" s="6" t="s">
        <v>530</v>
      </c>
      <c r="E166" s="3"/>
    </row>
    <row r="167" spans="1:5" ht="15">
      <c r="A167" s="17" t="s">
        <v>1716</v>
      </c>
      <c r="B167" s="96"/>
      <c r="C167" s="104">
        <v>75544</v>
      </c>
      <c r="D167" s="6" t="s">
        <v>530</v>
      </c>
      <c r="E167" s="3"/>
    </row>
    <row r="168" spans="1:5" ht="15">
      <c r="A168" s="190" t="s">
        <v>707</v>
      </c>
      <c r="B168" s="96"/>
      <c r="C168" s="104">
        <v>410109.2</v>
      </c>
      <c r="D168" s="6" t="s">
        <v>530</v>
      </c>
      <c r="E168" s="3"/>
    </row>
    <row r="169" spans="1:5" ht="15">
      <c r="A169" s="190" t="s">
        <v>1717</v>
      </c>
      <c r="B169" s="96"/>
      <c r="C169" s="104">
        <v>175702</v>
      </c>
      <c r="D169" s="6" t="s">
        <v>530</v>
      </c>
      <c r="E169" s="3"/>
    </row>
    <row r="170" spans="1:5" ht="15">
      <c r="A170" s="190" t="s">
        <v>1718</v>
      </c>
      <c r="B170" s="96"/>
      <c r="C170" s="104">
        <v>87475</v>
      </c>
      <c r="D170" s="6" t="s">
        <v>530</v>
      </c>
      <c r="E170" s="3"/>
    </row>
    <row r="171" spans="1:5" ht="15">
      <c r="A171" s="190" t="s">
        <v>1472</v>
      </c>
      <c r="B171" s="96"/>
      <c r="C171" s="104">
        <v>13</v>
      </c>
      <c r="D171" s="6" t="s">
        <v>530</v>
      </c>
      <c r="E171" s="3"/>
    </row>
    <row r="172" spans="1:5" ht="15">
      <c r="A172" s="15" t="s">
        <v>1473</v>
      </c>
      <c r="B172" s="96"/>
      <c r="C172" s="104">
        <v>4635</v>
      </c>
      <c r="D172" s="6" t="s">
        <v>530</v>
      </c>
      <c r="E172" s="3"/>
    </row>
    <row r="173" spans="1:5" ht="15">
      <c r="A173" s="190" t="s">
        <v>1477</v>
      </c>
      <c r="B173" s="104">
        <v>355</v>
      </c>
      <c r="C173" s="96"/>
      <c r="D173" s="6" t="s">
        <v>530</v>
      </c>
      <c r="E173" s="3"/>
    </row>
    <row r="174" spans="1:5" ht="15">
      <c r="A174" s="190" t="s">
        <v>1479</v>
      </c>
      <c r="B174" s="96"/>
      <c r="C174" s="104">
        <v>4000</v>
      </c>
      <c r="D174" s="6" t="s">
        <v>530</v>
      </c>
      <c r="E174" s="3"/>
    </row>
    <row r="175" spans="1:5" ht="15">
      <c r="A175" s="190" t="s">
        <v>1480</v>
      </c>
      <c r="B175" s="96"/>
      <c r="C175" s="104">
        <v>3428</v>
      </c>
      <c r="D175" s="6" t="s">
        <v>530</v>
      </c>
      <c r="E175" s="3"/>
    </row>
    <row r="176" spans="1:5" ht="15">
      <c r="A176" s="190" t="s">
        <v>715</v>
      </c>
      <c r="B176" s="96"/>
      <c r="C176" s="104">
        <v>39948</v>
      </c>
      <c r="D176" s="6" t="s">
        <v>530</v>
      </c>
      <c r="E176" s="3"/>
    </row>
    <row r="177" spans="1:9" ht="15">
      <c r="A177" s="15" t="s">
        <v>1269</v>
      </c>
      <c r="B177" s="96"/>
      <c r="C177" s="104">
        <v>1.25</v>
      </c>
      <c r="D177" s="6" t="s">
        <v>530</v>
      </c>
      <c r="E177" s="3"/>
    </row>
    <row r="178" spans="1:9" ht="15">
      <c r="A178" s="190" t="s">
        <v>1481</v>
      </c>
      <c r="B178" s="96"/>
      <c r="C178" s="104">
        <v>14946</v>
      </c>
      <c r="D178" s="6" t="s">
        <v>231</v>
      </c>
      <c r="E178" s="3"/>
      <c r="F178" s="3"/>
    </row>
    <row r="179" spans="1:9" ht="15">
      <c r="A179" s="13" t="s">
        <v>1062</v>
      </c>
      <c r="B179" s="96"/>
      <c r="C179" s="104">
        <v>78862</v>
      </c>
      <c r="D179" s="6" t="s">
        <v>231</v>
      </c>
      <c r="E179" s="3"/>
      <c r="F179" s="3"/>
    </row>
    <row r="180" spans="1:9" ht="15">
      <c r="A180" s="13" t="s">
        <v>91</v>
      </c>
      <c r="B180" s="96"/>
      <c r="C180" s="104">
        <v>294347</v>
      </c>
      <c r="D180" s="6" t="s">
        <v>231</v>
      </c>
      <c r="E180" s="3"/>
      <c r="F180" s="3"/>
    </row>
    <row r="181" spans="1:9">
      <c r="A181" s="13" t="s">
        <v>1063</v>
      </c>
      <c r="B181" s="108"/>
      <c r="C181" s="93">
        <v>32203.14</v>
      </c>
    </row>
    <row r="182" spans="1:9">
      <c r="A182" s="236" t="s">
        <v>39</v>
      </c>
      <c r="B182" s="237">
        <v>35700162.259999998</v>
      </c>
      <c r="C182" s="102"/>
    </row>
    <row r="183" spans="1:9">
      <c r="A183" s="13" t="s">
        <v>92</v>
      </c>
      <c r="B183" s="104">
        <v>868251</v>
      </c>
      <c r="C183" s="96"/>
    </row>
    <row r="184" spans="1:9">
      <c r="A184" s="13" t="s">
        <v>93</v>
      </c>
      <c r="B184" s="104">
        <v>250772.8</v>
      </c>
      <c r="C184" s="96"/>
    </row>
    <row r="185" spans="1:9">
      <c r="A185" s="13" t="s">
        <v>94</v>
      </c>
      <c r="B185" s="104">
        <v>147350.69</v>
      </c>
      <c r="C185" s="96"/>
    </row>
    <row r="186" spans="1:9">
      <c r="A186" s="13" t="s">
        <v>1267</v>
      </c>
      <c r="B186" s="104">
        <v>30471317.629999999</v>
      </c>
      <c r="C186" s="96"/>
    </row>
    <row r="187" spans="1:9">
      <c r="A187" s="13" t="s">
        <v>1266</v>
      </c>
      <c r="B187" s="104">
        <v>3962470.14</v>
      </c>
      <c r="C187" s="96"/>
    </row>
    <row r="188" spans="1:9">
      <c r="A188" s="1" t="s">
        <v>96</v>
      </c>
      <c r="B188" s="105">
        <v>89709176.650000006</v>
      </c>
      <c r="C188" s="105">
        <v>7815338</v>
      </c>
    </row>
    <row r="189" spans="1:9">
      <c r="A189" s="13" t="s">
        <v>1265</v>
      </c>
      <c r="B189" s="113"/>
      <c r="C189" s="113"/>
      <c r="E189" s="98"/>
    </row>
    <row r="190" spans="1:9">
      <c r="A190" s="17" t="s">
        <v>1719</v>
      </c>
      <c r="B190" s="109"/>
      <c r="C190" s="114"/>
    </row>
    <row r="191" spans="1:9">
      <c r="A191" s="13" t="s">
        <v>97</v>
      </c>
      <c r="B191" s="110">
        <v>21000000</v>
      </c>
      <c r="C191" s="238"/>
      <c r="D191" s="3342" t="s">
        <v>1349</v>
      </c>
      <c r="E191" s="3343"/>
      <c r="F191" s="3343"/>
      <c r="G191" s="3343"/>
      <c r="H191" s="3343"/>
      <c r="I191" s="3343"/>
    </row>
    <row r="192" spans="1:9" ht="15">
      <c r="A192" s="15" t="s">
        <v>1264</v>
      </c>
      <c r="B192" s="112">
        <v>550000</v>
      </c>
      <c r="C192" s="95"/>
      <c r="D192" s="7" t="s">
        <v>1328</v>
      </c>
      <c r="E192" s="192"/>
    </row>
    <row r="193" spans="1:6">
      <c r="A193" s="13" t="s">
        <v>730</v>
      </c>
      <c r="B193" s="105">
        <v>20450000</v>
      </c>
      <c r="C193" s="109"/>
      <c r="D193" t="s">
        <v>98</v>
      </c>
      <c r="F193" s="98">
        <f>SUM(B194:B281)</f>
        <v>330692320.19999999</v>
      </c>
    </row>
    <row r="194" spans="1:6">
      <c r="A194" s="13" t="s">
        <v>98</v>
      </c>
      <c r="B194" s="110">
        <v>42978386.240000002</v>
      </c>
      <c r="C194" s="110">
        <v>7815338</v>
      </c>
      <c r="D194" t="s">
        <v>98</v>
      </c>
    </row>
    <row r="195" spans="1:6">
      <c r="A195" s="17" t="s">
        <v>732</v>
      </c>
      <c r="B195" s="112">
        <v>155431</v>
      </c>
      <c r="C195" s="95"/>
      <c r="D195" t="s">
        <v>98</v>
      </c>
    </row>
    <row r="196" spans="1:6">
      <c r="A196" s="17" t="s">
        <v>733</v>
      </c>
      <c r="B196" s="112">
        <v>236250</v>
      </c>
      <c r="C196" s="95"/>
      <c r="D196" t="s">
        <v>98</v>
      </c>
    </row>
    <row r="197" spans="1:6">
      <c r="A197" s="17" t="s">
        <v>734</v>
      </c>
      <c r="B197" s="112">
        <v>545590</v>
      </c>
      <c r="C197" s="95"/>
      <c r="D197" t="s">
        <v>98</v>
      </c>
    </row>
    <row r="198" spans="1:6">
      <c r="A198" s="15" t="s">
        <v>1263</v>
      </c>
      <c r="B198" s="112">
        <v>1020296</v>
      </c>
      <c r="C198" s="95"/>
      <c r="D198" t="s">
        <v>98</v>
      </c>
    </row>
    <row r="199" spans="1:6">
      <c r="A199" s="15" t="s">
        <v>1720</v>
      </c>
      <c r="B199" s="112">
        <v>90000</v>
      </c>
      <c r="C199" s="95"/>
      <c r="D199" t="s">
        <v>98</v>
      </c>
    </row>
    <row r="200" spans="1:6">
      <c r="A200" s="15" t="s">
        <v>736</v>
      </c>
      <c r="B200" s="112">
        <v>99600</v>
      </c>
      <c r="C200" s="95"/>
      <c r="D200" t="s">
        <v>98</v>
      </c>
    </row>
    <row r="201" spans="1:6">
      <c r="A201" s="15" t="s">
        <v>737</v>
      </c>
      <c r="B201" s="112">
        <v>626800</v>
      </c>
      <c r="C201" s="95"/>
      <c r="D201" t="s">
        <v>98</v>
      </c>
    </row>
    <row r="202" spans="1:6">
      <c r="A202" s="15" t="s">
        <v>1485</v>
      </c>
      <c r="B202" s="112">
        <v>271920</v>
      </c>
      <c r="C202" s="95"/>
      <c r="D202" t="s">
        <v>98</v>
      </c>
    </row>
    <row r="203" spans="1:6">
      <c r="A203" s="17" t="s">
        <v>1335</v>
      </c>
      <c r="B203" s="95"/>
      <c r="C203" s="112">
        <v>2308800</v>
      </c>
      <c r="D203" t="s">
        <v>98</v>
      </c>
    </row>
    <row r="204" spans="1:6">
      <c r="A204" s="15" t="s">
        <v>1064</v>
      </c>
      <c r="B204" s="112">
        <v>219102</v>
      </c>
      <c r="C204" s="95"/>
      <c r="D204" t="s">
        <v>98</v>
      </c>
    </row>
    <row r="205" spans="1:6">
      <c r="A205" s="15" t="s">
        <v>1721</v>
      </c>
      <c r="B205" s="112">
        <v>10755507.439999999</v>
      </c>
      <c r="C205" s="95"/>
      <c r="D205" t="s">
        <v>98</v>
      </c>
    </row>
    <row r="206" spans="1:6">
      <c r="A206" s="15" t="s">
        <v>742</v>
      </c>
      <c r="B206" s="112">
        <v>3674398.54</v>
      </c>
      <c r="C206" s="95"/>
      <c r="D206" t="s">
        <v>98</v>
      </c>
    </row>
    <row r="207" spans="1:6">
      <c r="A207" s="15" t="s">
        <v>1722</v>
      </c>
      <c r="B207" s="112">
        <v>916800</v>
      </c>
      <c r="C207" s="95"/>
      <c r="D207" t="s">
        <v>98</v>
      </c>
    </row>
    <row r="208" spans="1:6">
      <c r="A208" s="15" t="s">
        <v>750</v>
      </c>
      <c r="B208" s="112">
        <v>1262140</v>
      </c>
      <c r="C208" s="95"/>
      <c r="D208" t="s">
        <v>98</v>
      </c>
    </row>
    <row r="209" spans="1:4">
      <c r="A209" s="15" t="s">
        <v>752</v>
      </c>
      <c r="B209" s="112">
        <v>400133</v>
      </c>
      <c r="C209" s="95"/>
      <c r="D209" t="s">
        <v>98</v>
      </c>
    </row>
    <row r="210" spans="1:4">
      <c r="A210" s="17" t="s">
        <v>753</v>
      </c>
      <c r="B210" s="112">
        <v>607145.86</v>
      </c>
      <c r="C210" s="95"/>
      <c r="D210" t="s">
        <v>98</v>
      </c>
    </row>
    <row r="211" spans="1:4">
      <c r="A211" s="15" t="s">
        <v>1067</v>
      </c>
      <c r="B211" s="112">
        <v>92441</v>
      </c>
      <c r="C211" s="95"/>
      <c r="D211" t="s">
        <v>98</v>
      </c>
    </row>
    <row r="212" spans="1:4">
      <c r="A212" s="15" t="s">
        <v>1723</v>
      </c>
      <c r="B212" s="112">
        <v>3123948</v>
      </c>
      <c r="C212" s="95"/>
      <c r="D212" t="s">
        <v>98</v>
      </c>
    </row>
    <row r="213" spans="1:4">
      <c r="A213" s="15" t="s">
        <v>1724</v>
      </c>
      <c r="B213" s="112">
        <v>35108</v>
      </c>
      <c r="C213" s="95"/>
      <c r="D213" t="s">
        <v>98</v>
      </c>
    </row>
    <row r="214" spans="1:4">
      <c r="A214" s="17" t="s">
        <v>1068</v>
      </c>
      <c r="B214" s="112">
        <v>52926</v>
      </c>
      <c r="C214" s="95"/>
      <c r="D214" t="s">
        <v>98</v>
      </c>
    </row>
    <row r="215" spans="1:4">
      <c r="A215" s="15" t="s">
        <v>756</v>
      </c>
      <c r="B215" s="112">
        <v>98880</v>
      </c>
      <c r="C215" s="95"/>
      <c r="D215" t="s">
        <v>98</v>
      </c>
    </row>
    <row r="216" spans="1:4">
      <c r="A216" s="15" t="s">
        <v>1259</v>
      </c>
      <c r="B216" s="112">
        <v>46383</v>
      </c>
      <c r="C216" s="95"/>
      <c r="D216" t="s">
        <v>98</v>
      </c>
    </row>
    <row r="217" spans="1:4">
      <c r="A217" s="15" t="s">
        <v>1725</v>
      </c>
      <c r="B217" s="112">
        <v>174429.68</v>
      </c>
      <c r="C217" s="95"/>
      <c r="D217" t="s">
        <v>98</v>
      </c>
    </row>
    <row r="218" spans="1:4">
      <c r="A218" s="17" t="s">
        <v>757</v>
      </c>
      <c r="B218" s="95"/>
      <c r="C218" s="112">
        <v>376638</v>
      </c>
      <c r="D218" t="s">
        <v>98</v>
      </c>
    </row>
    <row r="219" spans="1:4">
      <c r="A219" s="15" t="s">
        <v>1488</v>
      </c>
      <c r="B219" s="112">
        <v>147395.28</v>
      </c>
      <c r="C219" s="95"/>
      <c r="D219" t="s">
        <v>98</v>
      </c>
    </row>
    <row r="220" spans="1:4">
      <c r="A220" s="15" t="s">
        <v>1256</v>
      </c>
      <c r="B220" s="112">
        <v>441134.06</v>
      </c>
      <c r="C220" s="95"/>
      <c r="D220" t="s">
        <v>98</v>
      </c>
    </row>
    <row r="221" spans="1:4">
      <c r="A221" s="17" t="s">
        <v>1490</v>
      </c>
      <c r="B221" s="112">
        <v>403848</v>
      </c>
      <c r="C221" s="95"/>
      <c r="D221" t="s">
        <v>98</v>
      </c>
    </row>
    <row r="222" spans="1:4">
      <c r="A222" s="15" t="s">
        <v>771</v>
      </c>
      <c r="B222" s="112">
        <v>615250</v>
      </c>
      <c r="C222" s="95"/>
      <c r="D222" t="s">
        <v>98</v>
      </c>
    </row>
    <row r="223" spans="1:4">
      <c r="A223" s="15" t="s">
        <v>772</v>
      </c>
      <c r="B223" s="112">
        <v>2316502</v>
      </c>
      <c r="C223" s="95"/>
      <c r="D223" t="s">
        <v>98</v>
      </c>
    </row>
    <row r="224" spans="1:4">
      <c r="A224" s="15" t="s">
        <v>1726</v>
      </c>
      <c r="B224" s="95"/>
      <c r="C224" s="112">
        <v>289900</v>
      </c>
      <c r="D224" t="s">
        <v>98</v>
      </c>
    </row>
    <row r="225" spans="1:4">
      <c r="A225" s="15" t="s">
        <v>1491</v>
      </c>
      <c r="B225" s="112">
        <v>373195.7</v>
      </c>
      <c r="C225" s="95"/>
      <c r="D225" t="s">
        <v>98</v>
      </c>
    </row>
    <row r="226" spans="1:4">
      <c r="A226" s="15" t="s">
        <v>1492</v>
      </c>
      <c r="B226" s="112">
        <v>918354.6</v>
      </c>
      <c r="C226" s="95"/>
      <c r="D226" t="s">
        <v>98</v>
      </c>
    </row>
    <row r="227" spans="1:4">
      <c r="A227" s="17" t="s">
        <v>1493</v>
      </c>
      <c r="B227" s="112">
        <v>220035.17</v>
      </c>
      <c r="C227" s="95"/>
      <c r="D227" t="s">
        <v>98</v>
      </c>
    </row>
    <row r="228" spans="1:4">
      <c r="A228" s="17" t="s">
        <v>1073</v>
      </c>
      <c r="B228" s="112">
        <v>433778.28</v>
      </c>
      <c r="C228" s="95"/>
      <c r="D228" t="s">
        <v>98</v>
      </c>
    </row>
    <row r="229" spans="1:4">
      <c r="A229" s="17" t="s">
        <v>776</v>
      </c>
      <c r="B229" s="112">
        <v>204110</v>
      </c>
      <c r="C229" s="95"/>
      <c r="D229" t="s">
        <v>98</v>
      </c>
    </row>
    <row r="230" spans="1:4">
      <c r="A230" s="15" t="s">
        <v>1727</v>
      </c>
      <c r="B230" s="112">
        <v>1498958</v>
      </c>
      <c r="C230" s="95"/>
      <c r="D230" t="s">
        <v>98</v>
      </c>
    </row>
    <row r="231" spans="1:4">
      <c r="A231" s="15" t="s">
        <v>1495</v>
      </c>
      <c r="B231" s="112">
        <v>131122.74</v>
      </c>
      <c r="C231" s="95"/>
      <c r="D231" t="s">
        <v>98</v>
      </c>
    </row>
    <row r="232" spans="1:4">
      <c r="A232" s="15" t="s">
        <v>1728</v>
      </c>
      <c r="B232" s="112">
        <v>1284410.08</v>
      </c>
      <c r="C232" s="95"/>
      <c r="D232" t="s">
        <v>98</v>
      </c>
    </row>
    <row r="233" spans="1:4">
      <c r="A233" s="15" t="s">
        <v>1729</v>
      </c>
      <c r="B233" s="112">
        <v>45000</v>
      </c>
      <c r="C233" s="95"/>
      <c r="D233" t="s">
        <v>98</v>
      </c>
    </row>
    <row r="234" spans="1:4">
      <c r="A234" s="15" t="s">
        <v>1730</v>
      </c>
      <c r="B234" s="112">
        <v>508361.36</v>
      </c>
      <c r="C234" s="95"/>
      <c r="D234" t="s">
        <v>98</v>
      </c>
    </row>
    <row r="235" spans="1:4">
      <c r="A235" s="17" t="s">
        <v>778</v>
      </c>
      <c r="B235" s="112">
        <v>718081</v>
      </c>
      <c r="C235" s="95"/>
      <c r="D235" t="s">
        <v>98</v>
      </c>
    </row>
    <row r="236" spans="1:4">
      <c r="A236" s="15" t="s">
        <v>1255</v>
      </c>
      <c r="B236" s="112">
        <v>127610</v>
      </c>
      <c r="C236" s="95"/>
      <c r="D236" t="s">
        <v>98</v>
      </c>
    </row>
    <row r="237" spans="1:4">
      <c r="A237" s="15" t="s">
        <v>1731</v>
      </c>
      <c r="B237" s="112">
        <v>72244</v>
      </c>
      <c r="C237" s="95"/>
      <c r="D237" t="s">
        <v>98</v>
      </c>
    </row>
    <row r="238" spans="1:4">
      <c r="A238" s="15" t="s">
        <v>1496</v>
      </c>
      <c r="B238" s="112">
        <v>82700</v>
      </c>
      <c r="C238" s="95"/>
      <c r="D238" t="s">
        <v>98</v>
      </c>
    </row>
    <row r="239" spans="1:4">
      <c r="A239" s="15" t="s">
        <v>1497</v>
      </c>
      <c r="B239" s="112">
        <v>1188323</v>
      </c>
      <c r="C239" s="95"/>
      <c r="D239" t="s">
        <v>98</v>
      </c>
    </row>
    <row r="240" spans="1:4">
      <c r="A240" s="15" t="s">
        <v>782</v>
      </c>
      <c r="B240" s="112">
        <v>1070809</v>
      </c>
      <c r="C240" s="95"/>
      <c r="D240" t="s">
        <v>98</v>
      </c>
    </row>
    <row r="241" spans="1:4">
      <c r="A241" s="15" t="s">
        <v>783</v>
      </c>
      <c r="B241" s="112">
        <v>662058</v>
      </c>
      <c r="C241" s="95"/>
      <c r="D241" t="s">
        <v>98</v>
      </c>
    </row>
    <row r="242" spans="1:4">
      <c r="A242" s="15" t="s">
        <v>1254</v>
      </c>
      <c r="B242" s="112">
        <v>1183593</v>
      </c>
      <c r="C242" s="95"/>
      <c r="D242" t="s">
        <v>98</v>
      </c>
    </row>
    <row r="243" spans="1:4">
      <c r="A243" s="15" t="s">
        <v>1252</v>
      </c>
      <c r="B243" s="112">
        <v>1681611.44</v>
      </c>
      <c r="C243" s="95"/>
      <c r="D243" t="s">
        <v>98</v>
      </c>
    </row>
    <row r="244" spans="1:4">
      <c r="A244" s="15" t="s">
        <v>1499</v>
      </c>
      <c r="B244" s="95"/>
      <c r="C244" s="112">
        <v>400000</v>
      </c>
      <c r="D244" t="s">
        <v>98</v>
      </c>
    </row>
    <row r="245" spans="1:4">
      <c r="A245" s="15" t="s">
        <v>1500</v>
      </c>
      <c r="B245" s="112">
        <v>108974.25</v>
      </c>
      <c r="C245" s="95"/>
      <c r="D245" t="s">
        <v>98</v>
      </c>
    </row>
    <row r="246" spans="1:4">
      <c r="A246" s="15" t="s">
        <v>794</v>
      </c>
      <c r="B246" s="112">
        <v>474051.8</v>
      </c>
      <c r="C246" s="95"/>
      <c r="D246" t="s">
        <v>98</v>
      </c>
    </row>
    <row r="247" spans="1:4">
      <c r="A247" s="15" t="s">
        <v>1732</v>
      </c>
      <c r="B247" s="95"/>
      <c r="C247" s="112">
        <v>4440000</v>
      </c>
      <c r="D247" t="s">
        <v>98</v>
      </c>
    </row>
    <row r="248" spans="1:4">
      <c r="A248" s="15" t="s">
        <v>1248</v>
      </c>
      <c r="B248" s="112">
        <v>517480</v>
      </c>
      <c r="C248" s="95"/>
      <c r="D248" t="s">
        <v>98</v>
      </c>
    </row>
    <row r="249" spans="1:4">
      <c r="A249" s="15" t="s">
        <v>1501</v>
      </c>
      <c r="B249" s="112">
        <v>1044165.96</v>
      </c>
      <c r="C249" s="95"/>
      <c r="D249" t="s">
        <v>98</v>
      </c>
    </row>
    <row r="250" spans="1:4">
      <c r="A250" s="13" t="s">
        <v>1247</v>
      </c>
      <c r="B250" s="106">
        <v>35778</v>
      </c>
      <c r="C250" s="114"/>
      <c r="D250" t="s">
        <v>98</v>
      </c>
    </row>
    <row r="251" spans="1:4">
      <c r="A251" s="17" t="s">
        <v>260</v>
      </c>
      <c r="B251" s="112">
        <v>35778</v>
      </c>
      <c r="C251" s="95"/>
      <c r="D251" t="s">
        <v>98</v>
      </c>
    </row>
    <row r="252" spans="1:4">
      <c r="A252" s="13" t="s">
        <v>70</v>
      </c>
      <c r="B252" s="106">
        <v>11064386.41</v>
      </c>
      <c r="C252" s="114"/>
      <c r="D252" t="s">
        <v>98</v>
      </c>
    </row>
    <row r="253" spans="1:4">
      <c r="A253" s="17" t="s">
        <v>804</v>
      </c>
      <c r="B253" s="104">
        <v>10890208.800000001</v>
      </c>
      <c r="C253" s="96"/>
      <c r="D253" t="s">
        <v>98</v>
      </c>
    </row>
    <row r="254" spans="1:4">
      <c r="A254" s="17" t="s">
        <v>815</v>
      </c>
      <c r="B254" s="104">
        <v>174177.61</v>
      </c>
      <c r="C254" s="96"/>
      <c r="D254" t="s">
        <v>98</v>
      </c>
    </row>
    <row r="255" spans="1:4">
      <c r="A255" s="13" t="s">
        <v>99</v>
      </c>
      <c r="B255" s="104">
        <v>14630626</v>
      </c>
      <c r="C255" s="96"/>
      <c r="D255" t="s">
        <v>98</v>
      </c>
    </row>
    <row r="256" spans="1:4">
      <c r="A256" s="232" t="s">
        <v>100</v>
      </c>
      <c r="B256" s="105">
        <v>206628736.90000001</v>
      </c>
      <c r="C256" s="105">
        <v>93631</v>
      </c>
      <c r="D256" t="s">
        <v>98</v>
      </c>
    </row>
    <row r="257" spans="1:4">
      <c r="A257" s="13" t="s">
        <v>822</v>
      </c>
      <c r="B257" s="96"/>
      <c r="C257" s="104">
        <v>201</v>
      </c>
      <c r="D257" t="s">
        <v>98</v>
      </c>
    </row>
    <row r="258" spans="1:4">
      <c r="A258" s="13" t="s">
        <v>1246</v>
      </c>
      <c r="B258" s="96"/>
      <c r="C258" s="104">
        <v>34050</v>
      </c>
      <c r="D258" t="s">
        <v>98</v>
      </c>
    </row>
    <row r="259" spans="1:4">
      <c r="A259" s="13" t="s">
        <v>1245</v>
      </c>
      <c r="B259" s="96"/>
      <c r="C259" s="104">
        <v>1544</v>
      </c>
      <c r="D259" t="s">
        <v>98</v>
      </c>
    </row>
    <row r="260" spans="1:4">
      <c r="A260" s="13" t="s">
        <v>824</v>
      </c>
      <c r="B260" s="96"/>
      <c r="C260" s="104">
        <v>800</v>
      </c>
      <c r="D260" t="s">
        <v>98</v>
      </c>
    </row>
    <row r="261" spans="1:4">
      <c r="A261" s="13" t="s">
        <v>825</v>
      </c>
      <c r="B261" s="104">
        <v>2727</v>
      </c>
      <c r="C261" s="96"/>
      <c r="D261" t="s">
        <v>98</v>
      </c>
    </row>
    <row r="262" spans="1:4">
      <c r="A262" s="13" t="s">
        <v>1733</v>
      </c>
      <c r="B262" s="104">
        <v>383462</v>
      </c>
      <c r="C262" s="96"/>
      <c r="D262" t="s">
        <v>98</v>
      </c>
    </row>
    <row r="263" spans="1:4">
      <c r="A263" s="13" t="s">
        <v>1734</v>
      </c>
      <c r="B263" s="104">
        <v>125335</v>
      </c>
      <c r="C263" s="96"/>
      <c r="D263" t="s">
        <v>98</v>
      </c>
    </row>
    <row r="264" spans="1:4">
      <c r="A264" s="13" t="s">
        <v>830</v>
      </c>
      <c r="B264" s="96"/>
      <c r="C264" s="104">
        <v>500</v>
      </c>
      <c r="D264" t="s">
        <v>98</v>
      </c>
    </row>
    <row r="265" spans="1:4">
      <c r="A265" s="13" t="s">
        <v>835</v>
      </c>
      <c r="B265" s="96"/>
      <c r="C265" s="104">
        <v>2000</v>
      </c>
      <c r="D265" t="s">
        <v>98</v>
      </c>
    </row>
    <row r="266" spans="1:4">
      <c r="A266" s="13" t="s">
        <v>1735</v>
      </c>
      <c r="B266" s="104">
        <v>4000</v>
      </c>
      <c r="C266" s="96"/>
      <c r="D266" t="s">
        <v>98</v>
      </c>
    </row>
    <row r="267" spans="1:4">
      <c r="A267" s="13" t="s">
        <v>1736</v>
      </c>
      <c r="B267" s="104">
        <v>140394</v>
      </c>
      <c r="C267" s="96"/>
      <c r="D267" t="s">
        <v>98</v>
      </c>
    </row>
    <row r="268" spans="1:4">
      <c r="A268" s="13" t="s">
        <v>1737</v>
      </c>
      <c r="B268" s="104">
        <v>371059</v>
      </c>
      <c r="C268" s="96"/>
      <c r="D268" t="s">
        <v>98</v>
      </c>
    </row>
    <row r="269" spans="1:4">
      <c r="A269" s="13" t="s">
        <v>836</v>
      </c>
      <c r="B269" s="104">
        <v>88647</v>
      </c>
      <c r="C269" s="96"/>
      <c r="D269" t="s">
        <v>98</v>
      </c>
    </row>
    <row r="270" spans="1:4">
      <c r="A270" s="13" t="s">
        <v>1243</v>
      </c>
      <c r="B270" s="104">
        <v>32269</v>
      </c>
      <c r="C270" s="96"/>
      <c r="D270" t="s">
        <v>98</v>
      </c>
    </row>
    <row r="271" spans="1:4">
      <c r="A271" s="13" t="s">
        <v>1242</v>
      </c>
      <c r="B271" s="96"/>
      <c r="C271" s="104">
        <v>13192</v>
      </c>
      <c r="D271" t="s">
        <v>98</v>
      </c>
    </row>
    <row r="272" spans="1:4">
      <c r="A272" s="13" t="s">
        <v>837</v>
      </c>
      <c r="B272" s="104">
        <v>75</v>
      </c>
      <c r="C272" s="96"/>
      <c r="D272" t="s">
        <v>98</v>
      </c>
    </row>
    <row r="273" spans="1:5">
      <c r="A273" s="13" t="s">
        <v>838</v>
      </c>
      <c r="B273" s="104">
        <v>5578</v>
      </c>
      <c r="C273" s="96"/>
      <c r="D273" t="s">
        <v>98</v>
      </c>
    </row>
    <row r="274" spans="1:5">
      <c r="A274" s="13" t="s">
        <v>839</v>
      </c>
      <c r="B274" s="104">
        <v>22244</v>
      </c>
      <c r="C274" s="96"/>
      <c r="D274" t="s">
        <v>98</v>
      </c>
    </row>
    <row r="275" spans="1:5">
      <c r="A275" s="13" t="s">
        <v>840</v>
      </c>
      <c r="B275" s="104">
        <v>18095</v>
      </c>
      <c r="C275" s="96"/>
      <c r="D275" t="s">
        <v>98</v>
      </c>
    </row>
    <row r="276" spans="1:5">
      <c r="A276" s="13" t="s">
        <v>841</v>
      </c>
      <c r="B276" s="104">
        <v>31056</v>
      </c>
      <c r="C276" s="96"/>
      <c r="D276" t="s">
        <v>98</v>
      </c>
    </row>
    <row r="277" spans="1:5">
      <c r="A277" s="13" t="s">
        <v>842</v>
      </c>
      <c r="B277" s="104">
        <v>27512</v>
      </c>
      <c r="C277" s="96"/>
      <c r="D277" t="s">
        <v>98</v>
      </c>
    </row>
    <row r="278" spans="1:5">
      <c r="A278" s="13" t="s">
        <v>843</v>
      </c>
      <c r="B278" s="96"/>
      <c r="C278" s="104">
        <v>2000</v>
      </c>
      <c r="D278" t="s">
        <v>98</v>
      </c>
    </row>
    <row r="279" spans="1:5">
      <c r="A279" s="13" t="s">
        <v>1241</v>
      </c>
      <c r="B279" s="104">
        <v>23403</v>
      </c>
      <c r="C279" s="96"/>
      <c r="D279" t="s">
        <v>98</v>
      </c>
    </row>
    <row r="280" spans="1:5">
      <c r="A280" s="13" t="s">
        <v>844</v>
      </c>
      <c r="B280" s="96"/>
      <c r="C280" s="104">
        <v>2100</v>
      </c>
      <c r="D280" t="s">
        <v>98</v>
      </c>
    </row>
    <row r="281" spans="1:5">
      <c r="A281" s="13" t="s">
        <v>845</v>
      </c>
      <c r="B281" s="96"/>
      <c r="C281" s="104">
        <v>5745</v>
      </c>
      <c r="D281" t="s">
        <v>98</v>
      </c>
    </row>
    <row r="282" spans="1:5">
      <c r="A282" s="13" t="s">
        <v>1738</v>
      </c>
      <c r="B282" s="108"/>
      <c r="C282" s="93">
        <v>9543</v>
      </c>
    </row>
    <row r="283" spans="1:5" ht="15">
      <c r="A283" s="13" t="s">
        <v>846</v>
      </c>
      <c r="B283" s="104">
        <v>3188</v>
      </c>
      <c r="C283" s="96"/>
      <c r="D283" s="6" t="s">
        <v>1325</v>
      </c>
      <c r="E283" s="3"/>
    </row>
    <row r="284" spans="1:5">
      <c r="A284" s="13" t="s">
        <v>1234</v>
      </c>
      <c r="B284" s="93">
        <v>275719.75</v>
      </c>
      <c r="C284" s="108"/>
    </row>
    <row r="285" spans="1:5">
      <c r="A285" s="13" t="s">
        <v>849</v>
      </c>
      <c r="B285" s="96"/>
      <c r="C285" s="104">
        <v>1000</v>
      </c>
      <c r="D285" t="s">
        <v>1327</v>
      </c>
    </row>
    <row r="286" spans="1:5">
      <c r="A286" s="13" t="s">
        <v>850</v>
      </c>
      <c r="B286" s="104">
        <v>2950</v>
      </c>
      <c r="C286" s="96"/>
      <c r="D286" t="s">
        <v>1327</v>
      </c>
    </row>
    <row r="287" spans="1:5">
      <c r="A287" s="13" t="s">
        <v>1739</v>
      </c>
      <c r="B287" s="104">
        <v>90989</v>
      </c>
      <c r="C287" s="96"/>
      <c r="D287" t="s">
        <v>1327</v>
      </c>
    </row>
    <row r="288" spans="1:5">
      <c r="A288" s="13" t="s">
        <v>1740</v>
      </c>
      <c r="B288" s="104">
        <v>4169</v>
      </c>
      <c r="C288" s="96"/>
      <c r="D288" t="s">
        <v>1327</v>
      </c>
    </row>
    <row r="289" spans="1:7">
      <c r="A289" s="13" t="s">
        <v>854</v>
      </c>
      <c r="B289" s="96"/>
      <c r="C289" s="104">
        <v>2494</v>
      </c>
      <c r="D289" t="s">
        <v>1327</v>
      </c>
    </row>
    <row r="290" spans="1:7">
      <c r="A290" s="13" t="s">
        <v>1521</v>
      </c>
      <c r="B290" s="96"/>
      <c r="C290" s="104">
        <v>1577</v>
      </c>
      <c r="D290" t="s">
        <v>1327</v>
      </c>
    </row>
    <row r="291" spans="1:7">
      <c r="A291" s="13" t="s">
        <v>1741</v>
      </c>
      <c r="B291" s="104">
        <v>77335</v>
      </c>
      <c r="C291" s="96"/>
      <c r="D291" t="s">
        <v>1327</v>
      </c>
    </row>
    <row r="292" spans="1:7">
      <c r="A292" s="13" t="s">
        <v>1742</v>
      </c>
      <c r="B292" s="104">
        <v>57133</v>
      </c>
      <c r="C292" s="96"/>
      <c r="D292" t="s">
        <v>1327</v>
      </c>
    </row>
    <row r="293" spans="1:7">
      <c r="A293" s="13" t="s">
        <v>1743</v>
      </c>
      <c r="B293" s="104">
        <v>130623</v>
      </c>
      <c r="C293" s="96"/>
      <c r="D293" t="s">
        <v>1327</v>
      </c>
    </row>
    <row r="294" spans="1:7">
      <c r="A294" s="13" t="s">
        <v>1744</v>
      </c>
      <c r="B294" s="104">
        <v>595616</v>
      </c>
      <c r="C294" s="96"/>
      <c r="D294" t="s">
        <v>1327</v>
      </c>
    </row>
    <row r="295" spans="1:7">
      <c r="A295" s="13" t="s">
        <v>855</v>
      </c>
      <c r="B295" s="104">
        <v>1184066.7</v>
      </c>
      <c r="C295" s="96"/>
      <c r="D295" t="s">
        <v>1327</v>
      </c>
    </row>
    <row r="296" spans="1:7">
      <c r="A296" s="13" t="s">
        <v>1239</v>
      </c>
      <c r="B296" s="104">
        <v>1500</v>
      </c>
      <c r="C296" s="96"/>
      <c r="D296" t="s">
        <v>1327</v>
      </c>
    </row>
    <row r="297" spans="1:7">
      <c r="A297" s="13" t="s">
        <v>256</v>
      </c>
      <c r="B297" s="104">
        <v>202845586.44999999</v>
      </c>
      <c r="C297" s="96"/>
      <c r="D297" t="s">
        <v>1327</v>
      </c>
    </row>
    <row r="298" spans="1:7">
      <c r="A298" s="13" t="s">
        <v>859</v>
      </c>
      <c r="B298" s="104">
        <v>10812</v>
      </c>
      <c r="C298" s="96"/>
      <c r="D298" t="s">
        <v>1327</v>
      </c>
    </row>
    <row r="299" spans="1:7">
      <c r="A299" s="13" t="s">
        <v>860</v>
      </c>
      <c r="B299" s="104">
        <v>6042</v>
      </c>
      <c r="C299" s="96"/>
      <c r="D299" t="s">
        <v>1327</v>
      </c>
    </row>
    <row r="300" spans="1:7">
      <c r="A300" s="13" t="s">
        <v>1745</v>
      </c>
      <c r="B300" s="96"/>
      <c r="C300" s="104">
        <v>7009</v>
      </c>
      <c r="D300" t="s">
        <v>1327</v>
      </c>
    </row>
    <row r="301" spans="1:7">
      <c r="A301" s="13" t="s">
        <v>861</v>
      </c>
      <c r="B301" s="96"/>
      <c r="C301" s="104">
        <v>6589</v>
      </c>
      <c r="D301" t="s">
        <v>1327</v>
      </c>
    </row>
    <row r="302" spans="1:7">
      <c r="A302" s="13" t="s">
        <v>1238</v>
      </c>
      <c r="B302" s="104">
        <v>32710</v>
      </c>
      <c r="C302" s="96"/>
      <c r="D302" t="s">
        <v>1327</v>
      </c>
    </row>
    <row r="303" spans="1:7">
      <c r="A303" s="13" t="s">
        <v>1235</v>
      </c>
      <c r="B303" s="96"/>
      <c r="C303" s="104">
        <v>2987</v>
      </c>
      <c r="D303" t="s">
        <v>1327</v>
      </c>
    </row>
    <row r="304" spans="1:7">
      <c r="A304" s="13" t="s">
        <v>864</v>
      </c>
      <c r="B304" s="104">
        <v>19090</v>
      </c>
      <c r="C304" s="96"/>
      <c r="D304" s="3342" t="s">
        <v>1323</v>
      </c>
      <c r="E304" s="3343"/>
      <c r="F304" s="3343"/>
      <c r="G304" s="3343"/>
    </row>
    <row r="305" spans="1:7">
      <c r="A305" s="13" t="s">
        <v>865</v>
      </c>
      <c r="B305" s="93">
        <v>6188</v>
      </c>
      <c r="C305" s="108"/>
      <c r="G305" s="206">
        <f>SUM(B306:B368)</f>
        <v>289397097.93000001</v>
      </c>
    </row>
    <row r="306" spans="1:7" ht="15">
      <c r="A306" s="13" t="s">
        <v>866</v>
      </c>
      <c r="B306" s="104">
        <v>6576</v>
      </c>
      <c r="C306" s="96"/>
      <c r="D306" s="6" t="s">
        <v>1326</v>
      </c>
      <c r="E306" s="3"/>
      <c r="F306" s="3"/>
    </row>
    <row r="307" spans="1:7" ht="15">
      <c r="A307" s="13" t="s">
        <v>867</v>
      </c>
      <c r="B307" s="104">
        <v>486</v>
      </c>
      <c r="C307" s="96"/>
      <c r="D307" s="6" t="s">
        <v>1326</v>
      </c>
      <c r="E307" s="3"/>
    </row>
    <row r="308" spans="1:7" ht="15">
      <c r="A308" s="13" t="s">
        <v>868</v>
      </c>
      <c r="B308" s="104">
        <v>2101</v>
      </c>
      <c r="C308" s="96"/>
      <c r="D308" s="6" t="s">
        <v>1326</v>
      </c>
      <c r="E308" s="3"/>
    </row>
    <row r="309" spans="1:7" ht="15">
      <c r="A309" s="13" t="s">
        <v>869</v>
      </c>
      <c r="B309" s="96"/>
      <c r="C309" s="104">
        <v>300</v>
      </c>
      <c r="D309" s="6" t="s">
        <v>1326</v>
      </c>
      <c r="E309" s="3"/>
    </row>
    <row r="310" spans="1:7" ht="15">
      <c r="A310" s="232" t="s">
        <v>101</v>
      </c>
      <c r="B310" s="105">
        <v>299414.5</v>
      </c>
      <c r="C310" s="239">
        <v>14271.5</v>
      </c>
      <c r="D310" s="6" t="s">
        <v>1326</v>
      </c>
      <c r="E310" s="3"/>
    </row>
    <row r="311" spans="1:7" ht="15">
      <c r="A311" s="13" t="s">
        <v>870</v>
      </c>
      <c r="B311" s="96"/>
      <c r="C311" s="104">
        <v>4882.5</v>
      </c>
      <c r="D311" s="6" t="s">
        <v>1326</v>
      </c>
      <c r="E311" s="3"/>
    </row>
    <row r="312" spans="1:7" ht="15">
      <c r="A312" s="13" t="s">
        <v>871</v>
      </c>
      <c r="B312" s="104">
        <v>2612.5</v>
      </c>
      <c r="C312" s="96"/>
      <c r="D312" s="6" t="s">
        <v>1326</v>
      </c>
      <c r="E312" s="3"/>
    </row>
    <row r="313" spans="1:7" ht="15">
      <c r="A313" s="13" t="s">
        <v>872</v>
      </c>
      <c r="B313" s="96"/>
      <c r="C313" s="104">
        <v>1768</v>
      </c>
      <c r="D313" s="6" t="s">
        <v>1326</v>
      </c>
      <c r="E313" s="3"/>
    </row>
    <row r="314" spans="1:7" ht="15">
      <c r="A314" s="13" t="s">
        <v>873</v>
      </c>
      <c r="B314" s="104">
        <v>3936</v>
      </c>
      <c r="C314" s="96"/>
      <c r="D314" s="6" t="s">
        <v>1326</v>
      </c>
      <c r="E314" s="3"/>
    </row>
    <row r="315" spans="1:7" ht="15">
      <c r="A315" s="13" t="s">
        <v>874</v>
      </c>
      <c r="B315" s="104">
        <v>1206.2</v>
      </c>
      <c r="C315" s="96"/>
      <c r="D315" s="6" t="s">
        <v>1326</v>
      </c>
      <c r="E315" s="3"/>
    </row>
    <row r="316" spans="1:7" ht="15">
      <c r="A316" s="13" t="s">
        <v>875</v>
      </c>
      <c r="B316" s="104">
        <v>908</v>
      </c>
      <c r="C316" s="96"/>
      <c r="D316" s="6" t="s">
        <v>1326</v>
      </c>
      <c r="E316" s="3"/>
    </row>
    <row r="317" spans="1:7" ht="15">
      <c r="A317" s="13" t="s">
        <v>1746</v>
      </c>
      <c r="B317" s="104">
        <v>2000</v>
      </c>
      <c r="C317" s="96"/>
      <c r="D317" s="6" t="s">
        <v>1326</v>
      </c>
      <c r="E317" s="3"/>
    </row>
    <row r="318" spans="1:7" ht="15">
      <c r="A318" s="13" t="s">
        <v>1747</v>
      </c>
      <c r="B318" s="104">
        <v>20105</v>
      </c>
      <c r="C318" s="96"/>
      <c r="D318" s="6" t="s">
        <v>1326</v>
      </c>
      <c r="E318" s="3"/>
    </row>
    <row r="319" spans="1:7" ht="15">
      <c r="A319" s="13" t="s">
        <v>876</v>
      </c>
      <c r="B319" s="96"/>
      <c r="C319" s="104">
        <v>3702</v>
      </c>
      <c r="D319" s="6" t="s">
        <v>1326</v>
      </c>
      <c r="E319" s="3"/>
    </row>
    <row r="320" spans="1:7" ht="15">
      <c r="A320" s="13" t="s">
        <v>877</v>
      </c>
      <c r="B320" s="104">
        <v>167004</v>
      </c>
      <c r="C320" s="96"/>
      <c r="D320" s="6" t="s">
        <v>1326</v>
      </c>
      <c r="E320" s="3"/>
    </row>
    <row r="321" spans="1:5" ht="15">
      <c r="A321" s="13" t="s">
        <v>879</v>
      </c>
      <c r="B321" s="104">
        <v>25655</v>
      </c>
      <c r="C321" s="96"/>
      <c r="D321" s="6" t="s">
        <v>1326</v>
      </c>
      <c r="E321" s="3"/>
    </row>
    <row r="322" spans="1:5" ht="15">
      <c r="A322" s="13" t="s">
        <v>1532</v>
      </c>
      <c r="B322" s="104">
        <v>299</v>
      </c>
      <c r="C322" s="96"/>
      <c r="D322" s="6" t="s">
        <v>1326</v>
      </c>
      <c r="E322" s="3"/>
    </row>
    <row r="323" spans="1:5" ht="15">
      <c r="A323" s="13" t="s">
        <v>880</v>
      </c>
      <c r="B323" s="104">
        <v>2417.5</v>
      </c>
      <c r="C323" s="96"/>
      <c r="D323" s="6" t="s">
        <v>1326</v>
      </c>
      <c r="E323" s="3"/>
    </row>
    <row r="324" spans="1:5" ht="15">
      <c r="A324" s="13" t="s">
        <v>1533</v>
      </c>
      <c r="B324" s="104">
        <v>35723</v>
      </c>
      <c r="C324" s="96"/>
      <c r="D324" s="6" t="s">
        <v>1326</v>
      </c>
      <c r="E324" s="3"/>
    </row>
    <row r="325" spans="1:5" ht="15">
      <c r="A325" s="13" t="s">
        <v>1534</v>
      </c>
      <c r="B325" s="104">
        <v>4415</v>
      </c>
      <c r="C325" s="96"/>
      <c r="D325" s="6" t="s">
        <v>1326</v>
      </c>
      <c r="E325" s="3"/>
    </row>
    <row r="326" spans="1:5" ht="15">
      <c r="A326" s="13" t="s">
        <v>883</v>
      </c>
      <c r="B326" s="96"/>
      <c r="C326" s="104">
        <v>3919</v>
      </c>
      <c r="D326" s="6" t="s">
        <v>1326</v>
      </c>
      <c r="E326" s="3"/>
    </row>
    <row r="327" spans="1:5" ht="15">
      <c r="A327" s="13" t="s">
        <v>884</v>
      </c>
      <c r="B327" s="104">
        <v>1461.3</v>
      </c>
      <c r="C327" s="96"/>
      <c r="D327" s="6" t="s">
        <v>1326</v>
      </c>
      <c r="E327" s="3"/>
    </row>
    <row r="328" spans="1:5" ht="15">
      <c r="A328" s="13" t="s">
        <v>885</v>
      </c>
      <c r="B328" s="104">
        <v>6634</v>
      </c>
      <c r="C328" s="96"/>
      <c r="D328" s="6" t="s">
        <v>1326</v>
      </c>
      <c r="E328" s="3"/>
    </row>
    <row r="329" spans="1:5" ht="15">
      <c r="A329" s="13" t="s">
        <v>1748</v>
      </c>
      <c r="B329" s="104">
        <v>18383</v>
      </c>
      <c r="C329" s="96"/>
      <c r="D329" s="6" t="s">
        <v>1326</v>
      </c>
      <c r="E329" s="3"/>
    </row>
    <row r="330" spans="1:5" ht="15">
      <c r="A330" s="13" t="s">
        <v>1749</v>
      </c>
      <c r="B330" s="104">
        <v>3000</v>
      </c>
      <c r="C330" s="96"/>
      <c r="D330" s="6" t="s">
        <v>1326</v>
      </c>
      <c r="E330" s="3"/>
    </row>
    <row r="331" spans="1:5" ht="15">
      <c r="A331" s="13" t="s">
        <v>1093</v>
      </c>
      <c r="B331" s="104">
        <v>1000</v>
      </c>
      <c r="C331" s="96"/>
      <c r="D331" s="6" t="s">
        <v>1326</v>
      </c>
      <c r="E331" s="3"/>
    </row>
    <row r="332" spans="1:5" ht="15">
      <c r="A332" s="13" t="s">
        <v>887</v>
      </c>
      <c r="B332" s="104">
        <v>500</v>
      </c>
      <c r="C332" s="96"/>
      <c r="D332" s="6" t="s">
        <v>1326</v>
      </c>
      <c r="E332" s="3"/>
    </row>
    <row r="333" spans="1:5" ht="15">
      <c r="A333" s="13" t="s">
        <v>888</v>
      </c>
      <c r="B333" s="104">
        <v>750</v>
      </c>
      <c r="C333" s="96"/>
      <c r="D333" s="6" t="s">
        <v>1326</v>
      </c>
      <c r="E333" s="3"/>
    </row>
    <row r="334" spans="1:5" ht="15">
      <c r="A334" s="13" t="s">
        <v>1750</v>
      </c>
      <c r="B334" s="104">
        <v>1405</v>
      </c>
      <c r="C334" s="96"/>
      <c r="D334" s="6" t="s">
        <v>1326</v>
      </c>
      <c r="E334" s="3"/>
    </row>
    <row r="335" spans="1:5" ht="15">
      <c r="A335" s="232" t="s">
        <v>102</v>
      </c>
      <c r="B335" s="109"/>
      <c r="C335" s="239">
        <v>254403997.75</v>
      </c>
      <c r="D335" s="6" t="s">
        <v>1326</v>
      </c>
      <c r="E335" s="3"/>
    </row>
    <row r="336" spans="1:5" ht="15">
      <c r="A336" s="13" t="s">
        <v>103</v>
      </c>
      <c r="B336" s="96"/>
      <c r="C336" s="104">
        <v>254403997.75</v>
      </c>
      <c r="D336" s="6" t="s">
        <v>1326</v>
      </c>
      <c r="E336" s="3"/>
    </row>
    <row r="337" spans="1:6" ht="15">
      <c r="A337" s="232" t="s">
        <v>104</v>
      </c>
      <c r="B337" s="105">
        <v>52314115.759999998</v>
      </c>
      <c r="C337" s="241"/>
      <c r="D337" s="6" t="s">
        <v>1326</v>
      </c>
      <c r="E337" s="3"/>
    </row>
    <row r="338" spans="1:6" ht="15">
      <c r="A338" s="13" t="s">
        <v>105</v>
      </c>
      <c r="B338" s="104">
        <v>1484147</v>
      </c>
      <c r="C338" s="96"/>
      <c r="D338" s="6" t="s">
        <v>1326</v>
      </c>
      <c r="E338" s="3"/>
    </row>
    <row r="339" spans="1:6" ht="15">
      <c r="A339" s="13" t="s">
        <v>115</v>
      </c>
      <c r="B339" s="104">
        <v>295500</v>
      </c>
      <c r="C339" s="96"/>
      <c r="D339" s="6" t="s">
        <v>1326</v>
      </c>
      <c r="E339" s="3"/>
    </row>
    <row r="340" spans="1:6" ht="15">
      <c r="A340" s="13" t="s">
        <v>116</v>
      </c>
      <c r="B340" s="104">
        <v>2252547</v>
      </c>
      <c r="C340" s="96"/>
      <c r="D340" s="6" t="s">
        <v>1326</v>
      </c>
      <c r="E340" s="3"/>
    </row>
    <row r="341" spans="1:6" ht="15">
      <c r="A341" s="13" t="s">
        <v>106</v>
      </c>
      <c r="B341" s="104">
        <v>890758</v>
      </c>
      <c r="C341" s="96"/>
      <c r="D341" s="6" t="s">
        <v>1326</v>
      </c>
      <c r="E341" s="3"/>
    </row>
    <row r="342" spans="1:6" ht="15">
      <c r="A342" s="13" t="s">
        <v>107</v>
      </c>
      <c r="B342" s="104">
        <v>1206779</v>
      </c>
      <c r="C342" s="96"/>
      <c r="D342" s="6" t="s">
        <v>1326</v>
      </c>
      <c r="E342" s="3"/>
    </row>
    <row r="343" spans="1:6" ht="15">
      <c r="A343" s="13" t="s">
        <v>1232</v>
      </c>
      <c r="B343" s="104">
        <v>161883</v>
      </c>
      <c r="C343" s="96"/>
      <c r="D343" s="6" t="s">
        <v>1326</v>
      </c>
      <c r="E343" s="3"/>
    </row>
    <row r="344" spans="1:6" ht="15">
      <c r="A344" s="13" t="s">
        <v>108</v>
      </c>
      <c r="B344" s="104">
        <v>259079</v>
      </c>
      <c r="C344" s="96"/>
      <c r="D344" s="6" t="s">
        <v>1326</v>
      </c>
      <c r="E344" s="3"/>
      <c r="F344" s="223">
        <f>B344-C344</f>
        <v>259079</v>
      </c>
    </row>
    <row r="345" spans="1:6" ht="15">
      <c r="A345" s="13" t="s">
        <v>119</v>
      </c>
      <c r="B345" s="104">
        <v>72986</v>
      </c>
      <c r="C345" s="96"/>
      <c r="D345" s="6" t="s">
        <v>1326</v>
      </c>
      <c r="E345" s="3"/>
    </row>
    <row r="346" spans="1:6" ht="15">
      <c r="A346" s="13" t="s">
        <v>120</v>
      </c>
      <c r="B346" s="104">
        <v>1166224</v>
      </c>
      <c r="C346" s="96"/>
      <c r="D346" s="6" t="s">
        <v>1326</v>
      </c>
      <c r="E346" s="3"/>
    </row>
    <row r="347" spans="1:6" ht="15">
      <c r="A347" s="13" t="s">
        <v>109</v>
      </c>
      <c r="B347" s="104">
        <v>1624806</v>
      </c>
      <c r="C347" s="96"/>
      <c r="D347" s="6" t="s">
        <v>1326</v>
      </c>
      <c r="E347" s="3"/>
    </row>
    <row r="348" spans="1:6" ht="15">
      <c r="A348" s="13" t="s">
        <v>1231</v>
      </c>
      <c r="B348" s="104">
        <v>4194822.76</v>
      </c>
      <c r="C348" s="96"/>
      <c r="D348" s="6" t="s">
        <v>1326</v>
      </c>
      <c r="E348" s="3"/>
    </row>
    <row r="349" spans="1:6" ht="15">
      <c r="A349" s="13" t="s">
        <v>1230</v>
      </c>
      <c r="B349" s="104">
        <v>2564850</v>
      </c>
      <c r="C349" s="96"/>
      <c r="D349" s="6" t="s">
        <v>1326</v>
      </c>
      <c r="E349" s="3"/>
    </row>
    <row r="350" spans="1:6" ht="15">
      <c r="A350" s="13" t="s">
        <v>110</v>
      </c>
      <c r="B350" s="104">
        <v>9064455</v>
      </c>
      <c r="C350" s="96"/>
      <c r="D350" s="6" t="s">
        <v>1326</v>
      </c>
      <c r="E350" s="3"/>
    </row>
    <row r="351" spans="1:6" ht="15">
      <c r="A351" s="13" t="s">
        <v>111</v>
      </c>
      <c r="B351" s="104">
        <v>78500</v>
      </c>
      <c r="C351" s="96"/>
      <c r="D351" s="6" t="s">
        <v>1326</v>
      </c>
      <c r="E351" s="3"/>
    </row>
    <row r="352" spans="1:6" ht="15">
      <c r="A352" s="13" t="s">
        <v>1229</v>
      </c>
      <c r="B352" s="104">
        <v>40758</v>
      </c>
      <c r="C352" s="96"/>
      <c r="D352" s="6" t="s">
        <v>1326</v>
      </c>
      <c r="E352" s="3"/>
    </row>
    <row r="353" spans="1:5" ht="15">
      <c r="A353" s="13" t="s">
        <v>1228</v>
      </c>
      <c r="B353" s="104">
        <v>2583266</v>
      </c>
      <c r="C353" s="96"/>
      <c r="D353" s="6" t="s">
        <v>1326</v>
      </c>
      <c r="E353" s="3"/>
    </row>
    <row r="354" spans="1:5" ht="15">
      <c r="A354" s="13" t="s">
        <v>1227</v>
      </c>
      <c r="B354" s="104">
        <v>1242027</v>
      </c>
      <c r="C354" s="96"/>
      <c r="D354" s="6" t="s">
        <v>1326</v>
      </c>
      <c r="E354" s="3"/>
    </row>
    <row r="355" spans="1:5" ht="15">
      <c r="A355" s="13" t="s">
        <v>121</v>
      </c>
      <c r="B355" s="104">
        <v>4974139</v>
      </c>
      <c r="C355" s="96"/>
      <c r="D355" s="6" t="s">
        <v>1326</v>
      </c>
      <c r="E355" s="3"/>
    </row>
    <row r="356" spans="1:5" ht="15">
      <c r="A356" s="13" t="s">
        <v>1226</v>
      </c>
      <c r="B356" s="104">
        <v>168623</v>
      </c>
      <c r="C356" s="96"/>
      <c r="D356" s="6" t="s">
        <v>1326</v>
      </c>
      <c r="E356" s="3"/>
    </row>
    <row r="357" spans="1:5" ht="15">
      <c r="A357" s="16" t="s">
        <v>112</v>
      </c>
      <c r="B357" s="104">
        <v>2979635</v>
      </c>
      <c r="C357" s="96"/>
      <c r="D357" s="6" t="s">
        <v>1326</v>
      </c>
      <c r="E357" s="3"/>
    </row>
    <row r="358" spans="1:5" ht="15">
      <c r="A358" s="13" t="s">
        <v>113</v>
      </c>
      <c r="B358" s="104">
        <v>1460356</v>
      </c>
      <c r="C358" s="96"/>
      <c r="D358" s="6" t="s">
        <v>1326</v>
      </c>
      <c r="E358" s="3"/>
    </row>
    <row r="359" spans="1:5" ht="15">
      <c r="A359" s="16" t="s">
        <v>122</v>
      </c>
      <c r="B359" s="104">
        <v>2884379</v>
      </c>
      <c r="C359" s="96"/>
      <c r="D359" s="6" t="s">
        <v>1326</v>
      </c>
      <c r="E359" s="3"/>
    </row>
    <row r="360" spans="1:5" ht="15">
      <c r="A360" s="13" t="s">
        <v>123</v>
      </c>
      <c r="B360" s="104">
        <v>7497022</v>
      </c>
      <c r="C360" s="96"/>
      <c r="D360" s="6" t="s">
        <v>1326</v>
      </c>
      <c r="E360" s="3"/>
    </row>
    <row r="361" spans="1:5" ht="15">
      <c r="A361" s="13" t="s">
        <v>124</v>
      </c>
      <c r="B361" s="104">
        <v>2975574</v>
      </c>
      <c r="C361" s="96"/>
      <c r="D361" s="6" t="s">
        <v>1326</v>
      </c>
      <c r="E361" s="3"/>
    </row>
    <row r="362" spans="1:5" ht="15">
      <c r="A362" s="13" t="s">
        <v>1535</v>
      </c>
      <c r="B362" s="104">
        <v>191000</v>
      </c>
      <c r="C362" s="96"/>
      <c r="D362" s="6" t="s">
        <v>1326</v>
      </c>
      <c r="E362" s="3"/>
    </row>
    <row r="363" spans="1:5" ht="15">
      <c r="A363" s="232" t="s">
        <v>160</v>
      </c>
      <c r="B363" s="105">
        <v>100212430.41</v>
      </c>
      <c r="C363" s="239">
        <v>2560</v>
      </c>
      <c r="D363" s="6" t="s">
        <v>1326</v>
      </c>
      <c r="E363" s="3"/>
    </row>
    <row r="364" spans="1:5" ht="15">
      <c r="A364" s="13" t="s">
        <v>161</v>
      </c>
      <c r="B364" s="107">
        <v>70374525</v>
      </c>
      <c r="C364" s="242"/>
      <c r="D364" s="6" t="s">
        <v>1326</v>
      </c>
      <c r="E364" s="3"/>
    </row>
    <row r="365" spans="1:5" ht="15">
      <c r="A365" s="15" t="s">
        <v>1317</v>
      </c>
      <c r="B365" s="104">
        <v>6385758</v>
      </c>
      <c r="C365" s="96"/>
      <c r="D365" s="6" t="s">
        <v>1326</v>
      </c>
      <c r="E365" s="3"/>
    </row>
    <row r="366" spans="1:5" ht="15">
      <c r="A366" s="15" t="s">
        <v>173</v>
      </c>
      <c r="B366" s="104">
        <v>892282</v>
      </c>
      <c r="C366" s="96"/>
      <c r="D366" s="6" t="s">
        <v>1326</v>
      </c>
      <c r="E366" s="3"/>
    </row>
    <row r="367" spans="1:5" ht="15">
      <c r="A367" s="15" t="s">
        <v>174</v>
      </c>
      <c r="B367" s="104">
        <v>6070879</v>
      </c>
      <c r="C367" s="96"/>
      <c r="D367" s="6" t="s">
        <v>1326</v>
      </c>
      <c r="E367" s="3"/>
    </row>
    <row r="368" spans="1:5" ht="15">
      <c r="A368" s="15" t="s">
        <v>1318</v>
      </c>
      <c r="B368" s="104">
        <v>225000</v>
      </c>
      <c r="C368" s="96"/>
      <c r="D368" s="6" t="s">
        <v>1326</v>
      </c>
      <c r="E368" s="3"/>
    </row>
    <row r="369" spans="1:9">
      <c r="A369" s="17" t="s">
        <v>1319</v>
      </c>
      <c r="B369" s="105">
        <v>708541</v>
      </c>
      <c r="C369" s="109"/>
      <c r="G369" s="98">
        <f>SUM(B370:B393)</f>
        <v>137100466.86000001</v>
      </c>
    </row>
    <row r="370" spans="1:9" ht="15">
      <c r="A370" s="17" t="s">
        <v>1320</v>
      </c>
      <c r="B370" s="104">
        <v>658141</v>
      </c>
      <c r="C370" s="96"/>
      <c r="D370" s="6" t="s">
        <v>1360</v>
      </c>
      <c r="E370" s="3"/>
      <c r="F370" s="3"/>
    </row>
    <row r="371" spans="1:9" ht="15">
      <c r="A371" s="17" t="s">
        <v>892</v>
      </c>
      <c r="B371" s="104">
        <v>298706</v>
      </c>
      <c r="C371" s="96"/>
      <c r="D371" s="6" t="s">
        <v>1360</v>
      </c>
      <c r="E371" s="6"/>
      <c r="F371" s="3"/>
      <c r="I371" s="98">
        <f>+B369-C369</f>
        <v>708541</v>
      </c>
    </row>
    <row r="372" spans="1:9" ht="15">
      <c r="A372" s="15" t="s">
        <v>175</v>
      </c>
      <c r="B372" s="104">
        <v>4111827</v>
      </c>
      <c r="C372" s="96"/>
      <c r="D372" s="6" t="s">
        <v>1360</v>
      </c>
      <c r="E372" s="6"/>
      <c r="F372" s="3"/>
    </row>
    <row r="373" spans="1:9" ht="15">
      <c r="A373" s="17" t="s">
        <v>1321</v>
      </c>
      <c r="B373" s="104">
        <v>25231167</v>
      </c>
      <c r="C373" s="96"/>
      <c r="D373" s="6" t="s">
        <v>1360</v>
      </c>
      <c r="E373" s="6"/>
      <c r="F373" s="3"/>
    </row>
    <row r="374" spans="1:9" ht="15">
      <c r="A374" s="15" t="s">
        <v>1097</v>
      </c>
      <c r="B374" s="104">
        <v>17825</v>
      </c>
      <c r="C374" s="96"/>
      <c r="D374" s="6" t="s">
        <v>1360</v>
      </c>
      <c r="E374" s="6"/>
      <c r="F374" s="3"/>
    </row>
    <row r="375" spans="1:9" ht="15">
      <c r="A375" s="17" t="s">
        <v>163</v>
      </c>
      <c r="B375" s="104">
        <v>21600</v>
      </c>
      <c r="C375" s="96"/>
      <c r="D375" s="6" t="s">
        <v>1360</v>
      </c>
      <c r="E375" s="6"/>
      <c r="F375" s="3"/>
    </row>
    <row r="376" spans="1:9" ht="15">
      <c r="A376" s="17" t="s">
        <v>164</v>
      </c>
      <c r="B376" s="104">
        <v>24495</v>
      </c>
      <c r="C376" s="96"/>
      <c r="D376" s="6" t="s">
        <v>1360</v>
      </c>
      <c r="E376" s="6"/>
      <c r="F376" s="3"/>
    </row>
    <row r="377" spans="1:9" ht="15">
      <c r="A377" s="17" t="s">
        <v>176</v>
      </c>
      <c r="B377" s="104">
        <v>3712435</v>
      </c>
      <c r="C377" s="96"/>
      <c r="D377" s="6" t="s">
        <v>1360</v>
      </c>
      <c r="E377" s="6"/>
      <c r="F377" s="3"/>
    </row>
    <row r="378" spans="1:9" ht="15">
      <c r="A378" s="17" t="s">
        <v>177</v>
      </c>
      <c r="B378" s="104">
        <v>3384379</v>
      </c>
      <c r="C378" s="96"/>
      <c r="D378" s="6" t="s">
        <v>1360</v>
      </c>
      <c r="E378" s="6"/>
      <c r="F378" s="3"/>
    </row>
    <row r="379" spans="1:9" ht="15">
      <c r="A379" s="17" t="s">
        <v>1322</v>
      </c>
      <c r="B379" s="104">
        <v>1167309</v>
      </c>
      <c r="C379" s="96"/>
      <c r="D379" s="6" t="s">
        <v>1360</v>
      </c>
      <c r="E379" s="6"/>
      <c r="F379" s="3"/>
    </row>
    <row r="380" spans="1:9" ht="15">
      <c r="A380" s="17" t="s">
        <v>165</v>
      </c>
      <c r="B380" s="104">
        <v>26160</v>
      </c>
      <c r="C380" s="96"/>
      <c r="D380" s="6" t="s">
        <v>1360</v>
      </c>
      <c r="E380" s="6"/>
      <c r="F380" s="3"/>
    </row>
    <row r="381" spans="1:9" ht="15">
      <c r="A381" s="15" t="s">
        <v>167</v>
      </c>
      <c r="B381" s="104">
        <v>39213</v>
      </c>
      <c r="C381" s="96"/>
      <c r="D381" s="6" t="s">
        <v>1360</v>
      </c>
      <c r="E381" s="6"/>
      <c r="F381" s="3"/>
    </row>
    <row r="382" spans="1:9" ht="15">
      <c r="A382" s="15" t="s">
        <v>168</v>
      </c>
      <c r="B382" s="104">
        <v>453724</v>
      </c>
      <c r="C382" s="96"/>
      <c r="D382" s="6" t="s">
        <v>1360</v>
      </c>
      <c r="E382" s="6"/>
      <c r="F382" s="3"/>
    </row>
    <row r="383" spans="1:9" ht="15">
      <c r="A383" s="15" t="s">
        <v>169</v>
      </c>
      <c r="B383" s="104">
        <v>9350337</v>
      </c>
      <c r="C383" s="96"/>
      <c r="D383" s="6" t="s">
        <v>1360</v>
      </c>
      <c r="E383" s="6"/>
      <c r="F383" s="3"/>
    </row>
    <row r="384" spans="1:9" ht="15">
      <c r="A384" s="15" t="s">
        <v>170</v>
      </c>
      <c r="B384" s="104">
        <v>7594747</v>
      </c>
      <c r="C384" s="96"/>
      <c r="D384" s="6" t="s">
        <v>1360</v>
      </c>
      <c r="E384" s="6"/>
      <c r="F384" s="3"/>
    </row>
    <row r="385" spans="1:8" ht="15">
      <c r="A385" s="13" t="s">
        <v>178</v>
      </c>
      <c r="B385" s="104">
        <v>29784289.41</v>
      </c>
      <c r="C385" s="104">
        <v>2560</v>
      </c>
      <c r="D385" s="6" t="s">
        <v>1360</v>
      </c>
      <c r="E385" s="6"/>
      <c r="F385" s="3"/>
    </row>
    <row r="386" spans="1:8" ht="15">
      <c r="A386" s="13" t="s">
        <v>1539</v>
      </c>
      <c r="B386" s="104">
        <v>53616</v>
      </c>
      <c r="C386" s="96"/>
      <c r="D386" s="6" t="s">
        <v>1360</v>
      </c>
      <c r="E386" s="6"/>
      <c r="F386" s="3"/>
    </row>
    <row r="387" spans="1:8" ht="15">
      <c r="A387" s="232" t="s">
        <v>189</v>
      </c>
      <c r="B387" s="109"/>
      <c r="C387" s="239">
        <v>5297763</v>
      </c>
      <c r="D387" s="6" t="s">
        <v>1360</v>
      </c>
      <c r="E387" s="6"/>
      <c r="F387" s="3"/>
    </row>
    <row r="388" spans="1:8" ht="15">
      <c r="A388" s="13" t="s">
        <v>190</v>
      </c>
      <c r="B388" s="96"/>
      <c r="C388" s="104">
        <v>5050263</v>
      </c>
      <c r="D388" s="6" t="s">
        <v>1360</v>
      </c>
      <c r="E388" s="6"/>
      <c r="F388" s="3"/>
    </row>
    <row r="389" spans="1:8" ht="15">
      <c r="A389" s="13" t="s">
        <v>191</v>
      </c>
      <c r="B389" s="96"/>
      <c r="C389" s="104">
        <v>247500</v>
      </c>
      <c r="D389" s="6" t="s">
        <v>1360</v>
      </c>
      <c r="E389" s="6"/>
      <c r="F389" s="3"/>
    </row>
    <row r="390" spans="1:8" ht="15">
      <c r="A390" s="232" t="s">
        <v>192</v>
      </c>
      <c r="B390" s="105">
        <v>50708773.450000003</v>
      </c>
      <c r="C390" s="241"/>
      <c r="D390" s="6" t="s">
        <v>1360</v>
      </c>
      <c r="E390" s="6"/>
      <c r="F390" s="3"/>
    </row>
    <row r="391" spans="1:8" ht="15">
      <c r="A391" s="13" t="s">
        <v>193</v>
      </c>
      <c r="B391" s="107">
        <v>230534</v>
      </c>
      <c r="C391" s="242"/>
      <c r="D391" s="6" t="s">
        <v>1360</v>
      </c>
      <c r="E391" s="6"/>
      <c r="F391" s="3"/>
    </row>
    <row r="392" spans="1:8" ht="15">
      <c r="A392" s="17" t="s">
        <v>193</v>
      </c>
      <c r="B392" s="104">
        <v>230534</v>
      </c>
      <c r="C392" s="96"/>
      <c r="D392" s="6" t="s">
        <v>1360</v>
      </c>
      <c r="E392" s="6"/>
      <c r="F392" s="3"/>
    </row>
    <row r="393" spans="1:8" ht="15">
      <c r="A393" s="13" t="s">
        <v>194</v>
      </c>
      <c r="B393" s="93">
        <v>655</v>
      </c>
      <c r="C393" s="240"/>
      <c r="D393" s="6" t="s">
        <v>1360</v>
      </c>
      <c r="E393" s="6"/>
      <c r="F393" s="3"/>
    </row>
    <row r="394" spans="1:8" ht="15">
      <c r="A394" s="17" t="s">
        <v>194</v>
      </c>
      <c r="B394" s="105">
        <v>655</v>
      </c>
      <c r="C394" s="109"/>
      <c r="D394" s="3340" t="s">
        <v>293</v>
      </c>
      <c r="E394" s="3341"/>
      <c r="F394" s="3341"/>
      <c r="G394" s="3341"/>
      <c r="H394" s="3341"/>
    </row>
    <row r="395" spans="1:8" ht="15">
      <c r="A395" s="13" t="s">
        <v>195</v>
      </c>
      <c r="B395" s="104">
        <v>29211</v>
      </c>
      <c r="C395" s="96"/>
      <c r="D395" s="3" t="s">
        <v>1324</v>
      </c>
    </row>
    <row r="396" spans="1:8">
      <c r="A396" s="13" t="s">
        <v>210</v>
      </c>
      <c r="B396" s="93">
        <v>134238.95000000001</v>
      </c>
      <c r="C396" s="108"/>
      <c r="G396" s="98">
        <f>SUM(B397:B426)</f>
        <v>50314134.5</v>
      </c>
    </row>
    <row r="397" spans="1:8" ht="15">
      <c r="A397" s="13" t="s">
        <v>196</v>
      </c>
      <c r="B397" s="104">
        <v>4540</v>
      </c>
      <c r="C397" s="96"/>
      <c r="D397" s="6" t="s">
        <v>295</v>
      </c>
      <c r="E397" s="3"/>
      <c r="F397" s="3"/>
    </row>
    <row r="398" spans="1:8" ht="15">
      <c r="A398" s="13" t="s">
        <v>1222</v>
      </c>
      <c r="B398" s="104">
        <v>8550</v>
      </c>
      <c r="C398" s="96"/>
      <c r="D398" s="6" t="s">
        <v>295</v>
      </c>
      <c r="E398" s="3"/>
      <c r="F398" s="3"/>
    </row>
    <row r="399" spans="1:8" ht="15">
      <c r="A399" s="13" t="s">
        <v>1751</v>
      </c>
      <c r="B399" s="104">
        <v>2300</v>
      </c>
      <c r="C399" s="96"/>
      <c r="D399" s="6" t="s">
        <v>295</v>
      </c>
      <c r="E399" s="3"/>
      <c r="F399" s="3"/>
    </row>
    <row r="400" spans="1:8" ht="15">
      <c r="A400" s="13" t="s">
        <v>1752</v>
      </c>
      <c r="B400" s="104">
        <v>73647</v>
      </c>
      <c r="C400" s="96"/>
      <c r="D400" s="6" t="s">
        <v>295</v>
      </c>
      <c r="E400" s="3"/>
      <c r="F400" s="3"/>
    </row>
    <row r="401" spans="1:6" ht="15">
      <c r="A401" s="13" t="s">
        <v>893</v>
      </c>
      <c r="B401" s="104">
        <v>2509527</v>
      </c>
      <c r="C401" s="96"/>
      <c r="D401" s="6" t="s">
        <v>295</v>
      </c>
      <c r="E401" s="3"/>
      <c r="F401" s="3"/>
    </row>
    <row r="402" spans="1:6" ht="15">
      <c r="A402" s="13" t="s">
        <v>197</v>
      </c>
      <c r="B402" s="104">
        <v>3780000</v>
      </c>
      <c r="C402" s="96"/>
      <c r="D402" s="6" t="s">
        <v>295</v>
      </c>
      <c r="E402" s="3"/>
      <c r="F402" s="3"/>
    </row>
    <row r="403" spans="1:6" ht="15">
      <c r="A403" s="13" t="s">
        <v>211</v>
      </c>
      <c r="B403" s="104">
        <v>597240</v>
      </c>
      <c r="C403" s="96"/>
      <c r="D403" s="6" t="s">
        <v>295</v>
      </c>
      <c r="E403" s="3"/>
      <c r="F403" s="3"/>
    </row>
    <row r="404" spans="1:6" ht="15">
      <c r="A404" s="13" t="s">
        <v>198</v>
      </c>
      <c r="B404" s="104">
        <v>54070</v>
      </c>
      <c r="C404" s="96"/>
      <c r="D404" s="6" t="s">
        <v>295</v>
      </c>
      <c r="E404" s="3"/>
      <c r="F404" s="3"/>
    </row>
    <row r="405" spans="1:6" ht="15">
      <c r="A405" s="13" t="s">
        <v>212</v>
      </c>
      <c r="B405" s="104">
        <v>266283</v>
      </c>
      <c r="C405" s="96"/>
      <c r="D405" s="6" t="s">
        <v>295</v>
      </c>
      <c r="E405" s="3"/>
      <c r="F405" s="3"/>
    </row>
    <row r="406" spans="1:6" ht="15">
      <c r="A406" s="13" t="s">
        <v>199</v>
      </c>
      <c r="B406" s="104">
        <v>190500</v>
      </c>
      <c r="C406" s="96"/>
      <c r="D406" s="6" t="s">
        <v>295</v>
      </c>
      <c r="E406" s="3"/>
      <c r="F406" s="3"/>
    </row>
    <row r="407" spans="1:6" ht="15">
      <c r="A407" s="13" t="s">
        <v>1221</v>
      </c>
      <c r="B407" s="104">
        <v>148727</v>
      </c>
      <c r="C407" s="96"/>
      <c r="D407" s="6" t="s">
        <v>295</v>
      </c>
      <c r="E407" s="3"/>
      <c r="F407" s="3"/>
    </row>
    <row r="408" spans="1:6" ht="15">
      <c r="A408" s="13" t="s">
        <v>200</v>
      </c>
      <c r="B408" s="104">
        <v>47741</v>
      </c>
      <c r="C408" s="96"/>
      <c r="D408" s="6" t="s">
        <v>295</v>
      </c>
      <c r="E408" s="3"/>
      <c r="F408" s="3"/>
    </row>
    <row r="409" spans="1:6" ht="15">
      <c r="A409" s="13" t="s">
        <v>1218</v>
      </c>
      <c r="B409" s="104">
        <v>1753209</v>
      </c>
      <c r="C409" s="96"/>
      <c r="D409" s="6" t="s">
        <v>295</v>
      </c>
      <c r="E409" s="3"/>
      <c r="F409" s="3"/>
    </row>
    <row r="410" spans="1:6" ht="15">
      <c r="A410" s="13" t="s">
        <v>1217</v>
      </c>
      <c r="B410" s="104">
        <v>739495</v>
      </c>
      <c r="C410" s="96"/>
      <c r="D410" s="6" t="s">
        <v>295</v>
      </c>
      <c r="E410" s="3"/>
      <c r="F410" s="3"/>
    </row>
    <row r="411" spans="1:6" ht="15">
      <c r="A411" s="13" t="s">
        <v>202</v>
      </c>
      <c r="B411" s="104">
        <v>396705</v>
      </c>
      <c r="C411" s="96"/>
      <c r="D411" s="6" t="s">
        <v>295</v>
      </c>
      <c r="E411" s="3"/>
      <c r="F411" s="3"/>
    </row>
    <row r="412" spans="1:6" ht="15">
      <c r="A412" s="13" t="s">
        <v>1216</v>
      </c>
      <c r="B412" s="104">
        <v>202032</v>
      </c>
      <c r="C412" s="96"/>
      <c r="D412" s="6" t="s">
        <v>295</v>
      </c>
      <c r="E412" s="3"/>
      <c r="F412" s="3"/>
    </row>
    <row r="413" spans="1:6" ht="15">
      <c r="A413" s="13" t="s">
        <v>213</v>
      </c>
      <c r="B413" s="104">
        <v>327987</v>
      </c>
      <c r="C413" s="96"/>
      <c r="D413" s="6" t="s">
        <v>295</v>
      </c>
      <c r="E413" s="3"/>
      <c r="F413" s="3"/>
    </row>
    <row r="414" spans="1:6" ht="15">
      <c r="A414" s="13" t="s">
        <v>1215</v>
      </c>
      <c r="B414" s="104">
        <v>797723</v>
      </c>
      <c r="C414" s="96"/>
      <c r="D414" s="6" t="s">
        <v>295</v>
      </c>
      <c r="E414" s="3"/>
      <c r="F414" s="3"/>
    </row>
    <row r="415" spans="1:6" ht="15">
      <c r="A415" s="13" t="s">
        <v>77</v>
      </c>
      <c r="B415" s="104">
        <v>409491</v>
      </c>
      <c r="C415" s="96"/>
      <c r="D415" s="6" t="s">
        <v>295</v>
      </c>
      <c r="E415" s="3"/>
      <c r="F415" s="3"/>
    </row>
    <row r="416" spans="1:6" ht="15">
      <c r="A416" s="13" t="s">
        <v>1214</v>
      </c>
      <c r="B416" s="104">
        <v>976387</v>
      </c>
      <c r="C416" s="96"/>
      <c r="D416" s="6" t="s">
        <v>295</v>
      </c>
      <c r="E416" s="3"/>
      <c r="F416" s="3"/>
    </row>
    <row r="417" spans="1:6" ht="15">
      <c r="A417" s="13" t="s">
        <v>1542</v>
      </c>
      <c r="B417" s="104">
        <v>5885</v>
      </c>
      <c r="C417" s="96"/>
      <c r="D417" s="6" t="s">
        <v>295</v>
      </c>
      <c r="E417" s="3"/>
      <c r="F417" s="3"/>
    </row>
    <row r="418" spans="1:6" ht="15">
      <c r="A418" s="16" t="s">
        <v>1213</v>
      </c>
      <c r="B418" s="104">
        <v>1002990</v>
      </c>
      <c r="C418" s="96"/>
      <c r="D418" s="6" t="s">
        <v>295</v>
      </c>
      <c r="E418" s="3"/>
      <c r="F418" s="3"/>
    </row>
    <row r="419" spans="1:6" ht="15">
      <c r="A419" s="13" t="s">
        <v>1212</v>
      </c>
      <c r="B419" s="104">
        <v>3778388.5</v>
      </c>
      <c r="C419" s="96"/>
      <c r="D419" s="6" t="s">
        <v>295</v>
      </c>
      <c r="E419" s="3"/>
      <c r="F419" s="3"/>
    </row>
    <row r="420" spans="1:6" ht="15">
      <c r="A420" s="13" t="s">
        <v>204</v>
      </c>
      <c r="B420" s="104">
        <v>29160258</v>
      </c>
      <c r="C420" s="96"/>
      <c r="D420" s="6" t="s">
        <v>295</v>
      </c>
      <c r="E420" s="3"/>
      <c r="F420" s="3"/>
    </row>
    <row r="421" spans="1:6" ht="15">
      <c r="A421" s="13" t="s">
        <v>1753</v>
      </c>
      <c r="B421" s="104">
        <v>2300</v>
      </c>
      <c r="C421" s="96"/>
      <c r="D421" s="6" t="s">
        <v>295</v>
      </c>
      <c r="E421" s="3"/>
      <c r="F421" s="3"/>
    </row>
    <row r="422" spans="1:6" ht="15">
      <c r="A422" s="13" t="s">
        <v>206</v>
      </c>
      <c r="B422" s="104">
        <v>122079</v>
      </c>
      <c r="C422" s="96"/>
      <c r="D422" s="6" t="s">
        <v>295</v>
      </c>
      <c r="E422" s="3"/>
      <c r="F422" s="3"/>
    </row>
    <row r="423" spans="1:6" ht="15">
      <c r="A423" s="13" t="s">
        <v>207</v>
      </c>
      <c r="B423" s="104">
        <v>2176148</v>
      </c>
      <c r="C423" s="96"/>
      <c r="D423" s="6" t="s">
        <v>295</v>
      </c>
      <c r="E423" s="3"/>
      <c r="F423" s="3"/>
    </row>
    <row r="424" spans="1:6" ht="15">
      <c r="A424" s="13" t="s">
        <v>208</v>
      </c>
      <c r="B424" s="104">
        <v>319516</v>
      </c>
      <c r="C424" s="96"/>
      <c r="D424" s="6" t="s">
        <v>295</v>
      </c>
      <c r="E424" s="3"/>
      <c r="F424" s="3"/>
    </row>
    <row r="425" spans="1:6" ht="15">
      <c r="A425" s="13" t="s">
        <v>209</v>
      </c>
      <c r="B425" s="104">
        <v>460416</v>
      </c>
      <c r="C425" s="96"/>
      <c r="D425" s="6" t="s">
        <v>295</v>
      </c>
      <c r="E425" s="3"/>
      <c r="F425" s="3"/>
    </row>
    <row r="426" spans="1:6" ht="15">
      <c r="A426" s="232" t="s">
        <v>125</v>
      </c>
      <c r="B426" s="109"/>
      <c r="C426" s="239">
        <v>12609828</v>
      </c>
      <c r="D426" s="6" t="s">
        <v>295</v>
      </c>
      <c r="E426" s="3"/>
      <c r="F426" s="3"/>
    </row>
    <row r="427" spans="1:6">
      <c r="A427" s="13" t="s">
        <v>126</v>
      </c>
      <c r="B427" s="108"/>
      <c r="C427" s="93">
        <v>30000</v>
      </c>
    </row>
    <row r="428" spans="1:6" ht="15">
      <c r="A428" s="13" t="s">
        <v>127</v>
      </c>
      <c r="B428" s="96"/>
      <c r="C428" s="104">
        <v>230500</v>
      </c>
      <c r="D428" s="94" t="s">
        <v>128</v>
      </c>
      <c r="E428" s="3"/>
    </row>
    <row r="429" spans="1:6" ht="15">
      <c r="A429" s="13" t="s">
        <v>128</v>
      </c>
      <c r="B429" s="96"/>
      <c r="C429" s="104">
        <v>12229328</v>
      </c>
      <c r="D429" s="94" t="s">
        <v>128</v>
      </c>
      <c r="E429" s="3"/>
    </row>
    <row r="430" spans="1:6" ht="15">
      <c r="A430" s="13" t="s">
        <v>129</v>
      </c>
      <c r="B430" s="96"/>
      <c r="C430" s="104">
        <v>120000</v>
      </c>
      <c r="D430" s="94" t="s">
        <v>128</v>
      </c>
      <c r="E430" s="3"/>
    </row>
    <row r="431" spans="1:6" ht="15">
      <c r="A431" s="232" t="s">
        <v>130</v>
      </c>
      <c r="B431" s="105">
        <v>514073.78</v>
      </c>
      <c r="C431" s="241"/>
      <c r="D431" s="94" t="s">
        <v>128</v>
      </c>
      <c r="E431" s="3"/>
    </row>
    <row r="432" spans="1:6">
      <c r="A432" s="13" t="s">
        <v>130</v>
      </c>
      <c r="B432" s="93">
        <v>514073.78</v>
      </c>
      <c r="C432" s="108"/>
    </row>
    <row r="433" spans="1:6">
      <c r="A433" s="232" t="s">
        <v>131</v>
      </c>
      <c r="B433" s="103">
        <v>44819</v>
      </c>
      <c r="C433" s="103">
        <v>84253</v>
      </c>
    </row>
    <row r="434" spans="1:6">
      <c r="A434" s="13" t="s">
        <v>1225</v>
      </c>
      <c r="B434" s="108"/>
      <c r="C434" s="93">
        <v>84253</v>
      </c>
    </row>
    <row r="435" spans="1:6">
      <c r="A435" s="13" t="s">
        <v>1536</v>
      </c>
      <c r="B435" s="104">
        <v>4127</v>
      </c>
      <c r="C435" s="96"/>
    </row>
    <row r="436" spans="1:6">
      <c r="A436" s="13" t="s">
        <v>1224</v>
      </c>
      <c r="B436" s="93">
        <v>40692</v>
      </c>
      <c r="C436" s="108"/>
    </row>
    <row r="437" spans="1:6">
      <c r="A437" s="232" t="s">
        <v>132</v>
      </c>
      <c r="B437" s="103">
        <v>49679373</v>
      </c>
      <c r="C437" s="102"/>
      <c r="D437" t="s">
        <v>1350</v>
      </c>
    </row>
    <row r="438" spans="1:6">
      <c r="A438" s="13" t="s">
        <v>133</v>
      </c>
      <c r="B438" s="104">
        <v>49679373</v>
      </c>
      <c r="C438" s="96"/>
      <c r="D438" t="s">
        <v>1350</v>
      </c>
    </row>
    <row r="439" spans="1:6">
      <c r="A439" s="1" t="s">
        <v>1754</v>
      </c>
      <c r="B439" s="105">
        <v>0.72</v>
      </c>
      <c r="C439" s="105">
        <v>10386061.880000001</v>
      </c>
    </row>
    <row r="440" spans="1:6" ht="15">
      <c r="A440" s="13" t="s">
        <v>1755</v>
      </c>
      <c r="B440" s="96"/>
      <c r="C440" s="104">
        <v>1160953.2</v>
      </c>
      <c r="D440" s="7" t="s">
        <v>1328</v>
      </c>
      <c r="E440" s="3"/>
      <c r="F440" s="3"/>
    </row>
    <row r="441" spans="1:6">
      <c r="A441" s="13" t="s">
        <v>1756</v>
      </c>
      <c r="B441" s="108"/>
      <c r="C441" s="93">
        <v>873315.2</v>
      </c>
    </row>
    <row r="442" spans="1:6">
      <c r="A442" s="13" t="s">
        <v>1757</v>
      </c>
      <c r="B442" s="104">
        <v>0.36</v>
      </c>
      <c r="C442" s="96"/>
      <c r="D442" t="s">
        <v>2</v>
      </c>
    </row>
    <row r="443" spans="1:6">
      <c r="A443" s="13" t="s">
        <v>1758</v>
      </c>
      <c r="B443" s="104">
        <v>0.36</v>
      </c>
      <c r="C443" s="96"/>
      <c r="D443" t="s">
        <v>2</v>
      </c>
    </row>
    <row r="444" spans="1:6">
      <c r="A444" s="13" t="s">
        <v>1759</v>
      </c>
      <c r="B444" s="108"/>
      <c r="C444" s="93">
        <v>808260.46</v>
      </c>
      <c r="F444" s="100">
        <f>B445+B464+SUM(B476:B489)</f>
        <v>72857619.039999992</v>
      </c>
    </row>
    <row r="445" spans="1:6" ht="15" thickBot="1">
      <c r="A445" s="13" t="s">
        <v>1760</v>
      </c>
      <c r="B445" s="113"/>
      <c r="C445" s="107">
        <v>536311.46</v>
      </c>
    </row>
    <row r="446" spans="1:6" ht="15.75" customHeight="1" thickBot="1">
      <c r="A446" s="13" t="s">
        <v>1761</v>
      </c>
      <c r="B446" s="96"/>
      <c r="C446" s="104">
        <v>93967.14</v>
      </c>
      <c r="D446" s="3338" t="s">
        <v>1345</v>
      </c>
      <c r="E446" s="3339"/>
      <c r="F446" s="3339"/>
    </row>
    <row r="447" spans="1:6" ht="15.75" customHeight="1" thickBot="1">
      <c r="A447" s="13" t="s">
        <v>1762</v>
      </c>
      <c r="B447" s="96"/>
      <c r="C447" s="104">
        <v>70679.14</v>
      </c>
      <c r="D447" s="3338" t="s">
        <v>1345</v>
      </c>
      <c r="E447" s="3339"/>
      <c r="F447" s="3339"/>
    </row>
    <row r="448" spans="1:6" ht="15.75" customHeight="1" thickBot="1">
      <c r="A448" s="13" t="s">
        <v>1763</v>
      </c>
      <c r="B448" s="96"/>
      <c r="C448" s="104">
        <v>846891.25</v>
      </c>
      <c r="D448" s="3338" t="s">
        <v>1345</v>
      </c>
      <c r="E448" s="3339"/>
      <c r="F448" s="3339"/>
    </row>
    <row r="449" spans="1:7" ht="15.75" customHeight="1" thickBot="1">
      <c r="A449" s="13" t="s">
        <v>1764</v>
      </c>
      <c r="B449" s="96"/>
      <c r="C449" s="104">
        <v>747791.25</v>
      </c>
      <c r="D449" s="3338" t="s">
        <v>1345</v>
      </c>
      <c r="E449" s="3339"/>
      <c r="F449" s="3339"/>
    </row>
    <row r="450" spans="1:7" ht="15.75" customHeight="1" thickBot="1">
      <c r="A450" s="13" t="s">
        <v>1765</v>
      </c>
      <c r="B450" s="96"/>
      <c r="C450" s="104">
        <v>96416.14</v>
      </c>
      <c r="D450" s="3338" t="s">
        <v>1345</v>
      </c>
      <c r="E450" s="3339"/>
      <c r="F450" s="3339"/>
    </row>
    <row r="451" spans="1:7" ht="15.75" customHeight="1" thickBot="1">
      <c r="A451" s="13" t="s">
        <v>1766</v>
      </c>
      <c r="B451" s="96"/>
      <c r="C451" s="104">
        <v>96416.14</v>
      </c>
      <c r="D451" s="3338" t="s">
        <v>1345</v>
      </c>
      <c r="E451" s="3339"/>
      <c r="F451" s="3339"/>
    </row>
    <row r="452" spans="1:7" ht="15.75" customHeight="1" thickBot="1">
      <c r="A452" s="13" t="s">
        <v>1767</v>
      </c>
      <c r="B452" s="96"/>
      <c r="C452" s="104">
        <v>101250</v>
      </c>
      <c r="D452" s="3338" t="s">
        <v>1345</v>
      </c>
      <c r="E452" s="3339"/>
      <c r="F452" s="3339"/>
    </row>
    <row r="453" spans="1:7" ht="15.75" customHeight="1" thickBot="1">
      <c r="A453" s="13" t="s">
        <v>1768</v>
      </c>
      <c r="B453" s="96"/>
      <c r="C453" s="104">
        <v>101250</v>
      </c>
      <c r="D453" s="3338" t="s">
        <v>1345</v>
      </c>
      <c r="E453" s="3339"/>
      <c r="F453" s="3339"/>
    </row>
    <row r="454" spans="1:7" ht="15.75" customHeight="1" thickBot="1">
      <c r="A454" s="13" t="s">
        <v>1769</v>
      </c>
      <c r="B454" s="96"/>
      <c r="C454" s="104">
        <v>67069.710000000006</v>
      </c>
      <c r="D454" s="3338" t="s">
        <v>1345</v>
      </c>
      <c r="E454" s="3339"/>
      <c r="F454" s="3339"/>
    </row>
    <row r="455" spans="1:7" ht="15.75" customHeight="1" thickBot="1">
      <c r="A455" s="13" t="s">
        <v>1770</v>
      </c>
      <c r="B455" s="96"/>
      <c r="C455" s="104">
        <v>67069.710000000006</v>
      </c>
      <c r="D455" s="3338" t="s">
        <v>1345</v>
      </c>
      <c r="E455" s="3339"/>
      <c r="F455" s="3339"/>
    </row>
    <row r="456" spans="1:7" ht="15.75" customHeight="1" thickBot="1">
      <c r="A456" s="13" t="s">
        <v>1771</v>
      </c>
      <c r="B456" s="96"/>
      <c r="C456" s="104">
        <v>1353980.85</v>
      </c>
      <c r="D456" s="3338" t="s">
        <v>1345</v>
      </c>
      <c r="E456" s="3339"/>
      <c r="F456" s="3339"/>
    </row>
    <row r="457" spans="1:7" ht="15.75" customHeight="1" thickBot="1">
      <c r="A457" s="13" t="s">
        <v>1772</v>
      </c>
      <c r="B457" s="96"/>
      <c r="C457" s="104">
        <v>1353980.85</v>
      </c>
      <c r="D457" s="3338" t="s">
        <v>1345</v>
      </c>
      <c r="E457" s="3339"/>
      <c r="F457" s="3339"/>
    </row>
    <row r="458" spans="1:7" ht="15.75" customHeight="1" thickBot="1">
      <c r="A458" s="13" t="s">
        <v>1773</v>
      </c>
      <c r="B458" s="96"/>
      <c r="C458" s="104">
        <v>916819.69</v>
      </c>
      <c r="D458" s="3338" t="s">
        <v>1345</v>
      </c>
      <c r="E458" s="3339"/>
      <c r="F458" s="3339"/>
    </row>
    <row r="459" spans="1:7" ht="15.75" customHeight="1" thickBot="1">
      <c r="A459" s="13" t="s">
        <v>1774</v>
      </c>
      <c r="B459" s="96"/>
      <c r="C459" s="104">
        <v>790857.69</v>
      </c>
      <c r="D459" s="3338" t="s">
        <v>1345</v>
      </c>
      <c r="E459" s="3339"/>
      <c r="F459" s="3339"/>
    </row>
    <row r="460" spans="1:7" ht="15.75" customHeight="1" thickBot="1">
      <c r="A460" s="13" t="s">
        <v>1775</v>
      </c>
      <c r="B460" s="96"/>
      <c r="C460" s="104">
        <v>179765</v>
      </c>
      <c r="D460" s="3338" t="s">
        <v>1345</v>
      </c>
      <c r="E460" s="3339"/>
      <c r="F460" s="3339"/>
    </row>
    <row r="461" spans="1:7" ht="15.75" customHeight="1" thickBot="1">
      <c r="A461" s="13" t="s">
        <v>1776</v>
      </c>
      <c r="B461" s="96"/>
      <c r="C461" s="104">
        <v>123017</v>
      </c>
      <c r="D461" s="3338" t="s">
        <v>1345</v>
      </c>
      <c r="E461" s="3339"/>
      <c r="F461" s="3339"/>
    </row>
    <row r="462" spans="1:7" ht="15.75" customHeight="1" thickBot="1">
      <c r="A462" s="232" t="s">
        <v>134</v>
      </c>
      <c r="B462" s="105">
        <v>117150</v>
      </c>
      <c r="C462" s="241"/>
      <c r="D462" s="3338" t="s">
        <v>1345</v>
      </c>
      <c r="E462" s="3339"/>
      <c r="F462" s="3339"/>
    </row>
    <row r="463" spans="1:7" ht="15" customHeight="1">
      <c r="A463" s="13" t="s">
        <v>135</v>
      </c>
      <c r="B463" s="104">
        <v>116150</v>
      </c>
      <c r="C463" s="96"/>
      <c r="D463" s="3338" t="s">
        <v>1345</v>
      </c>
      <c r="E463" s="3339"/>
      <c r="F463" s="3339"/>
    </row>
    <row r="464" spans="1:7">
      <c r="A464" s="13" t="s">
        <v>136</v>
      </c>
      <c r="B464" s="93">
        <v>1000</v>
      </c>
      <c r="C464" s="108"/>
      <c r="G464" s="98"/>
    </row>
    <row r="465" spans="1:6" ht="15">
      <c r="A465" s="232" t="s">
        <v>137</v>
      </c>
      <c r="B465" s="103">
        <v>68780802.920000002</v>
      </c>
      <c r="C465" s="243"/>
      <c r="D465" s="8" t="s">
        <v>235</v>
      </c>
      <c r="E465" s="3"/>
    </row>
    <row r="466" spans="1:6" ht="15">
      <c r="A466" s="13" t="s">
        <v>29</v>
      </c>
      <c r="B466" s="110">
        <v>51671812.670000002</v>
      </c>
      <c r="C466" s="238"/>
      <c r="D466" s="8" t="s">
        <v>235</v>
      </c>
      <c r="E466" s="3"/>
    </row>
    <row r="467" spans="1:6" ht="15">
      <c r="A467" s="15" t="s">
        <v>894</v>
      </c>
      <c r="B467" s="112">
        <v>23000</v>
      </c>
      <c r="C467" s="95"/>
      <c r="D467" s="8" t="s">
        <v>235</v>
      </c>
      <c r="E467" s="3"/>
    </row>
    <row r="468" spans="1:6" ht="15">
      <c r="A468" s="15" t="s">
        <v>895</v>
      </c>
      <c r="B468" s="112">
        <v>6258</v>
      </c>
      <c r="C468" s="95"/>
      <c r="D468" s="8" t="s">
        <v>235</v>
      </c>
      <c r="E468" s="3"/>
    </row>
    <row r="469" spans="1:6" ht="15">
      <c r="A469" s="15" t="s">
        <v>896</v>
      </c>
      <c r="B469" s="112">
        <v>2852</v>
      </c>
      <c r="C469" s="95"/>
      <c r="D469" s="8" t="s">
        <v>235</v>
      </c>
      <c r="E469" s="3"/>
    </row>
    <row r="470" spans="1:6" ht="15">
      <c r="A470" s="15" t="s">
        <v>897</v>
      </c>
      <c r="B470" s="112">
        <v>3792</v>
      </c>
      <c r="C470" s="95"/>
      <c r="D470" s="8" t="s">
        <v>235</v>
      </c>
      <c r="E470" s="3"/>
    </row>
    <row r="471" spans="1:6" ht="15">
      <c r="A471" s="15" t="s">
        <v>898</v>
      </c>
      <c r="B471" s="112">
        <v>13000</v>
      </c>
      <c r="C471" s="95"/>
      <c r="D471" s="8" t="s">
        <v>235</v>
      </c>
      <c r="E471" s="3"/>
    </row>
    <row r="472" spans="1:6" ht="15">
      <c r="A472" s="15" t="s">
        <v>899</v>
      </c>
      <c r="B472" s="112">
        <v>35000</v>
      </c>
      <c r="C472" s="95"/>
      <c r="D472" s="8" t="s">
        <v>235</v>
      </c>
      <c r="E472" s="3"/>
    </row>
    <row r="473" spans="1:6" ht="15">
      <c r="A473" s="15" t="s">
        <v>900</v>
      </c>
      <c r="B473" s="112">
        <v>10000</v>
      </c>
      <c r="C473" s="95"/>
      <c r="D473" s="8" t="s">
        <v>235</v>
      </c>
      <c r="E473" s="3"/>
    </row>
    <row r="474" spans="1:6" ht="15">
      <c r="A474" s="17" t="s">
        <v>901</v>
      </c>
      <c r="B474" s="112">
        <v>130161</v>
      </c>
      <c r="C474" s="95"/>
      <c r="D474" s="8" t="s">
        <v>235</v>
      </c>
      <c r="E474" s="3"/>
    </row>
    <row r="475" spans="1:6">
      <c r="A475" s="17" t="s">
        <v>902</v>
      </c>
      <c r="B475" s="112">
        <v>48314.43</v>
      </c>
      <c r="C475" s="95"/>
      <c r="D475" s="8" t="s">
        <v>235</v>
      </c>
    </row>
    <row r="476" spans="1:6" ht="15" thickBot="1">
      <c r="A476" s="244" t="s">
        <v>903</v>
      </c>
      <c r="B476" s="104">
        <v>56000</v>
      </c>
      <c r="C476" s="96"/>
      <c r="D476" s="3353" t="s">
        <v>230</v>
      </c>
      <c r="E476" s="3354"/>
      <c r="F476" s="3354"/>
    </row>
    <row r="477" spans="1:6" ht="15" thickBot="1">
      <c r="A477" s="17" t="s">
        <v>904</v>
      </c>
      <c r="B477" s="104">
        <v>4781.92</v>
      </c>
      <c r="C477" s="96"/>
      <c r="D477" s="3338" t="s">
        <v>1345</v>
      </c>
      <c r="E477" s="3339"/>
      <c r="F477" s="3339"/>
    </row>
    <row r="478" spans="1:6" ht="15" thickBot="1">
      <c r="A478" s="17" t="s">
        <v>905</v>
      </c>
      <c r="B478" s="104">
        <v>20556</v>
      </c>
      <c r="C478" s="96"/>
      <c r="D478" s="3338" t="s">
        <v>1345</v>
      </c>
      <c r="E478" s="3339"/>
      <c r="F478" s="3339"/>
    </row>
    <row r="479" spans="1:6" ht="15" thickBot="1">
      <c r="A479" s="13" t="s">
        <v>906</v>
      </c>
      <c r="B479" s="104">
        <v>50835537.43</v>
      </c>
      <c r="C479" s="96"/>
      <c r="D479" s="3338" t="s">
        <v>1345</v>
      </c>
      <c r="E479" s="3339"/>
      <c r="F479" s="3339"/>
    </row>
    <row r="480" spans="1:6" ht="15" thickBot="1">
      <c r="A480" s="15" t="s">
        <v>907</v>
      </c>
      <c r="B480" s="104">
        <v>149259.89000000001</v>
      </c>
      <c r="C480" s="96"/>
      <c r="D480" s="3338" t="s">
        <v>1345</v>
      </c>
      <c r="E480" s="3339"/>
      <c r="F480" s="3339"/>
    </row>
    <row r="481" spans="1:9" ht="15" thickBot="1">
      <c r="A481" s="17" t="s">
        <v>908</v>
      </c>
      <c r="B481" s="104">
        <v>4000</v>
      </c>
      <c r="C481" s="96"/>
      <c r="D481" s="3338" t="s">
        <v>1345</v>
      </c>
      <c r="E481" s="3339"/>
      <c r="F481" s="3339"/>
    </row>
    <row r="482" spans="1:9" ht="15" thickBot="1">
      <c r="A482" s="15" t="s">
        <v>909</v>
      </c>
      <c r="B482" s="104">
        <v>176124</v>
      </c>
      <c r="C482" s="96"/>
      <c r="D482" s="3338" t="s">
        <v>1345</v>
      </c>
      <c r="E482" s="3339"/>
      <c r="F482" s="3339"/>
    </row>
    <row r="483" spans="1:9" ht="15" thickBot="1">
      <c r="A483" s="15" t="s">
        <v>910</v>
      </c>
      <c r="B483" s="104">
        <v>145476</v>
      </c>
      <c r="C483" s="96"/>
      <c r="D483" s="3338" t="s">
        <v>1345</v>
      </c>
      <c r="E483" s="3339"/>
      <c r="F483" s="3339"/>
    </row>
    <row r="484" spans="1:9" ht="15" thickBot="1">
      <c r="A484" s="17" t="s">
        <v>911</v>
      </c>
      <c r="B484" s="104">
        <v>7700</v>
      </c>
      <c r="C484" s="96"/>
      <c r="D484" s="3338" t="s">
        <v>1345</v>
      </c>
      <c r="E484" s="3339"/>
      <c r="F484" s="3339"/>
    </row>
    <row r="485" spans="1:9">
      <c r="A485" s="13" t="s">
        <v>138</v>
      </c>
      <c r="B485" s="93">
        <v>7324216.9000000004</v>
      </c>
      <c r="C485" s="240"/>
      <c r="D485" s="3338" t="s">
        <v>1345</v>
      </c>
      <c r="E485" s="3339"/>
      <c r="F485" s="3339"/>
    </row>
    <row r="486" spans="1:9" ht="15">
      <c r="A486" s="13" t="s">
        <v>921</v>
      </c>
      <c r="B486" s="104">
        <v>7324216.9000000004</v>
      </c>
      <c r="C486" s="96"/>
      <c r="D486" s="3359" t="s">
        <v>1346</v>
      </c>
      <c r="E486" s="3360"/>
      <c r="F486" s="3360"/>
      <c r="G486" s="3360"/>
      <c r="H486" s="3360"/>
      <c r="I486" s="3360"/>
    </row>
    <row r="487" spans="1:9" ht="15.6" thickBot="1">
      <c r="A487" s="13" t="s">
        <v>139</v>
      </c>
      <c r="B487" s="104">
        <v>6720750</v>
      </c>
      <c r="C487" s="96"/>
      <c r="D487" s="6" t="s">
        <v>541</v>
      </c>
      <c r="E487" s="3"/>
      <c r="F487" s="3"/>
    </row>
    <row r="488" spans="1:9" ht="15" thickBot="1">
      <c r="A488" s="13" t="s">
        <v>140</v>
      </c>
      <c r="B488" s="104">
        <v>40000</v>
      </c>
      <c r="C488" s="96"/>
      <c r="D488" s="3338" t="s">
        <v>1345</v>
      </c>
      <c r="E488" s="3339"/>
      <c r="F488" s="3339"/>
    </row>
    <row r="489" spans="1:9">
      <c r="A489" s="13" t="s">
        <v>923</v>
      </c>
      <c r="B489" s="104">
        <v>48000</v>
      </c>
      <c r="C489" s="96"/>
      <c r="D489" s="3338" t="s">
        <v>1345</v>
      </c>
      <c r="E489" s="3339"/>
      <c r="F489" s="3339"/>
    </row>
    <row r="490" spans="1:9">
      <c r="A490" s="13" t="s">
        <v>141</v>
      </c>
      <c r="B490" s="93">
        <v>1343115</v>
      </c>
      <c r="C490" s="108"/>
      <c r="D490" s="98"/>
    </row>
    <row r="491" spans="1:9">
      <c r="A491" s="13" t="s">
        <v>142</v>
      </c>
      <c r="B491" s="104">
        <v>9530</v>
      </c>
      <c r="C491" s="96"/>
      <c r="F491" s="100">
        <f>B491+B492</f>
        <v>455130</v>
      </c>
    </row>
    <row r="492" spans="1:9">
      <c r="A492" s="13" t="s">
        <v>143</v>
      </c>
      <c r="B492" s="104">
        <v>445600</v>
      </c>
      <c r="C492" s="96"/>
    </row>
    <row r="493" spans="1:9">
      <c r="A493" s="13" t="s">
        <v>144</v>
      </c>
      <c r="B493" s="104">
        <v>5500</v>
      </c>
      <c r="C493" s="96"/>
    </row>
    <row r="494" spans="1:9">
      <c r="A494" s="13" t="s">
        <v>145</v>
      </c>
      <c r="B494" s="104">
        <v>294213</v>
      </c>
      <c r="C494" s="96"/>
    </row>
    <row r="495" spans="1:9" ht="15" thickBot="1">
      <c r="A495" s="13" t="s">
        <v>146</v>
      </c>
      <c r="B495" s="93">
        <v>13150</v>
      </c>
      <c r="C495" s="108"/>
    </row>
    <row r="496" spans="1:9">
      <c r="A496" s="13" t="s">
        <v>147</v>
      </c>
      <c r="B496" s="104">
        <v>424087</v>
      </c>
      <c r="C496" s="96"/>
      <c r="D496" s="3357" t="s">
        <v>232</v>
      </c>
      <c r="E496" s="3358"/>
    </row>
    <row r="497" spans="1:10">
      <c r="A497" s="13" t="s">
        <v>148</v>
      </c>
      <c r="B497" s="93">
        <v>279287.34999999998</v>
      </c>
      <c r="C497" s="108"/>
    </row>
    <row r="498" spans="1:10">
      <c r="A498" s="13" t="s">
        <v>149</v>
      </c>
      <c r="B498" s="104">
        <v>132959</v>
      </c>
      <c r="C498" s="96"/>
    </row>
    <row r="499" spans="1:10">
      <c r="A499" s="13" t="s">
        <v>150</v>
      </c>
      <c r="B499" s="104">
        <v>28582</v>
      </c>
      <c r="C499" s="108"/>
      <c r="J499">
        <f>30*107%</f>
        <v>32.1</v>
      </c>
    </row>
    <row r="500" spans="1:10">
      <c r="A500" s="232" t="s">
        <v>151</v>
      </c>
      <c r="B500" s="105">
        <v>96538471</v>
      </c>
      <c r="C500" s="103">
        <v>289820390.06</v>
      </c>
      <c r="I500">
        <f>175600/33.069%</f>
        <v>531010.9165683873</v>
      </c>
      <c r="J500">
        <f>J499*103%</f>
        <v>33.063000000000002</v>
      </c>
    </row>
    <row r="501" spans="1:10">
      <c r="A501" s="13" t="s">
        <v>152</v>
      </c>
      <c r="B501" s="93">
        <v>82195790</v>
      </c>
      <c r="C501" s="108"/>
    </row>
    <row r="502" spans="1:10">
      <c r="A502" s="13" t="s">
        <v>153</v>
      </c>
      <c r="B502" s="104">
        <v>14342681</v>
      </c>
      <c r="C502" s="96"/>
      <c r="F502" s="98">
        <f>SUM(B503:B527)</f>
        <v>865199983.69999993</v>
      </c>
    </row>
    <row r="503" spans="1:10" ht="15">
      <c r="A503" s="13" t="s">
        <v>154</v>
      </c>
      <c r="B503" s="96"/>
      <c r="C503" s="104">
        <v>44374031.420000002</v>
      </c>
      <c r="D503" s="6" t="s">
        <v>214</v>
      </c>
    </row>
    <row r="504" spans="1:10" ht="15">
      <c r="A504" s="13" t="s">
        <v>155</v>
      </c>
      <c r="B504" s="96"/>
      <c r="C504" s="104">
        <v>245446358.63999999</v>
      </c>
      <c r="D504" s="6" t="s">
        <v>214</v>
      </c>
    </row>
    <row r="505" spans="1:10" ht="15">
      <c r="A505" s="1" t="s">
        <v>156</v>
      </c>
      <c r="B505" s="109"/>
      <c r="C505" s="239">
        <v>150000</v>
      </c>
      <c r="D505" s="6" t="s">
        <v>214</v>
      </c>
    </row>
    <row r="506" spans="1:10" ht="15">
      <c r="A506" s="14" t="s">
        <v>157</v>
      </c>
      <c r="B506" s="95"/>
      <c r="C506" s="112">
        <v>150000</v>
      </c>
      <c r="D506" s="6" t="s">
        <v>214</v>
      </c>
    </row>
    <row r="507" spans="1:10" ht="15">
      <c r="A507" s="1" t="s">
        <v>158</v>
      </c>
      <c r="B507" s="105">
        <v>2632364.65</v>
      </c>
      <c r="C507" s="241"/>
      <c r="D507" s="6" t="s">
        <v>214</v>
      </c>
    </row>
    <row r="508" spans="1:10" ht="15">
      <c r="A508" s="16" t="s">
        <v>158</v>
      </c>
      <c r="B508" s="104">
        <v>2632364.65</v>
      </c>
      <c r="C508" s="96"/>
      <c r="D508" s="6" t="s">
        <v>214</v>
      </c>
    </row>
    <row r="509" spans="1:10" ht="15">
      <c r="A509" s="1" t="s">
        <v>159</v>
      </c>
      <c r="B509" s="105">
        <v>15000000</v>
      </c>
      <c r="C509" s="241"/>
      <c r="D509" s="6" t="s">
        <v>214</v>
      </c>
      <c r="F509" s="98"/>
    </row>
    <row r="510" spans="1:10" ht="15">
      <c r="A510" s="13" t="s">
        <v>1223</v>
      </c>
      <c r="B510" s="104">
        <v>15000000</v>
      </c>
      <c r="C510" s="96"/>
      <c r="D510" s="6" t="s">
        <v>214</v>
      </c>
    </row>
    <row r="511" spans="1:10" ht="15">
      <c r="A511" s="2" t="s">
        <v>74</v>
      </c>
      <c r="B511" s="95"/>
      <c r="C511" s="112">
        <v>174456712.61000001</v>
      </c>
      <c r="D511" s="6" t="s">
        <v>214</v>
      </c>
    </row>
    <row r="512" spans="1:10" ht="15">
      <c r="A512" s="19" t="s">
        <v>75</v>
      </c>
      <c r="B512" s="103">
        <v>772723495</v>
      </c>
      <c r="C512" s="245">
        <v>772723495</v>
      </c>
      <c r="D512" s="6" t="s">
        <v>214</v>
      </c>
    </row>
    <row r="513" spans="1:4" ht="15">
      <c r="A513" s="2" t="s">
        <v>205</v>
      </c>
      <c r="B513" s="112">
        <v>1631156</v>
      </c>
      <c r="C513" s="95"/>
      <c r="D513" s="6" t="s">
        <v>214</v>
      </c>
    </row>
    <row r="514" spans="1:4" ht="15">
      <c r="A514" s="2" t="s">
        <v>170</v>
      </c>
      <c r="B514" s="112">
        <v>4274492</v>
      </c>
      <c r="C514" s="95"/>
      <c r="D514" s="6" t="s">
        <v>214</v>
      </c>
    </row>
    <row r="515" spans="1:4" ht="15">
      <c r="A515" s="2" t="s">
        <v>1316</v>
      </c>
      <c r="B515" s="112">
        <v>171344</v>
      </c>
      <c r="C515" s="95"/>
      <c r="D515" s="6" t="s">
        <v>214</v>
      </c>
    </row>
    <row r="516" spans="1:4" ht="15">
      <c r="A516" s="2" t="s">
        <v>1317</v>
      </c>
      <c r="B516" s="112">
        <v>2998698</v>
      </c>
      <c r="C516" s="95"/>
      <c r="D516" s="6" t="s">
        <v>214</v>
      </c>
    </row>
    <row r="517" spans="1:4" ht="15">
      <c r="A517" s="2" t="s">
        <v>173</v>
      </c>
      <c r="B517" s="112">
        <v>1100850</v>
      </c>
      <c r="C517" s="95"/>
      <c r="D517" s="6" t="s">
        <v>214</v>
      </c>
    </row>
    <row r="518" spans="1:4" ht="15">
      <c r="A518" s="2" t="s">
        <v>174</v>
      </c>
      <c r="B518" s="112">
        <v>5466622</v>
      </c>
      <c r="C518" s="95"/>
      <c r="D518" s="6" t="s">
        <v>214</v>
      </c>
    </row>
    <row r="519" spans="1:4" ht="15">
      <c r="A519" s="2" t="s">
        <v>1318</v>
      </c>
      <c r="B519" s="112">
        <v>2103290</v>
      </c>
      <c r="C519" s="95"/>
      <c r="D519" s="6" t="s">
        <v>214</v>
      </c>
    </row>
    <row r="520" spans="1:4" ht="15">
      <c r="A520" s="2" t="s">
        <v>1319</v>
      </c>
      <c r="B520" s="112">
        <v>1037269</v>
      </c>
      <c r="C520" s="95"/>
      <c r="D520" s="6" t="s">
        <v>214</v>
      </c>
    </row>
    <row r="521" spans="1:4" ht="15">
      <c r="A521" s="2" t="s">
        <v>1320</v>
      </c>
      <c r="B521" s="112">
        <f>20592185.4-8248733</f>
        <v>12343452.399999999</v>
      </c>
      <c r="C521" s="95"/>
      <c r="D521" s="6" t="s">
        <v>214</v>
      </c>
    </row>
    <row r="522" spans="1:4" ht="15">
      <c r="A522" s="2" t="s">
        <v>175</v>
      </c>
      <c r="B522" s="112">
        <v>5827019</v>
      </c>
      <c r="C522" s="95"/>
      <c r="D522" s="6" t="s">
        <v>214</v>
      </c>
    </row>
    <row r="523" spans="1:4" ht="15">
      <c r="A523" s="2" t="s">
        <v>1321</v>
      </c>
      <c r="B523" s="112">
        <v>13054549</v>
      </c>
      <c r="C523" s="95"/>
      <c r="D523" s="6" t="s">
        <v>214</v>
      </c>
    </row>
    <row r="524" spans="1:4" ht="15">
      <c r="A524" s="2" t="s">
        <v>176</v>
      </c>
      <c r="B524" s="112">
        <v>2975900</v>
      </c>
      <c r="C524" s="95"/>
      <c r="D524" s="6" t="s">
        <v>214</v>
      </c>
    </row>
    <row r="525" spans="1:4" ht="15">
      <c r="A525" s="2" t="s">
        <v>177</v>
      </c>
      <c r="B525" s="112">
        <v>1728369</v>
      </c>
      <c r="C525" s="95"/>
      <c r="D525" s="6" t="s">
        <v>214</v>
      </c>
    </row>
    <row r="526" spans="1:4" ht="15">
      <c r="A526" s="2" t="s">
        <v>1322</v>
      </c>
      <c r="B526" s="112">
        <v>2153880</v>
      </c>
      <c r="C526" s="95"/>
      <c r="D526" s="6" t="s">
        <v>214</v>
      </c>
    </row>
    <row r="527" spans="1:4" ht="15">
      <c r="A527" s="2" t="s">
        <v>165</v>
      </c>
      <c r="B527" s="112">
        <v>344869</v>
      </c>
      <c r="C527" s="95"/>
      <c r="D527" s="6" t="s">
        <v>214</v>
      </c>
    </row>
    <row r="528" spans="1:4">
      <c r="A528" s="118" t="s">
        <v>178</v>
      </c>
      <c r="B528" s="193">
        <f>SUM(B529:B546)</f>
        <v>23512159.309999999</v>
      </c>
      <c r="C528" s="95"/>
    </row>
    <row r="529" spans="1:8" ht="15">
      <c r="A529" s="2" t="s">
        <v>1305</v>
      </c>
      <c r="B529" s="112">
        <v>8500</v>
      </c>
      <c r="C529" s="95"/>
      <c r="D529" s="6" t="s">
        <v>542</v>
      </c>
      <c r="E529" s="3"/>
      <c r="F529" s="3"/>
      <c r="G529" s="98">
        <f>SUM(B529:B546)</f>
        <v>23512159.309999999</v>
      </c>
    </row>
    <row r="530" spans="1:8" ht="15">
      <c r="A530" s="2" t="s">
        <v>179</v>
      </c>
      <c r="B530" s="112">
        <v>279160</v>
      </c>
      <c r="C530" s="95"/>
      <c r="D530" s="6" t="s">
        <v>542</v>
      </c>
      <c r="E530" s="3"/>
      <c r="F530" s="3"/>
    </row>
    <row r="531" spans="1:8" ht="15">
      <c r="A531" s="2" t="s">
        <v>180</v>
      </c>
      <c r="B531" s="112">
        <v>1552700</v>
      </c>
      <c r="C531" s="95"/>
      <c r="D531" s="6" t="s">
        <v>542</v>
      </c>
      <c r="E531" s="3"/>
      <c r="F531" s="3"/>
    </row>
    <row r="532" spans="1:8" ht="15">
      <c r="A532" s="2" t="s">
        <v>181</v>
      </c>
      <c r="B532" s="112">
        <v>3145174</v>
      </c>
      <c r="C532" s="95"/>
      <c r="D532" s="6" t="s">
        <v>542</v>
      </c>
      <c r="E532" s="3"/>
      <c r="F532" s="3"/>
    </row>
    <row r="533" spans="1:8" ht="15">
      <c r="A533" s="2" t="s">
        <v>188</v>
      </c>
      <c r="B533" s="112">
        <v>49920</v>
      </c>
      <c r="C533" s="95"/>
      <c r="D533" s="6" t="s">
        <v>542</v>
      </c>
      <c r="E533" s="3"/>
      <c r="F533" s="3"/>
    </row>
    <row r="534" spans="1:8" ht="15">
      <c r="A534" s="2" t="s">
        <v>1306</v>
      </c>
      <c r="B534" s="112">
        <v>1800</v>
      </c>
      <c r="C534" s="95"/>
      <c r="D534" s="6" t="s">
        <v>542</v>
      </c>
      <c r="E534" s="3"/>
      <c r="F534" s="3"/>
    </row>
    <row r="535" spans="1:8" ht="15">
      <c r="A535" s="212" t="s">
        <v>184</v>
      </c>
      <c r="B535" s="213">
        <f>2226191.01+97782.65</f>
        <v>2323973.6599999997</v>
      </c>
      <c r="C535" s="95"/>
      <c r="D535" s="6" t="s">
        <v>542</v>
      </c>
      <c r="E535" s="3"/>
      <c r="F535" s="3"/>
    </row>
    <row r="536" spans="1:8" ht="15">
      <c r="A536" s="2" t="s">
        <v>185</v>
      </c>
      <c r="B536" s="112">
        <v>1200</v>
      </c>
      <c r="C536" s="95"/>
      <c r="D536" s="6" t="s">
        <v>542</v>
      </c>
      <c r="E536" s="3"/>
      <c r="F536" s="3"/>
    </row>
    <row r="537" spans="1:8" ht="15">
      <c r="A537" s="2" t="s">
        <v>186</v>
      </c>
      <c r="B537" s="112">
        <v>3153160</v>
      </c>
      <c r="C537" s="95"/>
      <c r="D537" s="6" t="s">
        <v>542</v>
      </c>
      <c r="E537" s="3"/>
      <c r="F537" s="3"/>
    </row>
    <row r="538" spans="1:8" ht="15">
      <c r="A538" s="2" t="s">
        <v>187</v>
      </c>
      <c r="B538" s="112">
        <v>1375250</v>
      </c>
      <c r="C538" s="95"/>
      <c r="D538" s="6" t="s">
        <v>294</v>
      </c>
      <c r="E538" s="3"/>
      <c r="F538" s="3"/>
      <c r="G538" s="3"/>
      <c r="H538" s="3"/>
    </row>
    <row r="539" spans="1:8" ht="15">
      <c r="A539" s="2" t="s">
        <v>1307</v>
      </c>
      <c r="B539" s="112">
        <v>715566</v>
      </c>
      <c r="C539" s="95"/>
      <c r="D539" s="6" t="s">
        <v>542</v>
      </c>
      <c r="E539" s="3"/>
      <c r="F539" s="3"/>
    </row>
    <row r="540" spans="1:8" ht="15">
      <c r="A540" s="2" t="s">
        <v>1308</v>
      </c>
      <c r="B540" s="112">
        <v>575252</v>
      </c>
      <c r="C540" s="95"/>
      <c r="D540" s="6" t="s">
        <v>542</v>
      </c>
      <c r="E540" s="3"/>
      <c r="F540" s="3"/>
    </row>
    <row r="541" spans="1:8" ht="15">
      <c r="A541" s="2" t="s">
        <v>1309</v>
      </c>
      <c r="B541" s="112">
        <v>404577</v>
      </c>
      <c r="C541" s="95"/>
      <c r="D541" s="6" t="s">
        <v>542</v>
      </c>
      <c r="E541" s="3"/>
      <c r="F541" s="3"/>
    </row>
    <row r="542" spans="1:8" ht="15">
      <c r="A542" s="2" t="s">
        <v>1310</v>
      </c>
      <c r="B542" s="112">
        <v>2261759</v>
      </c>
      <c r="C542" s="95"/>
      <c r="D542" s="6" t="s">
        <v>542</v>
      </c>
      <c r="E542" s="3"/>
      <c r="F542" s="3"/>
    </row>
    <row r="543" spans="1:8" ht="15">
      <c r="A543" s="2" t="s">
        <v>1311</v>
      </c>
      <c r="B543" s="112">
        <v>1111758</v>
      </c>
      <c r="C543" s="95"/>
      <c r="D543" s="6" t="s">
        <v>542</v>
      </c>
      <c r="E543" s="3"/>
      <c r="F543" s="3"/>
    </row>
    <row r="544" spans="1:8" ht="15">
      <c r="A544" s="2" t="s">
        <v>1312</v>
      </c>
      <c r="B544" s="112">
        <v>1959204</v>
      </c>
      <c r="C544" s="95"/>
      <c r="D544" s="6" t="s">
        <v>542</v>
      </c>
      <c r="E544" s="3"/>
      <c r="F544" s="3"/>
    </row>
    <row r="545" spans="1:8" ht="15">
      <c r="A545" s="2" t="s">
        <v>1313</v>
      </c>
      <c r="B545" s="112">
        <v>1604748</v>
      </c>
      <c r="C545" s="95"/>
      <c r="D545" s="6" t="s">
        <v>542</v>
      </c>
      <c r="E545" s="3"/>
      <c r="F545" s="3"/>
    </row>
    <row r="546" spans="1:8" ht="15">
      <c r="A546" s="2" t="s">
        <v>1314</v>
      </c>
      <c r="B546" s="112">
        <v>2988457.65</v>
      </c>
      <c r="C546" s="95"/>
      <c r="D546" s="6" t="s">
        <v>542</v>
      </c>
      <c r="E546" s="3"/>
      <c r="F546" s="3"/>
    </row>
    <row r="547" spans="1:8">
      <c r="A547" s="1" t="s">
        <v>189</v>
      </c>
      <c r="B547" s="109"/>
      <c r="C547" s="105">
        <v>3122027</v>
      </c>
    </row>
    <row r="548" spans="1:8" ht="15">
      <c r="A548" s="13" t="s">
        <v>190</v>
      </c>
      <c r="B548" s="96"/>
      <c r="C548" s="104">
        <v>2846527</v>
      </c>
      <c r="D548" s="6" t="s">
        <v>276</v>
      </c>
      <c r="E548" s="3"/>
    </row>
    <row r="549" spans="1:8" ht="15">
      <c r="A549" s="13" t="s">
        <v>191</v>
      </c>
      <c r="B549" s="96"/>
      <c r="C549" s="104">
        <v>275500</v>
      </c>
      <c r="D549" s="6" t="s">
        <v>191</v>
      </c>
      <c r="E549" s="3"/>
    </row>
    <row r="550" spans="1:8">
      <c r="A550" s="1" t="s">
        <v>192</v>
      </c>
      <c r="B550" s="105">
        <v>43195939.450000003</v>
      </c>
      <c r="C550" s="109"/>
    </row>
    <row r="551" spans="1:8" ht="15">
      <c r="A551" s="14" t="s">
        <v>193</v>
      </c>
      <c r="B551" s="112">
        <v>371070</v>
      </c>
      <c r="C551" s="95"/>
      <c r="D551" s="6" t="s">
        <v>250</v>
      </c>
      <c r="E551" s="3"/>
      <c r="G551" t="s">
        <v>1351</v>
      </c>
    </row>
    <row r="552" spans="1:8" ht="15">
      <c r="A552" s="14" t="s">
        <v>194</v>
      </c>
      <c r="B552" s="112">
        <v>96700</v>
      </c>
      <c r="C552" s="95"/>
      <c r="D552" s="6" t="s">
        <v>952</v>
      </c>
      <c r="E552" s="3"/>
      <c r="F552" s="3"/>
      <c r="G552" s="205">
        <f>SUM(B551:B582)</f>
        <v>43559286.950000003</v>
      </c>
      <c r="H552" s="100">
        <f>G552-B550</f>
        <v>363347.5</v>
      </c>
    </row>
    <row r="553" spans="1:8">
      <c r="A553" s="13" t="s">
        <v>195</v>
      </c>
      <c r="B553" s="104">
        <v>45936</v>
      </c>
      <c r="C553" s="96"/>
      <c r="D553" t="s">
        <v>1297</v>
      </c>
    </row>
    <row r="554" spans="1:8">
      <c r="A554" s="13" t="s">
        <v>196</v>
      </c>
      <c r="B554" s="104">
        <v>6745</v>
      </c>
      <c r="C554" s="96"/>
      <c r="D554" t="s">
        <v>1299</v>
      </c>
    </row>
    <row r="555" spans="1:8" ht="15">
      <c r="A555" s="13" t="s">
        <v>1222</v>
      </c>
      <c r="B555" s="104">
        <v>39269</v>
      </c>
      <c r="C555" s="96"/>
      <c r="D555" s="6" t="s">
        <v>248</v>
      </c>
      <c r="E555" s="3"/>
      <c r="F555" s="3"/>
      <c r="G555" s="3"/>
    </row>
    <row r="556" spans="1:8" ht="15">
      <c r="A556" s="13" t="s">
        <v>197</v>
      </c>
      <c r="B556" s="104">
        <v>1260000</v>
      </c>
      <c r="C556" s="96"/>
      <c r="D556" s="6" t="s">
        <v>58</v>
      </c>
      <c r="E556" s="3"/>
      <c r="F556" s="3"/>
    </row>
    <row r="557" spans="1:8" ht="15">
      <c r="A557" s="13" t="s">
        <v>199</v>
      </c>
      <c r="B557" s="104">
        <v>150000</v>
      </c>
      <c r="C557" s="96"/>
      <c r="D557" s="6" t="s">
        <v>246</v>
      </c>
    </row>
    <row r="558" spans="1:8" ht="15">
      <c r="A558" s="13" t="s">
        <v>1221</v>
      </c>
      <c r="B558" s="104">
        <v>453466</v>
      </c>
      <c r="C558" s="96"/>
      <c r="D558" s="6" t="s">
        <v>542</v>
      </c>
      <c r="E558" s="3"/>
      <c r="F558" s="3"/>
    </row>
    <row r="559" spans="1:8" ht="15">
      <c r="A559" s="13" t="s">
        <v>200</v>
      </c>
      <c r="B559" s="104">
        <v>264914</v>
      </c>
      <c r="C559" s="96"/>
      <c r="D559" s="6" t="s">
        <v>952</v>
      </c>
      <c r="E559" s="3"/>
      <c r="F559" s="3"/>
    </row>
    <row r="560" spans="1:8" ht="15">
      <c r="A560" s="13" t="s">
        <v>1220</v>
      </c>
      <c r="B560" s="104">
        <v>4079</v>
      </c>
      <c r="C560" s="96"/>
      <c r="D560" s="6" t="s">
        <v>952</v>
      </c>
      <c r="E560" s="3"/>
      <c r="F560" s="3"/>
    </row>
    <row r="561" spans="1:8" ht="15">
      <c r="A561" s="13" t="s">
        <v>201</v>
      </c>
      <c r="B561" s="104">
        <v>17220</v>
      </c>
      <c r="C561" s="96"/>
      <c r="D561" s="6" t="s">
        <v>55</v>
      </c>
      <c r="E561" s="3"/>
      <c r="H561" s="98"/>
    </row>
    <row r="562" spans="1:8">
      <c r="A562" s="13" t="s">
        <v>1219</v>
      </c>
      <c r="B562" s="104">
        <v>178207</v>
      </c>
      <c r="C562" s="96"/>
      <c r="D562" t="s">
        <v>1302</v>
      </c>
    </row>
    <row r="563" spans="1:8" ht="15">
      <c r="A563" s="13" t="s">
        <v>202</v>
      </c>
      <c r="B563" s="104">
        <v>601976</v>
      </c>
      <c r="C563" s="96"/>
      <c r="D563" s="6" t="s">
        <v>202</v>
      </c>
      <c r="E563" s="3"/>
    </row>
    <row r="564" spans="1:8" ht="15">
      <c r="A564" s="13" t="s">
        <v>203</v>
      </c>
      <c r="B564" s="104">
        <v>10459</v>
      </c>
      <c r="C564" s="96"/>
      <c r="D564" s="6" t="s">
        <v>255</v>
      </c>
      <c r="E564" s="3"/>
      <c r="F564" s="3"/>
    </row>
    <row r="565" spans="1:8" ht="15">
      <c r="A565" s="13" t="s">
        <v>204</v>
      </c>
      <c r="B565" s="104">
        <v>24807357</v>
      </c>
      <c r="C565" s="96"/>
      <c r="D565" s="6" t="s">
        <v>56</v>
      </c>
      <c r="E565" s="3"/>
    </row>
    <row r="566" spans="1:8" ht="15">
      <c r="A566" s="13" t="s">
        <v>206</v>
      </c>
      <c r="B566" s="104">
        <v>118649</v>
      </c>
      <c r="C566" s="96"/>
      <c r="D566" s="6" t="s">
        <v>55</v>
      </c>
      <c r="E566" s="3"/>
    </row>
    <row r="567" spans="1:8" ht="15">
      <c r="A567" s="13" t="s">
        <v>207</v>
      </c>
      <c r="B567" s="104">
        <v>790413</v>
      </c>
      <c r="C567" s="96"/>
      <c r="D567" s="6" t="s">
        <v>251</v>
      </c>
      <c r="E567" s="3"/>
      <c r="F567" s="3"/>
    </row>
    <row r="568" spans="1:8" ht="15">
      <c r="A568" s="13" t="s">
        <v>208</v>
      </c>
      <c r="B568" s="104">
        <v>240113</v>
      </c>
      <c r="C568" s="96"/>
      <c r="D568" s="6" t="s">
        <v>249</v>
      </c>
      <c r="E568" s="3"/>
      <c r="F568" s="3"/>
      <c r="G568" s="3"/>
    </row>
    <row r="569" spans="1:8" ht="15">
      <c r="A569" s="13" t="s">
        <v>209</v>
      </c>
      <c r="B569" s="104">
        <v>5179041</v>
      </c>
      <c r="C569" s="96"/>
      <c r="D569" s="6" t="s">
        <v>250</v>
      </c>
      <c r="E569" s="3"/>
    </row>
    <row r="570" spans="1:8">
      <c r="A570" s="13" t="s">
        <v>210</v>
      </c>
      <c r="B570" s="104">
        <v>68309.25</v>
      </c>
      <c r="C570" s="96"/>
      <c r="D570" t="s">
        <v>1298</v>
      </c>
    </row>
    <row r="571" spans="1:8">
      <c r="A571" s="13" t="s">
        <v>211</v>
      </c>
      <c r="B571" s="104">
        <v>255000</v>
      </c>
      <c r="C571" s="96"/>
      <c r="D571" t="s">
        <v>1300</v>
      </c>
    </row>
    <row r="572" spans="1:8" ht="15">
      <c r="A572" s="13" t="s">
        <v>212</v>
      </c>
      <c r="B572" s="104">
        <v>652281</v>
      </c>
      <c r="C572" s="96"/>
      <c r="D572" s="6" t="s">
        <v>245</v>
      </c>
      <c r="E572" s="3"/>
    </row>
    <row r="573" spans="1:8">
      <c r="A573" s="13" t="s">
        <v>1218</v>
      </c>
      <c r="B573" s="104">
        <v>1342040</v>
      </c>
      <c r="C573" s="96"/>
      <c r="D573" t="s">
        <v>1301</v>
      </c>
    </row>
    <row r="574" spans="1:8" ht="15">
      <c r="A574" s="13" t="s">
        <v>1217</v>
      </c>
      <c r="B574" s="104">
        <v>319373</v>
      </c>
      <c r="C574" s="96"/>
      <c r="D574" s="6" t="s">
        <v>251</v>
      </c>
      <c r="E574" s="3"/>
      <c r="F574" s="3"/>
    </row>
    <row r="575" spans="1:8" ht="15">
      <c r="A575" s="13" t="s">
        <v>1216</v>
      </c>
      <c r="B575" s="104">
        <v>52532.7</v>
      </c>
      <c r="C575" s="96"/>
      <c r="D575" s="6" t="s">
        <v>248</v>
      </c>
      <c r="E575" s="3"/>
      <c r="F575" s="3"/>
      <c r="G575" s="3"/>
      <c r="H575">
        <v>43649139.450000003</v>
      </c>
    </row>
    <row r="576" spans="1:8" ht="15">
      <c r="A576" s="13" t="s">
        <v>213</v>
      </c>
      <c r="B576" s="104">
        <v>240594</v>
      </c>
      <c r="C576" s="96"/>
      <c r="D576" s="6" t="s">
        <v>73</v>
      </c>
      <c r="E576" s="3"/>
      <c r="H576" s="100">
        <f>H575-B550</f>
        <v>453200</v>
      </c>
    </row>
    <row r="577" spans="1:7" ht="15">
      <c r="A577" s="13" t="s">
        <v>1215</v>
      </c>
      <c r="B577" s="104">
        <v>737344</v>
      </c>
      <c r="C577" s="96"/>
      <c r="D577" s="6" t="s">
        <v>252</v>
      </c>
      <c r="E577" s="3"/>
      <c r="F577" s="3"/>
    </row>
    <row r="578" spans="1:7">
      <c r="A578" s="13" t="s">
        <v>1303</v>
      </c>
      <c r="B578" s="104">
        <v>472000</v>
      </c>
      <c r="C578" s="96"/>
      <c r="D578" t="s">
        <v>1304</v>
      </c>
    </row>
    <row r="579" spans="1:7" ht="15">
      <c r="A579" s="13" t="s">
        <v>77</v>
      </c>
      <c r="B579" s="104">
        <v>305830</v>
      </c>
      <c r="C579" s="96"/>
      <c r="D579" s="6" t="s">
        <v>253</v>
      </c>
      <c r="E579" s="3"/>
      <c r="F579" s="3"/>
    </row>
    <row r="580" spans="1:7" ht="15">
      <c r="A580" s="13" t="s">
        <v>1214</v>
      </c>
      <c r="B580" s="104">
        <v>995578</v>
      </c>
      <c r="C580" s="96"/>
      <c r="D580" s="6" t="s">
        <v>254</v>
      </c>
      <c r="E580" s="3"/>
    </row>
    <row r="581" spans="1:7" ht="15">
      <c r="A581" s="16" t="s">
        <v>1213</v>
      </c>
      <c r="B581" s="104">
        <v>974892</v>
      </c>
      <c r="C581" s="96"/>
      <c r="D581" s="6" t="s">
        <v>246</v>
      </c>
    </row>
    <row r="582" spans="1:7" ht="15">
      <c r="A582" s="13" t="s">
        <v>1212</v>
      </c>
      <c r="B582" s="104">
        <v>2507899</v>
      </c>
      <c r="C582" s="96"/>
      <c r="D582" s="6" t="s">
        <v>247</v>
      </c>
      <c r="E582" s="3"/>
      <c r="F582" s="3"/>
      <c r="G582" s="3"/>
    </row>
    <row r="583" spans="1:7">
      <c r="A583" s="2" t="s">
        <v>74</v>
      </c>
      <c r="B583" s="95"/>
      <c r="C583" s="112">
        <v>5.85</v>
      </c>
    </row>
    <row r="584" spans="1:7">
      <c r="A584" s="19" t="s">
        <v>75</v>
      </c>
      <c r="B584" s="116">
        <v>764955014.92999995</v>
      </c>
      <c r="C584" s="116">
        <v>764955014.92999995</v>
      </c>
    </row>
    <row r="588" spans="1:7">
      <c r="B588" s="98">
        <f>B13+B44+B82+B181+B190+B193+B282+B284+B304+B305+B369+B396+B432+B434+B439+B441+B445+B491+B492+B497+B499+B502+B528+B464+B476+B477+B478+B479+B480+B481+B482+B483+B484+B485+B487+B488+B489+G552</f>
        <v>170893269.95000002</v>
      </c>
      <c r="C588" s="98" t="e">
        <f>B8+C13+C44+C82+C136+C156+C178+C179+C180+C193+C305+C369+C394+C427+C436+C444+C490+C495+C547+C583</f>
        <v>#VALUE!</v>
      </c>
    </row>
    <row r="589" spans="1:7">
      <c r="C589" s="98" t="e">
        <f>B588-C588</f>
        <v>#VALUE!</v>
      </c>
    </row>
    <row r="590" spans="1:7">
      <c r="A590" s="98"/>
    </row>
  </sheetData>
  <mergeCells count="73">
    <mergeCell ref="B8:C8"/>
    <mergeCell ref="D496:E496"/>
    <mergeCell ref="D191:I191"/>
    <mergeCell ref="D37:I37"/>
    <mergeCell ref="D38:I38"/>
    <mergeCell ref="D39:I39"/>
    <mergeCell ref="D40:I40"/>
    <mergeCell ref="D41:I41"/>
    <mergeCell ref="D484:F484"/>
    <mergeCell ref="D485:F485"/>
    <mergeCell ref="D488:F488"/>
    <mergeCell ref="D489:F489"/>
    <mergeCell ref="D486:I486"/>
    <mergeCell ref="D479:F479"/>
    <mergeCell ref="D480:F480"/>
    <mergeCell ref="D483:F483"/>
    <mergeCell ref="D481:F481"/>
    <mergeCell ref="D482:F482"/>
    <mergeCell ref="D478:F478"/>
    <mergeCell ref="D476:F476"/>
    <mergeCell ref="D30:I30"/>
    <mergeCell ref="D31:I31"/>
    <mergeCell ref="D32:I32"/>
    <mergeCell ref="D33:I33"/>
    <mergeCell ref="D34:I34"/>
    <mergeCell ref="D35:I35"/>
    <mergeCell ref="D36:I36"/>
    <mergeCell ref="D451:F451"/>
    <mergeCell ref="D461:F461"/>
    <mergeCell ref="D462:F462"/>
    <mergeCell ref="D463:F463"/>
    <mergeCell ref="D477:F477"/>
    <mergeCell ref="A1:C1"/>
    <mergeCell ref="A2:C2"/>
    <mergeCell ref="A3:C3"/>
    <mergeCell ref="D28:I28"/>
    <mergeCell ref="D42:I42"/>
    <mergeCell ref="D24:I24"/>
    <mergeCell ref="D25:I25"/>
    <mergeCell ref="D26:I26"/>
    <mergeCell ref="D27:I27"/>
    <mergeCell ref="D29:I29"/>
    <mergeCell ref="B9:C9"/>
    <mergeCell ref="B10:C10"/>
    <mergeCell ref="A4:C4"/>
    <mergeCell ref="A5:C5"/>
    <mergeCell ref="A6:C6"/>
    <mergeCell ref="A7:C7"/>
    <mergeCell ref="D458:F458"/>
    <mergeCell ref="D459:F459"/>
    <mergeCell ref="D460:F460"/>
    <mergeCell ref="D394:H394"/>
    <mergeCell ref="D304:G304"/>
    <mergeCell ref="D452:F452"/>
    <mergeCell ref="D453:F453"/>
    <mergeCell ref="D454:F454"/>
    <mergeCell ref="D455:F455"/>
    <mergeCell ref="D456:F456"/>
    <mergeCell ref="D457:F457"/>
    <mergeCell ref="D446:F446"/>
    <mergeCell ref="D447:F447"/>
    <mergeCell ref="D448:F448"/>
    <mergeCell ref="D449:F449"/>
    <mergeCell ref="D450:F450"/>
    <mergeCell ref="D21:I21"/>
    <mergeCell ref="D22:I22"/>
    <mergeCell ref="D23:I23"/>
    <mergeCell ref="D15:I15"/>
    <mergeCell ref="D16:I16"/>
    <mergeCell ref="D17:I17"/>
    <mergeCell ref="D18:I18"/>
    <mergeCell ref="D19:I19"/>
    <mergeCell ref="D20:I20"/>
  </mergeCells>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1"/>
  <sheetViews>
    <sheetView view="pageBreakPreview" zoomScale="87" zoomScaleSheetLayoutView="87" workbookViewId="0">
      <selection activeCell="D23" sqref="D23"/>
    </sheetView>
  </sheetViews>
  <sheetFormatPr defaultRowHeight="14.4"/>
  <cols>
    <col min="1" max="1" width="12.44140625" customWidth="1"/>
    <col min="2" max="2" width="41.5546875" customWidth="1"/>
    <col min="3" max="4" width="18.5546875" customWidth="1"/>
  </cols>
  <sheetData>
    <row r="1" spans="1:8">
      <c r="A1" s="217" t="s">
        <v>958</v>
      </c>
      <c r="B1" s="217"/>
      <c r="C1" s="217"/>
      <c r="D1" s="217"/>
      <c r="E1" s="217"/>
      <c r="F1" s="217"/>
      <c r="G1" s="217"/>
      <c r="H1" s="217"/>
    </row>
    <row r="2" spans="1:8">
      <c r="A2" t="s">
        <v>1365</v>
      </c>
    </row>
    <row r="3" spans="1:8">
      <c r="A3" t="s">
        <v>1366</v>
      </c>
    </row>
    <row r="4" spans="1:8">
      <c r="B4" s="220" t="s">
        <v>1370</v>
      </c>
    </row>
    <row r="5" spans="1:8">
      <c r="A5" t="s">
        <v>1367</v>
      </c>
      <c r="B5" t="s">
        <v>1</v>
      </c>
      <c r="C5" t="s">
        <v>1368</v>
      </c>
      <c r="D5" t="s">
        <v>1369</v>
      </c>
    </row>
    <row r="6" spans="1:8">
      <c r="A6" s="218">
        <v>42008</v>
      </c>
      <c r="B6" t="s">
        <v>1371</v>
      </c>
      <c r="D6" s="219" t="e">
        <f>ROUND(Dep_Co!#REF!,2)</f>
        <v>#REF!</v>
      </c>
    </row>
    <row r="7" spans="1:8">
      <c r="B7" t="s">
        <v>1372</v>
      </c>
      <c r="D7" s="219" t="e">
        <f>ROUNDDOWN(Dep_Co!#REF!,2)</f>
        <v>#REF!</v>
      </c>
    </row>
    <row r="8" spans="1:8">
      <c r="B8" t="s">
        <v>1373</v>
      </c>
      <c r="C8" s="219" t="e">
        <f>SUM(D6:D7)</f>
        <v>#REF!</v>
      </c>
    </row>
    <row r="10" spans="1:8" ht="15" thickBot="1">
      <c r="C10" s="221" t="e">
        <f>SUM(C6:C9)</f>
        <v>#REF!</v>
      </c>
      <c r="D10" s="221" t="e">
        <f>SUM(D6:D9)</f>
        <v>#REF!</v>
      </c>
    </row>
    <row r="11" spans="1:8" ht="15" thickTop="1"/>
  </sheetData>
  <pageMargins left="0.70866141732283472" right="0.70866141732283472" top="0.74803149606299213" bottom="0.74803149606299213" header="0.31496062992125984" footer="0.31496062992125984"/>
  <pageSetup scale="8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113"/>
  <sheetViews>
    <sheetView workbookViewId="0">
      <selection activeCell="E1" sqref="E1"/>
    </sheetView>
  </sheetViews>
  <sheetFormatPr defaultRowHeight="14.4"/>
  <cols>
    <col min="1" max="1" width="42.44140625" bestFit="1" customWidth="1"/>
    <col min="2" max="2" width="14.44140625" bestFit="1" customWidth="1"/>
    <col min="3" max="4" width="13" bestFit="1" customWidth="1"/>
    <col min="5" max="5" width="14.44140625" bestFit="1" customWidth="1"/>
  </cols>
  <sheetData>
    <row r="1" spans="1:5" ht="15.6">
      <c r="A1" s="2699" t="s">
        <v>1296</v>
      </c>
      <c r="B1" s="2699"/>
      <c r="C1" s="2699"/>
      <c r="D1" s="195"/>
      <c r="E1" s="195"/>
    </row>
    <row r="2" spans="1:5" ht="15.6">
      <c r="A2" s="2699" t="s">
        <v>98</v>
      </c>
      <c r="B2" s="2699"/>
      <c r="C2" s="2699"/>
      <c r="D2" s="195"/>
      <c r="E2" s="195"/>
    </row>
    <row r="3" spans="1:5">
      <c r="A3" s="2700" t="s">
        <v>1329</v>
      </c>
      <c r="B3" s="2700"/>
      <c r="C3" s="2700"/>
      <c r="D3" s="195"/>
      <c r="E3" s="195"/>
    </row>
    <row r="4" spans="1:5">
      <c r="A4" s="2700" t="s">
        <v>1330</v>
      </c>
      <c r="B4" s="2700"/>
      <c r="C4" s="2700"/>
      <c r="D4" s="195"/>
      <c r="E4" s="195"/>
    </row>
    <row r="5" spans="1:5">
      <c r="A5" s="10" t="s">
        <v>82</v>
      </c>
      <c r="B5" s="2703" t="s">
        <v>98</v>
      </c>
      <c r="C5" s="2703"/>
      <c r="D5" s="2703"/>
      <c r="E5" s="2703"/>
    </row>
    <row r="6" spans="1:5">
      <c r="A6" s="118" t="s">
        <v>82</v>
      </c>
      <c r="B6" s="2704" t="s">
        <v>1296</v>
      </c>
      <c r="C6" s="2705"/>
      <c r="D6" s="2705"/>
      <c r="E6" s="2705"/>
    </row>
    <row r="7" spans="1:5">
      <c r="A7" s="11" t="s">
        <v>1</v>
      </c>
      <c r="B7" s="2706" t="s">
        <v>1330</v>
      </c>
      <c r="C7" s="2707"/>
      <c r="D7" s="2707"/>
      <c r="E7" s="2707"/>
    </row>
    <row r="8" spans="1:5">
      <c r="A8" s="11" t="s">
        <v>82</v>
      </c>
      <c r="B8" s="196" t="s">
        <v>1331</v>
      </c>
      <c r="C8" s="2708" t="s">
        <v>1332</v>
      </c>
      <c r="D8" s="2709"/>
      <c r="E8" s="196" t="s">
        <v>1333</v>
      </c>
    </row>
    <row r="9" spans="1:5">
      <c r="A9" s="12" t="s">
        <v>82</v>
      </c>
      <c r="B9" s="197" t="s">
        <v>1196</v>
      </c>
      <c r="C9" s="101" t="s">
        <v>66</v>
      </c>
      <c r="D9" s="101" t="s">
        <v>67</v>
      </c>
      <c r="E9" s="197" t="s">
        <v>1196</v>
      </c>
    </row>
    <row r="10" spans="1:5">
      <c r="A10" s="2" t="s">
        <v>732</v>
      </c>
      <c r="B10" s="198">
        <v>155431</v>
      </c>
      <c r="C10" s="96"/>
      <c r="D10" s="96"/>
      <c r="E10" s="198">
        <v>155431</v>
      </c>
    </row>
    <row r="11" spans="1:5">
      <c r="A11" s="2" t="s">
        <v>733</v>
      </c>
      <c r="B11" s="198">
        <v>236250</v>
      </c>
      <c r="C11" s="96"/>
      <c r="D11" s="96"/>
      <c r="E11" s="198">
        <v>236250</v>
      </c>
    </row>
    <row r="12" spans="1:5">
      <c r="A12" s="2" t="s">
        <v>734</v>
      </c>
      <c r="B12" s="198">
        <v>545590</v>
      </c>
      <c r="C12" s="96"/>
      <c r="D12" s="96"/>
      <c r="E12" s="198">
        <v>545590</v>
      </c>
    </row>
    <row r="13" spans="1:5">
      <c r="A13" s="2" t="s">
        <v>1263</v>
      </c>
      <c r="B13" s="198">
        <v>981536</v>
      </c>
      <c r="C13" s="104">
        <v>891150</v>
      </c>
      <c r="D13" s="104">
        <v>852390</v>
      </c>
      <c r="E13" s="198">
        <v>1020296</v>
      </c>
    </row>
    <row r="14" spans="1:5">
      <c r="A14" s="2" t="s">
        <v>735</v>
      </c>
      <c r="B14" s="198">
        <v>544334</v>
      </c>
      <c r="C14" s="96"/>
      <c r="D14" s="96"/>
      <c r="E14" s="198">
        <v>544334</v>
      </c>
    </row>
    <row r="15" spans="1:5">
      <c r="A15" s="2" t="s">
        <v>1262</v>
      </c>
      <c r="B15" s="199">
        <v>500000</v>
      </c>
      <c r="C15" s="104">
        <v>3844408</v>
      </c>
      <c r="D15" s="104">
        <v>2419633</v>
      </c>
      <c r="E15" s="198">
        <v>924775</v>
      </c>
    </row>
    <row r="16" spans="1:5">
      <c r="A16" s="2" t="s">
        <v>736</v>
      </c>
      <c r="B16" s="198">
        <v>99600</v>
      </c>
      <c r="C16" s="96"/>
      <c r="D16" s="96"/>
      <c r="E16" s="198">
        <v>99600</v>
      </c>
    </row>
    <row r="17" spans="1:5">
      <c r="A17" s="2" t="s">
        <v>737</v>
      </c>
      <c r="B17" s="199">
        <v>33200</v>
      </c>
      <c r="C17" s="96"/>
      <c r="D17" s="96"/>
      <c r="E17" s="199">
        <v>33200</v>
      </c>
    </row>
    <row r="18" spans="1:5">
      <c r="A18" s="2" t="s">
        <v>738</v>
      </c>
      <c r="B18" s="198">
        <v>190000</v>
      </c>
      <c r="C18" s="96"/>
      <c r="D18" s="96"/>
      <c r="E18" s="198">
        <v>190000</v>
      </c>
    </row>
    <row r="19" spans="1:5">
      <c r="A19" s="2" t="s">
        <v>1261</v>
      </c>
      <c r="B19" s="95"/>
      <c r="C19" s="104">
        <v>198000</v>
      </c>
      <c r="D19" s="104">
        <v>190000</v>
      </c>
      <c r="E19" s="202">
        <v>8000</v>
      </c>
    </row>
    <row r="20" spans="1:5">
      <c r="A20" s="2" t="s">
        <v>1334</v>
      </c>
      <c r="B20" s="95"/>
      <c r="C20" s="104">
        <v>19415</v>
      </c>
      <c r="D20" s="104">
        <v>19415</v>
      </c>
      <c r="E20" s="95"/>
    </row>
    <row r="21" spans="1:5">
      <c r="A21" s="2" t="s">
        <v>1335</v>
      </c>
      <c r="B21" s="95"/>
      <c r="C21" s="104">
        <v>3243806</v>
      </c>
      <c r="D21" s="104">
        <v>3243806</v>
      </c>
      <c r="E21" s="95"/>
    </row>
    <row r="22" spans="1:5">
      <c r="A22" s="2" t="s">
        <v>739</v>
      </c>
      <c r="B22" s="198">
        <v>583846</v>
      </c>
      <c r="C22" s="96"/>
      <c r="D22" s="96"/>
      <c r="E22" s="198">
        <v>583846</v>
      </c>
    </row>
    <row r="23" spans="1:5">
      <c r="A23" s="2" t="s">
        <v>1064</v>
      </c>
      <c r="B23" s="198">
        <v>219102</v>
      </c>
      <c r="C23" s="96"/>
      <c r="D23" s="96"/>
      <c r="E23" s="198">
        <v>219102</v>
      </c>
    </row>
    <row r="24" spans="1:5">
      <c r="A24" s="2" t="s">
        <v>740</v>
      </c>
      <c r="B24" s="198">
        <v>148676.74</v>
      </c>
      <c r="C24" s="96"/>
      <c r="D24" s="96"/>
      <c r="E24" s="198">
        <v>148676.74</v>
      </c>
    </row>
    <row r="25" spans="1:5">
      <c r="A25" s="2" t="s">
        <v>741</v>
      </c>
      <c r="B25" s="198">
        <v>3351318</v>
      </c>
      <c r="C25" s="104">
        <v>13899455</v>
      </c>
      <c r="D25" s="104">
        <v>12833523</v>
      </c>
      <c r="E25" s="198">
        <v>4417250</v>
      </c>
    </row>
    <row r="26" spans="1:5">
      <c r="A26" s="2" t="s">
        <v>1065</v>
      </c>
      <c r="B26" s="95"/>
      <c r="C26" s="104">
        <v>6948338</v>
      </c>
      <c r="D26" s="104">
        <v>4608665</v>
      </c>
      <c r="E26" s="202">
        <v>2339673</v>
      </c>
    </row>
    <row r="27" spans="1:5">
      <c r="A27" s="2" t="s">
        <v>1260</v>
      </c>
      <c r="B27" s="95"/>
      <c r="C27" s="104">
        <v>18727284</v>
      </c>
      <c r="D27" s="104">
        <v>18697921</v>
      </c>
      <c r="E27" s="202">
        <v>29363</v>
      </c>
    </row>
    <row r="28" spans="1:5">
      <c r="A28" s="2" t="s">
        <v>742</v>
      </c>
      <c r="B28" s="198">
        <v>8140558.9400000004</v>
      </c>
      <c r="C28" s="104">
        <v>6950277</v>
      </c>
      <c r="D28" s="104">
        <v>2409499.38</v>
      </c>
      <c r="E28" s="198">
        <v>12681336.560000001</v>
      </c>
    </row>
    <row r="29" spans="1:5">
      <c r="A29" s="2" t="s">
        <v>743</v>
      </c>
      <c r="B29" s="198">
        <v>2718033.17</v>
      </c>
      <c r="C29" s="96"/>
      <c r="D29" s="104">
        <v>2718033.17</v>
      </c>
      <c r="E29" s="95"/>
    </row>
    <row r="30" spans="1:5">
      <c r="A30" s="2" t="s">
        <v>1066</v>
      </c>
      <c r="B30" s="198">
        <v>3503269</v>
      </c>
      <c r="C30" s="104">
        <v>1844488</v>
      </c>
      <c r="D30" s="104">
        <v>5142285</v>
      </c>
      <c r="E30" s="198">
        <v>205472</v>
      </c>
    </row>
    <row r="31" spans="1:5">
      <c r="A31" s="2" t="s">
        <v>744</v>
      </c>
      <c r="B31" s="198">
        <v>124638</v>
      </c>
      <c r="C31" s="96"/>
      <c r="D31" s="96"/>
      <c r="E31" s="198">
        <v>124638</v>
      </c>
    </row>
    <row r="32" spans="1:5">
      <c r="A32" s="2" t="s">
        <v>745</v>
      </c>
      <c r="B32" s="198">
        <v>3227333</v>
      </c>
      <c r="C32" s="96"/>
      <c r="D32" s="104">
        <v>100000</v>
      </c>
      <c r="E32" s="198">
        <v>3127333</v>
      </c>
    </row>
    <row r="33" spans="1:5">
      <c r="A33" s="2" t="s">
        <v>746</v>
      </c>
      <c r="B33" s="198">
        <v>19831</v>
      </c>
      <c r="C33" s="96"/>
      <c r="D33" s="96"/>
      <c r="E33" s="198">
        <v>19831</v>
      </c>
    </row>
    <row r="34" spans="1:5">
      <c r="A34" s="2" t="s">
        <v>747</v>
      </c>
      <c r="B34" s="198">
        <v>1190827</v>
      </c>
      <c r="C34" s="96"/>
      <c r="D34" s="96"/>
      <c r="E34" s="198">
        <v>1190827</v>
      </c>
    </row>
    <row r="35" spans="1:5">
      <c r="A35" s="2" t="s">
        <v>748</v>
      </c>
      <c r="B35" s="198">
        <v>335266</v>
      </c>
      <c r="C35" s="96"/>
      <c r="D35" s="96"/>
      <c r="E35" s="198">
        <v>335266</v>
      </c>
    </row>
    <row r="36" spans="1:5">
      <c r="A36" s="2" t="s">
        <v>749</v>
      </c>
      <c r="B36" s="198">
        <v>4618</v>
      </c>
      <c r="C36" s="96"/>
      <c r="D36" s="96"/>
      <c r="E36" s="198">
        <v>4618</v>
      </c>
    </row>
    <row r="37" spans="1:5">
      <c r="A37" s="2" t="s">
        <v>1336</v>
      </c>
      <c r="B37" s="199">
        <v>1568000</v>
      </c>
      <c r="C37" s="104">
        <v>2548000</v>
      </c>
      <c r="D37" s="104">
        <v>980000</v>
      </c>
      <c r="E37" s="95"/>
    </row>
    <row r="38" spans="1:5">
      <c r="A38" s="2" t="s">
        <v>750</v>
      </c>
      <c r="B38" s="198">
        <v>1262140</v>
      </c>
      <c r="C38" s="96"/>
      <c r="D38" s="96"/>
      <c r="E38" s="198">
        <v>1262140</v>
      </c>
    </row>
    <row r="39" spans="1:5">
      <c r="A39" s="2" t="s">
        <v>1337</v>
      </c>
      <c r="B39" s="198">
        <v>1061432</v>
      </c>
      <c r="C39" s="96"/>
      <c r="D39" s="104">
        <v>1061432</v>
      </c>
      <c r="E39" s="95"/>
    </row>
    <row r="40" spans="1:5">
      <c r="A40" s="2" t="s">
        <v>751</v>
      </c>
      <c r="B40" s="198">
        <v>46517</v>
      </c>
      <c r="C40" s="96"/>
      <c r="D40" s="96"/>
      <c r="E40" s="198">
        <v>46517</v>
      </c>
    </row>
    <row r="41" spans="1:5">
      <c r="A41" s="2" t="s">
        <v>752</v>
      </c>
      <c r="B41" s="198">
        <v>680133</v>
      </c>
      <c r="C41" s="96"/>
      <c r="D41" s="104">
        <v>155000</v>
      </c>
      <c r="E41" s="198">
        <v>525133</v>
      </c>
    </row>
    <row r="42" spans="1:5">
      <c r="A42" s="2" t="s">
        <v>753</v>
      </c>
      <c r="B42" s="198">
        <v>607145.86</v>
      </c>
      <c r="C42" s="96"/>
      <c r="D42" s="96"/>
      <c r="E42" s="198">
        <v>607145.86</v>
      </c>
    </row>
    <row r="43" spans="1:5">
      <c r="A43" s="2" t="s">
        <v>1338</v>
      </c>
      <c r="B43" s="95"/>
      <c r="C43" s="104">
        <v>87210</v>
      </c>
      <c r="D43" s="104">
        <v>87210</v>
      </c>
      <c r="E43" s="95"/>
    </row>
    <row r="44" spans="1:5">
      <c r="A44" s="2" t="s">
        <v>754</v>
      </c>
      <c r="B44" s="198">
        <v>1160600</v>
      </c>
      <c r="C44" s="96"/>
      <c r="D44" s="96"/>
      <c r="E44" s="198">
        <v>1160600</v>
      </c>
    </row>
    <row r="45" spans="1:5">
      <c r="A45" s="2" t="s">
        <v>1067</v>
      </c>
      <c r="B45" s="198">
        <v>1792441</v>
      </c>
      <c r="C45" s="96"/>
      <c r="D45" s="104">
        <v>500000</v>
      </c>
      <c r="E45" s="198">
        <v>1292441</v>
      </c>
    </row>
    <row r="46" spans="1:5">
      <c r="A46" s="2" t="s">
        <v>1339</v>
      </c>
      <c r="B46" s="95"/>
      <c r="C46" s="104">
        <v>1116190</v>
      </c>
      <c r="D46" s="104">
        <v>1116190</v>
      </c>
      <c r="E46" s="95"/>
    </row>
    <row r="47" spans="1:5">
      <c r="A47" s="2" t="s">
        <v>1068</v>
      </c>
      <c r="B47" s="198">
        <v>395233</v>
      </c>
      <c r="C47" s="104">
        <v>148200</v>
      </c>
      <c r="D47" s="104">
        <v>490507</v>
      </c>
      <c r="E47" s="198">
        <v>52926</v>
      </c>
    </row>
    <row r="48" spans="1:5">
      <c r="A48" s="2" t="s">
        <v>756</v>
      </c>
      <c r="B48" s="198">
        <v>98880</v>
      </c>
      <c r="C48" s="96"/>
      <c r="D48" s="96"/>
      <c r="E48" s="198">
        <v>98880</v>
      </c>
    </row>
    <row r="49" spans="1:5">
      <c r="A49" s="2" t="s">
        <v>1259</v>
      </c>
      <c r="B49" s="198">
        <v>1679104</v>
      </c>
      <c r="C49" s="96"/>
      <c r="D49" s="104">
        <v>1632721</v>
      </c>
      <c r="E49" s="198">
        <v>46383</v>
      </c>
    </row>
    <row r="50" spans="1:5">
      <c r="A50" s="2" t="s">
        <v>1069</v>
      </c>
      <c r="B50" s="198">
        <v>39089</v>
      </c>
      <c r="C50" s="96"/>
      <c r="D50" s="96"/>
      <c r="E50" s="198">
        <v>39089</v>
      </c>
    </row>
    <row r="51" spans="1:5">
      <c r="A51" s="2" t="s">
        <v>757</v>
      </c>
      <c r="B51" s="198">
        <v>223362</v>
      </c>
      <c r="C51" s="96"/>
      <c r="D51" s="96"/>
      <c r="E51" s="198">
        <v>223362</v>
      </c>
    </row>
    <row r="52" spans="1:5">
      <c r="A52" s="2" t="s">
        <v>1258</v>
      </c>
      <c r="B52" s="199">
        <v>3313519.16</v>
      </c>
      <c r="C52" s="104">
        <v>20267444</v>
      </c>
      <c r="D52" s="104">
        <v>15756587.23</v>
      </c>
      <c r="E52" s="198">
        <v>1197337.6100000001</v>
      </c>
    </row>
    <row r="53" spans="1:5">
      <c r="A53" s="2" t="s">
        <v>1070</v>
      </c>
      <c r="B53" s="199">
        <v>33660.03</v>
      </c>
      <c r="C53" s="104">
        <v>4248709</v>
      </c>
      <c r="D53" s="104">
        <v>4215048.97</v>
      </c>
      <c r="E53" s="95"/>
    </row>
    <row r="54" spans="1:5">
      <c r="A54" s="2" t="s">
        <v>1257</v>
      </c>
      <c r="B54" s="95"/>
      <c r="C54" s="96"/>
      <c r="D54" s="104">
        <v>4500000</v>
      </c>
      <c r="E54" s="199">
        <v>4500000</v>
      </c>
    </row>
    <row r="55" spans="1:5">
      <c r="A55" s="2" t="s">
        <v>758</v>
      </c>
      <c r="B55" s="198">
        <v>83725</v>
      </c>
      <c r="C55" s="96"/>
      <c r="D55" s="96"/>
      <c r="E55" s="198">
        <v>83725</v>
      </c>
    </row>
    <row r="56" spans="1:5">
      <c r="A56" s="2" t="s">
        <v>759</v>
      </c>
      <c r="B56" s="199">
        <v>55634</v>
      </c>
      <c r="C56" s="96"/>
      <c r="D56" s="96"/>
      <c r="E56" s="199">
        <v>55634</v>
      </c>
    </row>
    <row r="57" spans="1:5">
      <c r="A57" s="2" t="s">
        <v>760</v>
      </c>
      <c r="B57" s="199">
        <v>520308</v>
      </c>
      <c r="C57" s="96"/>
      <c r="D57" s="96"/>
      <c r="E57" s="199">
        <v>520308</v>
      </c>
    </row>
    <row r="58" spans="1:5">
      <c r="A58" s="2" t="s">
        <v>761</v>
      </c>
      <c r="B58" s="198">
        <v>598527</v>
      </c>
      <c r="C58" s="96"/>
      <c r="D58" s="96"/>
      <c r="E58" s="198">
        <v>598527</v>
      </c>
    </row>
    <row r="59" spans="1:5">
      <c r="A59" s="2" t="s">
        <v>762</v>
      </c>
      <c r="B59" s="198">
        <v>106744</v>
      </c>
      <c r="C59" s="96"/>
      <c r="D59" s="96"/>
      <c r="E59" s="198">
        <v>106744</v>
      </c>
    </row>
    <row r="60" spans="1:5">
      <c r="A60" s="2" t="s">
        <v>1071</v>
      </c>
      <c r="B60" s="198">
        <v>44934</v>
      </c>
      <c r="C60" s="96"/>
      <c r="D60" s="96"/>
      <c r="E60" s="198">
        <v>44934</v>
      </c>
    </row>
    <row r="61" spans="1:5">
      <c r="A61" s="2" t="s">
        <v>763</v>
      </c>
      <c r="B61" s="198">
        <v>25127</v>
      </c>
      <c r="C61" s="96"/>
      <c r="D61" s="96"/>
      <c r="E61" s="198">
        <v>25127</v>
      </c>
    </row>
    <row r="62" spans="1:5">
      <c r="A62" s="2" t="s">
        <v>764</v>
      </c>
      <c r="B62" s="198">
        <v>788243</v>
      </c>
      <c r="C62" s="96"/>
      <c r="D62" s="96"/>
      <c r="E62" s="198">
        <v>788243</v>
      </c>
    </row>
    <row r="63" spans="1:5">
      <c r="A63" s="2" t="s">
        <v>765</v>
      </c>
      <c r="B63" s="198">
        <v>59720</v>
      </c>
      <c r="C63" s="96"/>
      <c r="D63" s="96"/>
      <c r="E63" s="198">
        <v>59720</v>
      </c>
    </row>
    <row r="64" spans="1:5">
      <c r="A64" s="2" t="s">
        <v>766</v>
      </c>
      <c r="B64" s="198">
        <v>6395</v>
      </c>
      <c r="C64" s="96"/>
      <c r="D64" s="96"/>
      <c r="E64" s="198">
        <v>6395</v>
      </c>
    </row>
    <row r="65" spans="1:5">
      <c r="A65" s="2" t="s">
        <v>767</v>
      </c>
      <c r="B65" s="198">
        <v>10740</v>
      </c>
      <c r="C65" s="96"/>
      <c r="D65" s="96"/>
      <c r="E65" s="198">
        <v>10740</v>
      </c>
    </row>
    <row r="66" spans="1:5">
      <c r="A66" s="2" t="s">
        <v>768</v>
      </c>
      <c r="B66" s="198">
        <v>38625</v>
      </c>
      <c r="C66" s="96"/>
      <c r="D66" s="96"/>
      <c r="E66" s="198">
        <v>38625</v>
      </c>
    </row>
    <row r="67" spans="1:5">
      <c r="A67" s="2" t="s">
        <v>1340</v>
      </c>
      <c r="B67" s="95"/>
      <c r="C67" s="104">
        <v>2490000</v>
      </c>
      <c r="D67" s="104">
        <v>2490000</v>
      </c>
      <c r="E67" s="95"/>
    </row>
    <row r="68" spans="1:5">
      <c r="A68" s="2" t="s">
        <v>1256</v>
      </c>
      <c r="B68" s="95"/>
      <c r="C68" s="96"/>
      <c r="D68" s="104">
        <v>195871</v>
      </c>
      <c r="E68" s="199">
        <v>195871</v>
      </c>
    </row>
    <row r="69" spans="1:5">
      <c r="A69" s="2" t="s">
        <v>769</v>
      </c>
      <c r="B69" s="198">
        <v>233374</v>
      </c>
      <c r="C69" s="96"/>
      <c r="D69" s="96"/>
      <c r="E69" s="198">
        <v>233374</v>
      </c>
    </row>
    <row r="70" spans="1:5">
      <c r="A70" s="2" t="s">
        <v>1072</v>
      </c>
      <c r="B70" s="198">
        <v>2747603</v>
      </c>
      <c r="C70" s="96"/>
      <c r="D70" s="96"/>
      <c r="E70" s="198">
        <v>2747603</v>
      </c>
    </row>
    <row r="71" spans="1:5">
      <c r="A71" s="2" t="s">
        <v>770</v>
      </c>
      <c r="B71" s="198">
        <v>233363</v>
      </c>
      <c r="C71" s="96"/>
      <c r="D71" s="96"/>
      <c r="E71" s="198">
        <v>233363</v>
      </c>
    </row>
    <row r="72" spans="1:5">
      <c r="A72" s="2" t="s">
        <v>771</v>
      </c>
      <c r="B72" s="198">
        <v>615250</v>
      </c>
      <c r="C72" s="96"/>
      <c r="D72" s="96"/>
      <c r="E72" s="198">
        <v>615250</v>
      </c>
    </row>
    <row r="73" spans="1:5">
      <c r="A73" s="2" t="s">
        <v>772</v>
      </c>
      <c r="B73" s="198">
        <v>2331244</v>
      </c>
      <c r="C73" s="96"/>
      <c r="D73" s="96"/>
      <c r="E73" s="198">
        <v>2331244</v>
      </c>
    </row>
    <row r="74" spans="1:5">
      <c r="A74" s="2" t="s">
        <v>773</v>
      </c>
      <c r="B74" s="198">
        <v>797849</v>
      </c>
      <c r="C74" s="96"/>
      <c r="D74" s="96"/>
      <c r="E74" s="198">
        <v>797849</v>
      </c>
    </row>
    <row r="75" spans="1:5">
      <c r="A75" s="2" t="s">
        <v>1341</v>
      </c>
      <c r="B75" s="95"/>
      <c r="C75" s="104">
        <v>691000</v>
      </c>
      <c r="D75" s="104">
        <v>691000</v>
      </c>
      <c r="E75" s="95"/>
    </row>
    <row r="76" spans="1:5">
      <c r="A76" s="2" t="s">
        <v>774</v>
      </c>
      <c r="B76" s="198">
        <v>121740</v>
      </c>
      <c r="C76" s="96"/>
      <c r="D76" s="96"/>
      <c r="E76" s="198">
        <v>121740</v>
      </c>
    </row>
    <row r="77" spans="1:5">
      <c r="A77" s="2" t="s">
        <v>775</v>
      </c>
      <c r="B77" s="198">
        <v>233091</v>
      </c>
      <c r="C77" s="96"/>
      <c r="D77" s="104">
        <v>233091</v>
      </c>
      <c r="E77" s="95"/>
    </row>
    <row r="78" spans="1:5">
      <c r="A78" s="2" t="s">
        <v>1073</v>
      </c>
      <c r="B78" s="198">
        <v>7343</v>
      </c>
      <c r="C78" s="96"/>
      <c r="D78" s="96"/>
      <c r="E78" s="198">
        <v>7343</v>
      </c>
    </row>
    <row r="79" spans="1:5">
      <c r="A79" s="2" t="s">
        <v>776</v>
      </c>
      <c r="B79" s="198">
        <v>204110</v>
      </c>
      <c r="C79" s="96"/>
      <c r="D79" s="96"/>
      <c r="E79" s="198">
        <v>204110</v>
      </c>
    </row>
    <row r="80" spans="1:5">
      <c r="A80" s="2" t="s">
        <v>1342</v>
      </c>
      <c r="B80" s="199">
        <v>3393720</v>
      </c>
      <c r="C80" s="104">
        <v>7143720</v>
      </c>
      <c r="D80" s="104">
        <v>3750000</v>
      </c>
      <c r="E80" s="95"/>
    </row>
    <row r="81" spans="1:5">
      <c r="A81" s="2" t="s">
        <v>777</v>
      </c>
      <c r="B81" s="198">
        <v>120356</v>
      </c>
      <c r="C81" s="96"/>
      <c r="D81" s="96"/>
      <c r="E81" s="198">
        <v>120356</v>
      </c>
    </row>
    <row r="82" spans="1:5">
      <c r="A82" s="2" t="s">
        <v>778</v>
      </c>
      <c r="B82" s="198">
        <v>42531</v>
      </c>
      <c r="C82" s="96"/>
      <c r="D82" s="96"/>
      <c r="E82" s="198">
        <v>42531</v>
      </c>
    </row>
    <row r="83" spans="1:5">
      <c r="A83" s="2" t="s">
        <v>1255</v>
      </c>
      <c r="B83" s="198">
        <v>3777610</v>
      </c>
      <c r="C83" s="96"/>
      <c r="D83" s="104">
        <v>2250000</v>
      </c>
      <c r="E83" s="198">
        <v>1527610</v>
      </c>
    </row>
    <row r="84" spans="1:5">
      <c r="A84" s="2" t="s">
        <v>779</v>
      </c>
      <c r="B84" s="198">
        <v>1107960</v>
      </c>
      <c r="C84" s="96"/>
      <c r="D84" s="96"/>
      <c r="E84" s="198">
        <v>1107960</v>
      </c>
    </row>
    <row r="85" spans="1:5">
      <c r="A85" s="2" t="s">
        <v>780</v>
      </c>
      <c r="B85" s="198">
        <v>118545</v>
      </c>
      <c r="C85" s="96"/>
      <c r="D85" s="96"/>
      <c r="E85" s="198">
        <v>118545</v>
      </c>
    </row>
    <row r="86" spans="1:5">
      <c r="A86" s="2" t="s">
        <v>782</v>
      </c>
      <c r="B86" s="198">
        <v>1070809</v>
      </c>
      <c r="C86" s="96"/>
      <c r="D86" s="96"/>
      <c r="E86" s="198">
        <v>1070809</v>
      </c>
    </row>
    <row r="87" spans="1:5">
      <c r="A87" s="2" t="s">
        <v>783</v>
      </c>
      <c r="B87" s="198">
        <v>2662058</v>
      </c>
      <c r="C87" s="96"/>
      <c r="D87" s="96"/>
      <c r="E87" s="198">
        <v>2662058</v>
      </c>
    </row>
    <row r="88" spans="1:5">
      <c r="A88" s="2" t="s">
        <v>1254</v>
      </c>
      <c r="B88" s="198">
        <v>1425600</v>
      </c>
      <c r="C88" s="104">
        <v>1425600</v>
      </c>
      <c r="D88" s="104">
        <v>2224000</v>
      </c>
      <c r="E88" s="198">
        <v>627200</v>
      </c>
    </row>
    <row r="89" spans="1:5">
      <c r="A89" s="2" t="s">
        <v>1074</v>
      </c>
      <c r="B89" s="95"/>
      <c r="C89" s="104">
        <v>148200</v>
      </c>
      <c r="D89" s="104">
        <v>148200</v>
      </c>
      <c r="E89" s="95"/>
    </row>
    <row r="90" spans="1:5">
      <c r="A90" s="2" t="s">
        <v>1253</v>
      </c>
      <c r="B90" s="198">
        <v>55566</v>
      </c>
      <c r="C90" s="104">
        <v>2473200</v>
      </c>
      <c r="D90" s="104">
        <v>2225799</v>
      </c>
      <c r="E90" s="198">
        <v>302967</v>
      </c>
    </row>
    <row r="91" spans="1:5">
      <c r="A91" s="2" t="s">
        <v>784</v>
      </c>
      <c r="B91" s="198">
        <v>242444</v>
      </c>
      <c r="C91" s="96"/>
      <c r="D91" s="96"/>
      <c r="E91" s="198">
        <v>242444</v>
      </c>
    </row>
    <row r="92" spans="1:5">
      <c r="A92" s="2" t="s">
        <v>1075</v>
      </c>
      <c r="B92" s="198">
        <v>53934</v>
      </c>
      <c r="C92" s="96"/>
      <c r="D92" s="96"/>
      <c r="E92" s="198">
        <v>53934</v>
      </c>
    </row>
    <row r="93" spans="1:5">
      <c r="A93" s="2" t="s">
        <v>1252</v>
      </c>
      <c r="B93" s="95"/>
      <c r="C93" s="96"/>
      <c r="D93" s="104">
        <v>100000</v>
      </c>
      <c r="E93" s="199">
        <v>100000</v>
      </c>
    </row>
    <row r="94" spans="1:5">
      <c r="A94" s="2" t="s">
        <v>785</v>
      </c>
      <c r="B94" s="198">
        <v>141152</v>
      </c>
      <c r="C94" s="96"/>
      <c r="D94" s="96"/>
      <c r="E94" s="198">
        <v>141152</v>
      </c>
    </row>
    <row r="95" spans="1:5">
      <c r="A95" s="2" t="s">
        <v>786</v>
      </c>
      <c r="B95" s="198">
        <v>139556.68</v>
      </c>
      <c r="C95" s="96"/>
      <c r="D95" s="96"/>
      <c r="E95" s="198">
        <v>139556.68</v>
      </c>
    </row>
    <row r="96" spans="1:5">
      <c r="A96" s="2" t="s">
        <v>787</v>
      </c>
      <c r="B96" s="198">
        <v>99043</v>
      </c>
      <c r="C96" s="96"/>
      <c r="D96" s="96"/>
      <c r="E96" s="198">
        <v>99043</v>
      </c>
    </row>
    <row r="97" spans="1:5">
      <c r="A97" s="2" t="s">
        <v>788</v>
      </c>
      <c r="B97" s="198">
        <v>123227</v>
      </c>
      <c r="C97" s="96"/>
      <c r="D97" s="96"/>
      <c r="E97" s="198">
        <v>123227</v>
      </c>
    </row>
    <row r="98" spans="1:5">
      <c r="A98" s="2" t="s">
        <v>789</v>
      </c>
      <c r="B98" s="198">
        <v>309980</v>
      </c>
      <c r="C98" s="96"/>
      <c r="D98" s="96"/>
      <c r="E98" s="198">
        <v>309980</v>
      </c>
    </row>
    <row r="99" spans="1:5">
      <c r="A99" s="2" t="s">
        <v>790</v>
      </c>
      <c r="B99" s="198">
        <v>94992</v>
      </c>
      <c r="C99" s="96"/>
      <c r="D99" s="96"/>
      <c r="E99" s="198">
        <v>94992</v>
      </c>
    </row>
    <row r="100" spans="1:5">
      <c r="A100" s="2" t="s">
        <v>791</v>
      </c>
      <c r="B100" s="198">
        <v>460474</v>
      </c>
      <c r="C100" s="96"/>
      <c r="D100" s="96"/>
      <c r="E100" s="198">
        <v>460474</v>
      </c>
    </row>
    <row r="101" spans="1:5">
      <c r="A101" s="2" t="s">
        <v>792</v>
      </c>
      <c r="B101" s="198">
        <v>347944</v>
      </c>
      <c r="C101" s="96"/>
      <c r="D101" s="96"/>
      <c r="E101" s="198">
        <v>347944</v>
      </c>
    </row>
    <row r="102" spans="1:5">
      <c r="A102" s="2" t="s">
        <v>1343</v>
      </c>
      <c r="B102" s="199">
        <v>1600000</v>
      </c>
      <c r="C102" s="104">
        <v>2850000</v>
      </c>
      <c r="D102" s="104">
        <v>1250000</v>
      </c>
      <c r="E102" s="95"/>
    </row>
    <row r="103" spans="1:5">
      <c r="A103" s="2" t="s">
        <v>1344</v>
      </c>
      <c r="B103" s="199">
        <v>1500000</v>
      </c>
      <c r="C103" s="104">
        <v>4800000</v>
      </c>
      <c r="D103" s="104">
        <v>3300000</v>
      </c>
      <c r="E103" s="95"/>
    </row>
    <row r="104" spans="1:5">
      <c r="A104" s="2" t="s">
        <v>1251</v>
      </c>
      <c r="B104" s="95"/>
      <c r="C104" s="104">
        <v>14665494</v>
      </c>
      <c r="D104" s="104">
        <v>13064763</v>
      </c>
      <c r="E104" s="202">
        <v>1600731</v>
      </c>
    </row>
    <row r="105" spans="1:5">
      <c r="A105" s="2" t="s">
        <v>793</v>
      </c>
      <c r="B105" s="198">
        <v>9152</v>
      </c>
      <c r="C105" s="96"/>
      <c r="D105" s="96"/>
      <c r="E105" s="198">
        <v>9152</v>
      </c>
    </row>
    <row r="106" spans="1:5">
      <c r="A106" s="2" t="s">
        <v>794</v>
      </c>
      <c r="B106" s="198">
        <v>474051.8</v>
      </c>
      <c r="C106" s="96"/>
      <c r="D106" s="96"/>
      <c r="E106" s="198">
        <v>474051.8</v>
      </c>
    </row>
    <row r="107" spans="1:5">
      <c r="A107" s="2" t="s">
        <v>1250</v>
      </c>
      <c r="B107" s="198">
        <v>1489163</v>
      </c>
      <c r="C107" s="96"/>
      <c r="D107" s="96"/>
      <c r="E107" s="198">
        <v>1489163</v>
      </c>
    </row>
    <row r="108" spans="1:5">
      <c r="A108" s="2" t="s">
        <v>1249</v>
      </c>
      <c r="B108" s="198">
        <v>2555456</v>
      </c>
      <c r="C108" s="104">
        <v>1048500</v>
      </c>
      <c r="D108" s="104">
        <v>3502981</v>
      </c>
      <c r="E108" s="198">
        <v>100975</v>
      </c>
    </row>
    <row r="109" spans="1:5">
      <c r="A109" s="2" t="s">
        <v>1076</v>
      </c>
      <c r="B109" s="198">
        <v>87472</v>
      </c>
      <c r="C109" s="96"/>
      <c r="D109" s="96"/>
      <c r="E109" s="198">
        <v>87472</v>
      </c>
    </row>
    <row r="110" spans="1:5">
      <c r="A110" s="2" t="s">
        <v>802</v>
      </c>
      <c r="B110" s="198">
        <v>157637</v>
      </c>
      <c r="C110" s="96"/>
      <c r="D110" s="96"/>
      <c r="E110" s="198">
        <v>157637</v>
      </c>
    </row>
    <row r="111" spans="1:5">
      <c r="A111" s="2" t="s">
        <v>1248</v>
      </c>
      <c r="B111" s="198">
        <v>501600</v>
      </c>
      <c r="C111" s="104">
        <v>1534300</v>
      </c>
      <c r="D111" s="104">
        <v>2010000</v>
      </c>
      <c r="E111" s="198">
        <v>25900</v>
      </c>
    </row>
    <row r="112" spans="1:5">
      <c r="A112" s="2" t="s">
        <v>803</v>
      </c>
      <c r="B112" s="198">
        <v>5297</v>
      </c>
      <c r="C112" s="96"/>
      <c r="D112" s="96"/>
      <c r="E112" s="198">
        <v>5297</v>
      </c>
    </row>
    <row r="113" spans="1:5">
      <c r="A113" s="19" t="s">
        <v>75</v>
      </c>
      <c r="B113" s="200">
        <v>49809451</v>
      </c>
      <c r="C113" s="201">
        <v>124252388</v>
      </c>
      <c r="D113" s="201">
        <v>121165571.75</v>
      </c>
      <c r="E113" s="200">
        <v>52896267.25</v>
      </c>
    </row>
  </sheetData>
  <mergeCells count="8">
    <mergeCell ref="B7:E7"/>
    <mergeCell ref="C8:D8"/>
    <mergeCell ref="A1:C1"/>
    <mergeCell ref="A2:C2"/>
    <mergeCell ref="A3:C3"/>
    <mergeCell ref="A4:C4"/>
    <mergeCell ref="B5:E5"/>
    <mergeCell ref="B6:E6"/>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1:L176"/>
  <sheetViews>
    <sheetView view="pageBreakPreview" topLeftCell="B5" zoomScale="90" zoomScaleSheetLayoutView="90" workbookViewId="0">
      <selection activeCell="I54" sqref="I54:K69"/>
    </sheetView>
  </sheetViews>
  <sheetFormatPr defaultColWidth="8.5546875" defaultRowHeight="14.4"/>
  <cols>
    <col min="1" max="1" width="8.5546875" style="9"/>
    <col min="2" max="2" width="6.5546875" style="9" customWidth="1"/>
    <col min="3" max="3" width="50.5546875" style="9" customWidth="1"/>
    <col min="4" max="4" width="18.5546875" style="9" bestFit="1" customWidth="1"/>
    <col min="5" max="5" width="18.5546875" style="9" customWidth="1"/>
    <col min="6" max="6" width="17" style="9" bestFit="1" customWidth="1"/>
    <col min="7" max="7" width="16.44140625" style="9" bestFit="1" customWidth="1"/>
    <col min="8" max="8" width="14.5546875" style="9" customWidth="1"/>
    <col min="9" max="9" width="15.44140625" style="9" customWidth="1"/>
    <col min="10" max="10" width="16.44140625" style="9" customWidth="1"/>
    <col min="11" max="11" width="21.5546875" style="9" customWidth="1"/>
    <col min="12" max="12" width="14.44140625" style="9" customWidth="1"/>
    <col min="13" max="16384" width="8.5546875" style="9"/>
  </cols>
  <sheetData>
    <row r="1" spans="2:11" ht="15" hidden="1" thickBot="1">
      <c r="B1" s="3367" t="s">
        <v>443</v>
      </c>
      <c r="C1" s="3368"/>
      <c r="D1" s="3368"/>
      <c r="E1" s="3368"/>
      <c r="F1" s="3368"/>
      <c r="G1" s="3369"/>
    </row>
    <row r="2" spans="2:11">
      <c r="B2" s="188"/>
      <c r="C2" s="166"/>
      <c r="D2" s="166"/>
      <c r="E2" s="166"/>
      <c r="F2" s="166"/>
      <c r="G2" s="167"/>
    </row>
    <row r="3" spans="2:11" ht="15" customHeight="1">
      <c r="B3" s="3370"/>
      <c r="C3" s="3371"/>
      <c r="D3" s="3371"/>
      <c r="E3" s="3371"/>
      <c r="F3" s="3371"/>
      <c r="G3" s="3372"/>
    </row>
    <row r="4" spans="2:11" ht="15" customHeight="1">
      <c r="B4" s="3373"/>
      <c r="C4" s="3374"/>
      <c r="D4" s="3374"/>
      <c r="E4" s="3374"/>
      <c r="F4" s="3374"/>
      <c r="G4" s="3375"/>
    </row>
    <row r="5" spans="2:11">
      <c r="B5" s="3370" t="s">
        <v>1210</v>
      </c>
      <c r="C5" s="3371"/>
      <c r="D5" s="3371"/>
      <c r="E5" s="3371"/>
      <c r="F5" s="3371"/>
      <c r="G5" s="3372"/>
    </row>
    <row r="6" spans="2:11" ht="15" thickBot="1">
      <c r="B6" s="189"/>
      <c r="C6" s="87"/>
      <c r="D6" s="3376"/>
      <c r="E6" s="3376"/>
      <c r="F6" s="3376"/>
      <c r="G6" s="3377"/>
    </row>
    <row r="7" spans="2:11" ht="23.25" customHeight="1">
      <c r="B7" s="3361" t="s">
        <v>1</v>
      </c>
      <c r="C7" s="3362"/>
      <c r="D7" s="3363" t="s">
        <v>1211</v>
      </c>
      <c r="E7" s="3364"/>
      <c r="F7" s="3365" t="s">
        <v>1175</v>
      </c>
      <c r="G7" s="3366"/>
    </row>
    <row r="8" spans="2:11" ht="20.25" customHeight="1">
      <c r="B8" s="21"/>
      <c r="C8" s="22"/>
      <c r="D8" s="165" t="s">
        <v>1191</v>
      </c>
      <c r="E8" s="137" t="s">
        <v>1191</v>
      </c>
      <c r="F8" s="4" t="s">
        <v>1191</v>
      </c>
      <c r="G8" s="5" t="s">
        <v>1191</v>
      </c>
    </row>
    <row r="9" spans="2:11" ht="30.6" customHeight="1">
      <c r="B9" s="121" t="s">
        <v>444</v>
      </c>
      <c r="C9" s="24"/>
      <c r="D9" s="138"/>
      <c r="E9" s="138"/>
      <c r="F9" s="25"/>
      <c r="G9" s="168"/>
    </row>
    <row r="10" spans="2:11">
      <c r="B10" s="28" t="s">
        <v>445</v>
      </c>
      <c r="C10" s="24"/>
      <c r="D10" s="139"/>
      <c r="E10" s="139">
        <f>PL!D35</f>
        <v>30083607.800453503</v>
      </c>
      <c r="F10" s="29"/>
      <c r="G10" s="169">
        <v>63351409.049999997</v>
      </c>
      <c r="H10" s="36"/>
      <c r="I10" s="36"/>
    </row>
    <row r="11" spans="2:11">
      <c r="B11" s="79" t="s">
        <v>446</v>
      </c>
      <c r="C11" s="24"/>
      <c r="D11" s="139"/>
      <c r="E11" s="139"/>
      <c r="F11" s="29"/>
      <c r="G11" s="169"/>
    </row>
    <row r="12" spans="2:11">
      <c r="B12" s="30" t="s">
        <v>447</v>
      </c>
      <c r="C12" s="24"/>
      <c r="D12" s="139">
        <f>PL!D26</f>
        <v>0</v>
      </c>
      <c r="E12" s="139"/>
      <c r="F12" s="29">
        <v>8620164</v>
      </c>
      <c r="G12" s="169"/>
    </row>
    <row r="13" spans="2:11">
      <c r="B13" s="30" t="s">
        <v>1172</v>
      </c>
      <c r="C13" s="24"/>
      <c r="D13" s="140">
        <f>-Notes!J235</f>
        <v>-3323836</v>
      </c>
      <c r="E13" s="139"/>
      <c r="F13" s="32">
        <f>-Notes!K235</f>
        <v>-4642716</v>
      </c>
      <c r="G13" s="169"/>
      <c r="I13" s="52"/>
      <c r="K13" s="52"/>
    </row>
    <row r="14" spans="2:11">
      <c r="B14" s="30" t="s">
        <v>239</v>
      </c>
      <c r="C14" s="24"/>
      <c r="D14" s="140" t="e">
        <f>-Notes!#REF!</f>
        <v>#REF!</v>
      </c>
      <c r="E14" s="139"/>
      <c r="F14" s="32">
        <v>-50</v>
      </c>
      <c r="G14" s="169"/>
    </row>
    <row r="15" spans="2:11">
      <c r="B15" s="30" t="s">
        <v>927</v>
      </c>
      <c r="C15" s="24"/>
      <c r="D15" s="140">
        <f>-Notes!J238</f>
        <v>-612503.19999999995</v>
      </c>
      <c r="E15" s="139"/>
      <c r="F15" s="32">
        <v>-300000</v>
      </c>
      <c r="G15" s="169"/>
    </row>
    <row r="16" spans="2:11">
      <c r="B16" s="30" t="s">
        <v>448</v>
      </c>
      <c r="C16" s="24"/>
      <c r="D16" s="139"/>
      <c r="E16" s="139"/>
      <c r="F16" s="29"/>
      <c r="G16" s="169"/>
      <c r="I16" s="52"/>
    </row>
    <row r="17" spans="2:7">
      <c r="B17" s="30" t="s">
        <v>449</v>
      </c>
      <c r="C17" s="24"/>
      <c r="D17" s="141" t="e">
        <f>Notes!#REF!</f>
        <v>#REF!</v>
      </c>
      <c r="E17" s="139"/>
      <c r="F17" s="31"/>
      <c r="G17" s="169"/>
    </row>
    <row r="18" spans="2:7" ht="15" hidden="1" customHeight="1">
      <c r="B18" s="30" t="s">
        <v>450</v>
      </c>
      <c r="C18" s="24"/>
      <c r="D18" s="139"/>
      <c r="E18" s="139"/>
      <c r="F18" s="29"/>
      <c r="G18" s="169"/>
    </row>
    <row r="19" spans="2:7" ht="15" hidden="1" customHeight="1">
      <c r="B19" s="30" t="s">
        <v>48</v>
      </c>
      <c r="C19" s="24"/>
      <c r="D19" s="139"/>
      <c r="E19" s="139"/>
      <c r="F19" s="29"/>
      <c r="G19" s="169"/>
    </row>
    <row r="20" spans="2:7" ht="15" hidden="1" customHeight="1">
      <c r="B20" s="30" t="s">
        <v>451</v>
      </c>
      <c r="C20" s="24"/>
      <c r="D20" s="139"/>
      <c r="E20" s="139"/>
      <c r="F20" s="29"/>
      <c r="G20" s="169"/>
    </row>
    <row r="21" spans="2:7" ht="15" hidden="1" customHeight="1">
      <c r="B21" s="30" t="s">
        <v>452</v>
      </c>
      <c r="C21" s="24"/>
      <c r="D21" s="139"/>
      <c r="E21" s="139"/>
      <c r="F21" s="29"/>
      <c r="G21" s="169"/>
    </row>
    <row r="22" spans="2:7" ht="15" hidden="1" customHeight="1">
      <c r="B22" s="30" t="s">
        <v>453</v>
      </c>
      <c r="C22" s="24"/>
      <c r="D22" s="139"/>
      <c r="E22" s="139"/>
      <c r="F22" s="29"/>
      <c r="G22" s="169"/>
    </row>
    <row r="23" spans="2:7" ht="15" hidden="1" customHeight="1">
      <c r="B23" s="30" t="s">
        <v>454</v>
      </c>
      <c r="C23" s="24"/>
      <c r="D23" s="139"/>
      <c r="E23" s="139"/>
      <c r="F23" s="29"/>
      <c r="G23" s="169"/>
    </row>
    <row r="24" spans="2:7" ht="15" hidden="1" customHeight="1">
      <c r="B24" s="30" t="s">
        <v>455</v>
      </c>
      <c r="C24" s="24"/>
      <c r="D24" s="139"/>
      <c r="E24" s="139"/>
      <c r="F24" s="29"/>
      <c r="G24" s="169"/>
    </row>
    <row r="25" spans="2:7" ht="15" hidden="1" customHeight="1">
      <c r="B25" s="30" t="s">
        <v>456</v>
      </c>
      <c r="C25" s="24"/>
      <c r="D25" s="139"/>
      <c r="E25" s="139"/>
      <c r="F25" s="29"/>
      <c r="G25" s="169"/>
    </row>
    <row r="26" spans="2:7" ht="15" hidden="1" customHeight="1">
      <c r="B26" s="30" t="s">
        <v>457</v>
      </c>
      <c r="C26" s="24"/>
      <c r="D26" s="139"/>
      <c r="E26" s="139"/>
      <c r="F26" s="29"/>
      <c r="G26" s="169"/>
    </row>
    <row r="27" spans="2:7" ht="15" hidden="1" customHeight="1">
      <c r="B27" s="30" t="s">
        <v>458</v>
      </c>
      <c r="C27" s="24"/>
      <c r="D27" s="139"/>
      <c r="E27" s="139"/>
      <c r="F27" s="29"/>
      <c r="G27" s="169"/>
    </row>
    <row r="28" spans="2:7" ht="15" hidden="1" customHeight="1">
      <c r="B28" s="30" t="s">
        <v>459</v>
      </c>
      <c r="C28" s="24"/>
      <c r="D28" s="139"/>
      <c r="E28" s="139"/>
      <c r="F28" s="29"/>
      <c r="G28" s="169"/>
    </row>
    <row r="29" spans="2:7" ht="15" hidden="1" customHeight="1">
      <c r="B29" s="30" t="s">
        <v>460</v>
      </c>
      <c r="C29" s="24"/>
      <c r="D29" s="139"/>
      <c r="E29" s="139"/>
      <c r="F29" s="29"/>
      <c r="G29" s="169"/>
    </row>
    <row r="30" spans="2:7" ht="15" hidden="1" customHeight="1">
      <c r="B30" s="30" t="s">
        <v>461</v>
      </c>
      <c r="C30" s="24"/>
      <c r="D30" s="139"/>
      <c r="E30" s="139"/>
      <c r="F30" s="29"/>
      <c r="G30" s="169"/>
    </row>
    <row r="31" spans="2:7" ht="15" hidden="1" customHeight="1">
      <c r="B31" s="30" t="s">
        <v>462</v>
      </c>
      <c r="C31" s="24"/>
      <c r="D31" s="141"/>
      <c r="E31" s="139"/>
      <c r="F31" s="31">
        <v>0</v>
      </c>
      <c r="G31" s="169"/>
    </row>
    <row r="32" spans="2:7" ht="15" hidden="1" customHeight="1">
      <c r="B32" s="30" t="s">
        <v>463</v>
      </c>
      <c r="C32" s="24"/>
      <c r="D32" s="139"/>
      <c r="E32" s="139"/>
      <c r="F32" s="29"/>
      <c r="G32" s="169"/>
    </row>
    <row r="33" spans="2:9" ht="15" hidden="1" customHeight="1">
      <c r="B33" s="30" t="s">
        <v>464</v>
      </c>
      <c r="C33" s="24"/>
      <c r="D33" s="139"/>
      <c r="E33" s="139"/>
      <c r="F33" s="29"/>
      <c r="G33" s="169"/>
    </row>
    <row r="34" spans="2:9" ht="15" hidden="1" customHeight="1">
      <c r="B34" s="30" t="s">
        <v>313</v>
      </c>
      <c r="C34" s="24"/>
      <c r="D34" s="139"/>
      <c r="E34" s="139"/>
      <c r="F34" s="29"/>
      <c r="G34" s="169"/>
    </row>
    <row r="35" spans="2:9" ht="15" hidden="1" customHeight="1">
      <c r="B35" s="30" t="s">
        <v>314</v>
      </c>
      <c r="C35" s="24"/>
      <c r="D35" s="139"/>
      <c r="E35" s="139"/>
      <c r="F35" s="29"/>
      <c r="G35" s="169"/>
    </row>
    <row r="36" spans="2:9" ht="15" hidden="1" customHeight="1">
      <c r="B36" s="30" t="s">
        <v>465</v>
      </c>
      <c r="C36" s="24"/>
      <c r="D36" s="139"/>
      <c r="E36" s="139"/>
      <c r="F36" s="29"/>
      <c r="G36" s="169"/>
    </row>
    <row r="37" spans="2:9" ht="15" hidden="1" customHeight="1">
      <c r="B37" s="30" t="s">
        <v>466</v>
      </c>
      <c r="C37" s="24"/>
      <c r="D37" s="139"/>
      <c r="E37" s="139"/>
      <c r="F37" s="29"/>
      <c r="G37" s="169"/>
    </row>
    <row r="38" spans="2:9" ht="15" hidden="1" customHeight="1">
      <c r="B38" s="30" t="s">
        <v>467</v>
      </c>
      <c r="C38" s="24"/>
      <c r="D38" s="141"/>
      <c r="E38" s="139"/>
      <c r="F38" s="31"/>
      <c r="G38" s="169"/>
    </row>
    <row r="39" spans="2:9">
      <c r="B39" s="28"/>
      <c r="C39" s="24"/>
      <c r="D39" s="139"/>
      <c r="E39" s="141" t="e">
        <f>SUM(D12:D17)</f>
        <v>#REF!</v>
      </c>
      <c r="F39" s="29"/>
      <c r="G39" s="170">
        <f>SUM(F12:F17)</f>
        <v>3677398</v>
      </c>
      <c r="I39" s="36"/>
    </row>
    <row r="40" spans="2:9">
      <c r="B40" s="28" t="s">
        <v>468</v>
      </c>
      <c r="C40" s="24"/>
      <c r="D40" s="139"/>
      <c r="E40" s="139" t="e">
        <f>SUM(E10:E39)</f>
        <v>#REF!</v>
      </c>
      <c r="F40" s="29"/>
      <c r="G40" s="169">
        <f>SUM(G10:G39)</f>
        <v>67028807.049999997</v>
      </c>
    </row>
    <row r="41" spans="2:9">
      <c r="B41" s="79" t="s">
        <v>469</v>
      </c>
      <c r="C41" s="24"/>
      <c r="D41" s="139"/>
      <c r="E41" s="139"/>
      <c r="F41" s="29"/>
      <c r="G41" s="169"/>
    </row>
    <row r="42" spans="2:9">
      <c r="B42" s="46" t="s">
        <v>470</v>
      </c>
      <c r="C42" s="24"/>
      <c r="D42" s="139"/>
      <c r="E42" s="139"/>
      <c r="F42" s="29"/>
      <c r="G42" s="169"/>
    </row>
    <row r="43" spans="2:9">
      <c r="B43" s="30" t="s">
        <v>328</v>
      </c>
      <c r="C43" s="24"/>
      <c r="D43" s="142">
        <f>BS!K46</f>
        <v>0</v>
      </c>
      <c r="E43" s="143"/>
      <c r="F43" s="32">
        <v>-12897370</v>
      </c>
      <c r="G43" s="171"/>
    </row>
    <row r="44" spans="2:9">
      <c r="B44" s="30" t="s">
        <v>1173</v>
      </c>
      <c r="C44" s="24"/>
      <c r="D44" s="142">
        <f>+BS!G47-BS!E47</f>
        <v>0</v>
      </c>
      <c r="E44" s="143"/>
      <c r="F44" s="32">
        <v>-7108398</v>
      </c>
      <c r="G44" s="171"/>
    </row>
    <row r="45" spans="2:9">
      <c r="B45" s="30" t="s">
        <v>471</v>
      </c>
      <c r="C45" s="24"/>
      <c r="D45" s="142">
        <f>+Notes!T221</f>
        <v>8943429</v>
      </c>
      <c r="E45" s="143"/>
      <c r="F45" s="32">
        <v>-16926482.34</v>
      </c>
      <c r="G45" s="171"/>
    </row>
    <row r="46" spans="2:9">
      <c r="B46" s="30" t="s">
        <v>472</v>
      </c>
      <c r="C46" s="24"/>
      <c r="D46" s="142">
        <f>+BS!G41-BS!E41</f>
        <v>0</v>
      </c>
      <c r="E46" s="143"/>
      <c r="F46" s="32">
        <v>2475902.7100000009</v>
      </c>
      <c r="G46" s="171"/>
    </row>
    <row r="47" spans="2:9">
      <c r="B47" s="30" t="s">
        <v>236</v>
      </c>
      <c r="C47" s="24"/>
      <c r="D47" s="142">
        <f>+BS!G50-BS!E50</f>
        <v>0</v>
      </c>
      <c r="E47" s="143"/>
      <c r="F47" s="32">
        <v>746591</v>
      </c>
      <c r="G47" s="171"/>
    </row>
    <row r="48" spans="2:9">
      <c r="B48" s="30" t="s">
        <v>473</v>
      </c>
      <c r="C48" s="24"/>
      <c r="D48" s="144"/>
      <c r="E48" s="145"/>
      <c r="F48" s="33"/>
      <c r="G48" s="172"/>
    </row>
    <row r="49" spans="2:10">
      <c r="B49" s="28"/>
      <c r="C49" s="24"/>
      <c r="D49" s="144"/>
      <c r="E49" s="145"/>
      <c r="F49" s="34"/>
      <c r="G49" s="172"/>
    </row>
    <row r="50" spans="2:10">
      <c r="B50" s="46" t="s">
        <v>474</v>
      </c>
      <c r="C50" s="24"/>
      <c r="D50" s="144"/>
      <c r="E50" s="145"/>
      <c r="F50" s="34"/>
      <c r="G50" s="172"/>
    </row>
    <row r="51" spans="2:10">
      <c r="B51" s="30" t="s">
        <v>475</v>
      </c>
      <c r="C51" s="24"/>
      <c r="D51" s="142">
        <f>+BS!E25-BS!G25</f>
        <v>-866109.15999999922</v>
      </c>
      <c r="E51" s="145"/>
      <c r="F51" s="32">
        <v>-4095765</v>
      </c>
      <c r="G51" s="172"/>
    </row>
    <row r="52" spans="2:10">
      <c r="B52" s="30" t="s">
        <v>476</v>
      </c>
      <c r="C52" s="24"/>
      <c r="D52" s="144">
        <f>+BS!E26-BS!G26</f>
        <v>0</v>
      </c>
      <c r="E52" s="145"/>
      <c r="F52" s="33">
        <v>-14352772.079999998</v>
      </c>
      <c r="G52" s="172"/>
    </row>
    <row r="53" spans="2:10">
      <c r="B53" s="30" t="s">
        <v>227</v>
      </c>
      <c r="C53" s="24"/>
      <c r="D53" s="144">
        <f>+BS!E20-BS!G20</f>
        <v>0</v>
      </c>
      <c r="E53" s="145"/>
      <c r="F53" s="33">
        <v>760764</v>
      </c>
      <c r="G53" s="172"/>
    </row>
    <row r="54" spans="2:10">
      <c r="B54" s="30" t="s">
        <v>477</v>
      </c>
      <c r="C54" s="24"/>
      <c r="D54" s="144" t="e">
        <f>-Notes!K111+Notes!#REF!+Notes!#REF!+Notes!K110</f>
        <v>#REF!</v>
      </c>
      <c r="E54" s="145"/>
      <c r="F54" s="35">
        <v>0</v>
      </c>
      <c r="G54" s="172"/>
    </row>
    <row r="55" spans="2:10">
      <c r="B55" s="30" t="s">
        <v>964</v>
      </c>
      <c r="C55" s="24"/>
      <c r="D55" s="146">
        <f>+BS!E24-BS!G24</f>
        <v>0</v>
      </c>
      <c r="E55" s="145"/>
      <c r="F55" s="120">
        <v>-9719811</v>
      </c>
      <c r="G55" s="172"/>
    </row>
    <row r="56" spans="2:10">
      <c r="B56" s="28"/>
      <c r="C56" s="24"/>
      <c r="D56" s="139"/>
      <c r="E56" s="147" t="e">
        <f>SUM(D43:D55)</f>
        <v>#REF!</v>
      </c>
      <c r="F56" s="29"/>
      <c r="G56" s="173">
        <f>SUM(F43:F55)</f>
        <v>-61117340.710000001</v>
      </c>
      <c r="J56" s="36"/>
    </row>
    <row r="57" spans="2:10">
      <c r="B57" s="28"/>
      <c r="C57" s="24"/>
      <c r="D57" s="139"/>
      <c r="E57" s="144" t="e">
        <f>SUM(E40:E56)</f>
        <v>#REF!</v>
      </c>
      <c r="F57" s="29"/>
      <c r="G57" s="174">
        <f>SUM(G40:G56)</f>
        <v>5911466.3399999961</v>
      </c>
    </row>
    <row r="58" spans="2:10">
      <c r="B58" s="28" t="s">
        <v>478</v>
      </c>
      <c r="C58" s="24"/>
      <c r="D58" s="139"/>
      <c r="E58" s="141">
        <v>0</v>
      </c>
      <c r="F58" s="29"/>
      <c r="G58" s="170">
        <v>0</v>
      </c>
    </row>
    <row r="59" spans="2:10">
      <c r="B59" s="28" t="s">
        <v>479</v>
      </c>
      <c r="C59" s="24"/>
      <c r="D59" s="139"/>
      <c r="E59" s="144" t="e">
        <f>+E57-E58</f>
        <v>#REF!</v>
      </c>
      <c r="F59" s="29"/>
      <c r="G59" s="174">
        <f>+G57-G58</f>
        <v>5911466.3399999961</v>
      </c>
    </row>
    <row r="60" spans="2:10" ht="12.75" customHeight="1">
      <c r="B60" s="3342" t="s">
        <v>480</v>
      </c>
      <c r="C60" s="3382"/>
      <c r="D60" s="139"/>
      <c r="E60" s="148">
        <f>-+Notes!J210-55400</f>
        <v>-3855400</v>
      </c>
      <c r="F60" s="29"/>
      <c r="G60" s="175">
        <v>-24995977.289999999</v>
      </c>
    </row>
    <row r="61" spans="2:10">
      <c r="B61" s="28"/>
      <c r="C61" s="24"/>
      <c r="D61" s="139"/>
      <c r="E61" s="139"/>
      <c r="F61" s="29"/>
      <c r="G61" s="169"/>
    </row>
    <row r="62" spans="2:10">
      <c r="B62" s="23" t="s">
        <v>481</v>
      </c>
      <c r="C62" s="24"/>
      <c r="D62" s="149"/>
      <c r="E62" s="150" t="e">
        <f>SUM(E59:E60)</f>
        <v>#REF!</v>
      </c>
      <c r="F62" s="38"/>
      <c r="G62" s="176">
        <f>+G59+G60</f>
        <v>-19084510.950000003</v>
      </c>
      <c r="I62" s="89"/>
    </row>
    <row r="63" spans="2:10" ht="18" customHeight="1">
      <c r="B63" s="28"/>
      <c r="C63" s="24"/>
      <c r="D63" s="139"/>
      <c r="E63" s="139"/>
      <c r="F63" s="29"/>
      <c r="G63" s="169"/>
      <c r="I63" s="89"/>
    </row>
    <row r="64" spans="2:10" ht="15.75" hidden="1" customHeight="1" thickBot="1">
      <c r="B64" s="3383"/>
      <c r="C64" s="3384"/>
      <c r="D64" s="151"/>
      <c r="E64" s="151"/>
      <c r="F64" s="39"/>
      <c r="G64" s="177"/>
    </row>
    <row r="65" spans="2:11" ht="15" hidden="1" customHeight="1" thickBot="1">
      <c r="B65" s="40"/>
      <c r="C65" s="41"/>
      <c r="D65" s="152"/>
      <c r="E65" s="153"/>
      <c r="F65" s="42"/>
      <c r="G65" s="178"/>
    </row>
    <row r="66" spans="2:11" ht="45" hidden="1" customHeight="1">
      <c r="B66" s="3361" t="s">
        <v>1</v>
      </c>
      <c r="C66" s="3362"/>
      <c r="D66" s="3378"/>
      <c r="E66" s="3379"/>
      <c r="F66" s="3380" t="s">
        <v>556</v>
      </c>
      <c r="G66" s="3381"/>
    </row>
    <row r="67" spans="2:11" ht="30.6" hidden="1" customHeight="1">
      <c r="B67" s="21"/>
      <c r="C67" s="22"/>
      <c r="D67" s="154"/>
      <c r="E67" s="154"/>
      <c r="F67" s="43" t="s">
        <v>308</v>
      </c>
      <c r="G67" s="179" t="s">
        <v>308</v>
      </c>
    </row>
    <row r="68" spans="2:11" ht="16.2">
      <c r="B68" s="121" t="s">
        <v>482</v>
      </c>
      <c r="C68" s="24"/>
      <c r="D68" s="139"/>
      <c r="E68" s="139"/>
      <c r="F68" s="29"/>
      <c r="G68" s="169"/>
    </row>
    <row r="69" spans="2:11">
      <c r="B69" s="3342" t="s">
        <v>483</v>
      </c>
      <c r="C69" s="3382"/>
      <c r="D69" s="140">
        <v>0</v>
      </c>
      <c r="E69" s="144"/>
      <c r="F69" s="32">
        <v>-2683246.13</v>
      </c>
      <c r="G69" s="174"/>
      <c r="H69" s="36">
        <f>D69+D12</f>
        <v>0</v>
      </c>
    </row>
    <row r="70" spans="2:11">
      <c r="B70" s="44" t="s">
        <v>484</v>
      </c>
      <c r="C70" s="45"/>
      <c r="D70" s="139">
        <v>560000</v>
      </c>
      <c r="E70" s="139"/>
      <c r="F70" s="29">
        <v>0</v>
      </c>
      <c r="G70" s="169"/>
    </row>
    <row r="71" spans="2:11" ht="15" hidden="1" customHeight="1">
      <c r="B71" s="44" t="s">
        <v>485</v>
      </c>
      <c r="C71" s="45"/>
      <c r="D71" s="139"/>
      <c r="E71" s="139"/>
      <c r="F71" s="29">
        <v>0</v>
      </c>
      <c r="G71" s="169"/>
    </row>
    <row r="72" spans="2:11">
      <c r="B72" s="3342" t="s">
        <v>1174</v>
      </c>
      <c r="C72" s="3382"/>
      <c r="D72" s="139"/>
      <c r="E72" s="139"/>
      <c r="F72" s="29"/>
      <c r="G72" s="169"/>
    </row>
    <row r="73" spans="2:11">
      <c r="B73" s="46" t="s">
        <v>1172</v>
      </c>
      <c r="C73" s="209"/>
      <c r="D73" s="139">
        <v>1872189</v>
      </c>
      <c r="E73" s="139"/>
      <c r="F73" s="29">
        <v>4797848</v>
      </c>
      <c r="G73" s="169"/>
    </row>
    <row r="74" spans="2:11">
      <c r="B74" s="46" t="s">
        <v>246</v>
      </c>
      <c r="C74" s="209"/>
      <c r="D74" s="139">
        <f>-D15</f>
        <v>612503.19999999995</v>
      </c>
      <c r="E74" s="139"/>
      <c r="F74" s="29">
        <v>300000</v>
      </c>
      <c r="G74" s="169"/>
    </row>
    <row r="75" spans="2:11">
      <c r="B75" s="46" t="s">
        <v>239</v>
      </c>
      <c r="C75" s="47"/>
      <c r="D75" s="141" t="e">
        <f>-D14</f>
        <v>#REF!</v>
      </c>
      <c r="E75" s="139"/>
      <c r="F75" s="31">
        <v>50</v>
      </c>
      <c r="G75" s="169"/>
    </row>
    <row r="76" spans="2:11" ht="20.25" hidden="1" customHeight="1">
      <c r="B76" s="44" t="s">
        <v>486</v>
      </c>
      <c r="C76" s="45"/>
      <c r="D76" s="139"/>
      <c r="E76" s="139"/>
      <c r="F76" s="29"/>
      <c r="G76" s="169"/>
    </row>
    <row r="77" spans="2:11" ht="15" hidden="1" customHeight="1">
      <c r="B77" s="46" t="s">
        <v>487</v>
      </c>
      <c r="C77" s="45"/>
      <c r="D77" s="139"/>
      <c r="E77" s="139"/>
      <c r="F77" s="29">
        <v>0</v>
      </c>
      <c r="G77" s="169"/>
    </row>
    <row r="78" spans="2:11" ht="15" hidden="1" customHeight="1">
      <c r="B78" s="46" t="s">
        <v>488</v>
      </c>
      <c r="C78" s="45"/>
      <c r="D78" s="139"/>
      <c r="E78" s="139"/>
      <c r="F78" s="29">
        <v>0</v>
      </c>
      <c r="G78" s="169"/>
    </row>
    <row r="79" spans="2:11" hidden="1">
      <c r="B79" s="44" t="s">
        <v>489</v>
      </c>
      <c r="C79" s="45"/>
      <c r="D79" s="139"/>
      <c r="E79" s="139"/>
      <c r="F79" s="29"/>
      <c r="G79" s="169"/>
      <c r="J79" s="9" t="s">
        <v>527</v>
      </c>
      <c r="K79" s="9">
        <f>+Notes!K110+PL!D40-BS!E27</f>
        <v>8443336.4000000004</v>
      </c>
    </row>
    <row r="80" spans="2:11" ht="30.6" hidden="1" customHeight="1">
      <c r="B80" s="46" t="s">
        <v>490</v>
      </c>
      <c r="C80" s="45"/>
      <c r="D80" s="139"/>
      <c r="E80" s="139"/>
      <c r="F80" s="29">
        <v>0</v>
      </c>
      <c r="G80" s="169"/>
    </row>
    <row r="81" spans="2:7" ht="15" hidden="1" customHeight="1">
      <c r="B81" s="46" t="s">
        <v>491</v>
      </c>
      <c r="C81" s="45"/>
      <c r="D81" s="139"/>
      <c r="E81" s="139"/>
      <c r="F81" s="29">
        <v>0</v>
      </c>
      <c r="G81" s="169"/>
    </row>
    <row r="82" spans="2:7" ht="15" hidden="1" customHeight="1">
      <c r="B82" s="46" t="s">
        <v>492</v>
      </c>
      <c r="C82" s="45"/>
      <c r="D82" s="139"/>
      <c r="E82" s="139"/>
      <c r="F82" s="29">
        <v>0</v>
      </c>
      <c r="G82" s="169"/>
    </row>
    <row r="83" spans="2:7" ht="15" hidden="1" customHeight="1">
      <c r="B83" s="46" t="s">
        <v>493</v>
      </c>
      <c r="C83" s="45"/>
      <c r="D83" s="139"/>
      <c r="E83" s="139"/>
      <c r="F83" s="29">
        <v>0</v>
      </c>
      <c r="G83" s="169"/>
    </row>
    <row r="84" spans="2:7" hidden="1">
      <c r="B84" s="46" t="s">
        <v>494</v>
      </c>
      <c r="C84" s="45"/>
      <c r="D84" s="141"/>
      <c r="E84" s="139"/>
      <c r="F84" s="31"/>
      <c r="G84" s="169"/>
    </row>
    <row r="85" spans="2:7" ht="12.75" hidden="1" customHeight="1">
      <c r="B85" s="44" t="s">
        <v>495</v>
      </c>
      <c r="C85" s="45"/>
      <c r="D85" s="139"/>
      <c r="E85" s="139"/>
      <c r="F85" s="29"/>
      <c r="G85" s="169"/>
    </row>
    <row r="86" spans="2:7" ht="12.75" hidden="1" customHeight="1">
      <c r="B86" s="46" t="s">
        <v>490</v>
      </c>
      <c r="C86" s="45"/>
      <c r="D86" s="139"/>
      <c r="E86" s="139"/>
      <c r="F86" s="29">
        <v>0</v>
      </c>
      <c r="G86" s="169"/>
    </row>
    <row r="87" spans="2:7" ht="12.75" hidden="1" customHeight="1">
      <c r="B87" s="46" t="s">
        <v>491</v>
      </c>
      <c r="C87" s="45"/>
      <c r="D87" s="139"/>
      <c r="E87" s="139"/>
      <c r="F87" s="29">
        <v>0</v>
      </c>
      <c r="G87" s="169"/>
    </row>
    <row r="88" spans="2:7" ht="12.75" hidden="1" customHeight="1">
      <c r="B88" s="46" t="s">
        <v>492</v>
      </c>
      <c r="C88" s="45"/>
      <c r="D88" s="139"/>
      <c r="E88" s="139"/>
      <c r="F88" s="29">
        <v>0</v>
      </c>
      <c r="G88" s="169"/>
    </row>
    <row r="89" spans="2:7" ht="12.75" hidden="1" customHeight="1">
      <c r="B89" s="46" t="s">
        <v>493</v>
      </c>
      <c r="C89" s="45"/>
      <c r="D89" s="139"/>
      <c r="E89" s="139"/>
      <c r="F89" s="29">
        <v>0</v>
      </c>
      <c r="G89" s="169"/>
    </row>
    <row r="90" spans="2:7" ht="12.75" hidden="1" customHeight="1">
      <c r="B90" s="46" t="s">
        <v>494</v>
      </c>
      <c r="C90" s="45"/>
      <c r="D90" s="139"/>
      <c r="E90" s="139"/>
      <c r="F90" s="29">
        <v>0</v>
      </c>
      <c r="G90" s="169"/>
    </row>
    <row r="91" spans="2:7" ht="12.75" hidden="1" customHeight="1">
      <c r="B91" s="44" t="s">
        <v>496</v>
      </c>
      <c r="C91" s="45"/>
      <c r="D91" s="139"/>
      <c r="E91" s="139"/>
      <c r="F91" s="29"/>
      <c r="G91" s="169"/>
    </row>
    <row r="92" spans="2:7" ht="12.75" hidden="1" customHeight="1">
      <c r="B92" s="46" t="s">
        <v>490</v>
      </c>
      <c r="C92" s="45"/>
      <c r="D92" s="139"/>
      <c r="E92" s="139"/>
      <c r="F92" s="29">
        <v>0</v>
      </c>
      <c r="G92" s="169"/>
    </row>
    <row r="93" spans="2:7" ht="12.75" hidden="1" customHeight="1">
      <c r="B93" s="46" t="s">
        <v>491</v>
      </c>
      <c r="C93" s="45"/>
      <c r="D93" s="139"/>
      <c r="E93" s="139"/>
      <c r="F93" s="29">
        <v>0</v>
      </c>
      <c r="G93" s="169"/>
    </row>
    <row r="94" spans="2:7" ht="12.75" hidden="1" customHeight="1">
      <c r="B94" s="46" t="s">
        <v>492</v>
      </c>
      <c r="C94" s="45"/>
      <c r="D94" s="139"/>
      <c r="E94" s="139"/>
      <c r="F94" s="29">
        <v>0</v>
      </c>
      <c r="G94" s="169"/>
    </row>
    <row r="95" spans="2:7" ht="12.75" hidden="1" customHeight="1">
      <c r="B95" s="46" t="s">
        <v>494</v>
      </c>
      <c r="C95" s="45"/>
      <c r="D95" s="139"/>
      <c r="E95" s="139"/>
      <c r="F95" s="29">
        <v>0</v>
      </c>
      <c r="G95" s="169"/>
    </row>
    <row r="96" spans="2:7" ht="12.75" hidden="1" customHeight="1">
      <c r="B96" s="44" t="s">
        <v>497</v>
      </c>
      <c r="C96" s="45"/>
      <c r="D96" s="139"/>
      <c r="E96" s="139"/>
      <c r="F96" s="29"/>
      <c r="G96" s="169"/>
    </row>
    <row r="97" spans="2:7" ht="12.75" hidden="1" customHeight="1">
      <c r="B97" s="46" t="s">
        <v>490</v>
      </c>
      <c r="C97" s="45"/>
      <c r="D97" s="139"/>
      <c r="E97" s="139"/>
      <c r="F97" s="29">
        <v>0</v>
      </c>
      <c r="G97" s="169"/>
    </row>
    <row r="98" spans="2:7" ht="12.75" hidden="1" customHeight="1">
      <c r="B98" s="46" t="s">
        <v>491</v>
      </c>
      <c r="C98" s="45"/>
      <c r="D98" s="139"/>
      <c r="E98" s="139"/>
      <c r="F98" s="29">
        <v>0</v>
      </c>
      <c r="G98" s="169"/>
    </row>
    <row r="99" spans="2:7" ht="12.75" hidden="1" customHeight="1">
      <c r="B99" s="46" t="s">
        <v>492</v>
      </c>
      <c r="C99" s="45"/>
      <c r="D99" s="139"/>
      <c r="E99" s="139"/>
      <c r="F99" s="29">
        <v>0</v>
      </c>
      <c r="G99" s="169"/>
    </row>
    <row r="100" spans="2:7" ht="12.75" hidden="1" customHeight="1">
      <c r="B100" s="46" t="s">
        <v>494</v>
      </c>
      <c r="C100" s="45"/>
      <c r="D100" s="139"/>
      <c r="E100" s="139"/>
      <c r="F100" s="29">
        <v>0</v>
      </c>
      <c r="G100" s="169"/>
    </row>
    <row r="101" spans="2:7" ht="12.75" hidden="1" customHeight="1">
      <c r="B101" s="44" t="s">
        <v>498</v>
      </c>
      <c r="C101" s="45"/>
      <c r="D101" s="139"/>
      <c r="E101" s="139"/>
      <c r="F101" s="29"/>
      <c r="G101" s="169"/>
    </row>
    <row r="102" spans="2:7" ht="12.75" hidden="1" customHeight="1">
      <c r="B102" s="46" t="s">
        <v>490</v>
      </c>
      <c r="C102" s="45"/>
      <c r="D102" s="139"/>
      <c r="E102" s="139"/>
      <c r="F102" s="29">
        <v>0</v>
      </c>
      <c r="G102" s="169"/>
    </row>
    <row r="103" spans="2:7" ht="12.75" hidden="1" customHeight="1">
      <c r="B103" s="46" t="s">
        <v>491</v>
      </c>
      <c r="C103" s="45"/>
      <c r="D103" s="139"/>
      <c r="E103" s="139"/>
      <c r="F103" s="29">
        <v>0</v>
      </c>
      <c r="G103" s="169"/>
    </row>
    <row r="104" spans="2:7" ht="12.75" hidden="1" customHeight="1">
      <c r="B104" s="46" t="s">
        <v>492</v>
      </c>
      <c r="C104" s="45"/>
      <c r="D104" s="139"/>
      <c r="E104" s="139"/>
      <c r="F104" s="29">
        <v>0</v>
      </c>
      <c r="G104" s="169"/>
    </row>
    <row r="105" spans="2:7" ht="12.75" hidden="1" customHeight="1">
      <c r="B105" s="46" t="s">
        <v>494</v>
      </c>
      <c r="C105" s="45"/>
      <c r="D105" s="139"/>
      <c r="E105" s="139"/>
      <c r="F105" s="29">
        <v>0</v>
      </c>
      <c r="G105" s="169"/>
    </row>
    <row r="106" spans="2:7" ht="12.75" hidden="1" customHeight="1">
      <c r="B106" s="44" t="s">
        <v>499</v>
      </c>
      <c r="C106" s="45"/>
      <c r="D106" s="139"/>
      <c r="E106" s="139"/>
      <c r="F106" s="29"/>
      <c r="G106" s="169"/>
    </row>
    <row r="107" spans="2:7" ht="12.75" hidden="1" customHeight="1">
      <c r="B107" s="46" t="s">
        <v>490</v>
      </c>
      <c r="C107" s="45"/>
      <c r="D107" s="139"/>
      <c r="E107" s="139"/>
      <c r="F107" s="29">
        <v>0</v>
      </c>
      <c r="G107" s="169"/>
    </row>
    <row r="108" spans="2:7" ht="12.75" hidden="1" customHeight="1">
      <c r="B108" s="46" t="s">
        <v>491</v>
      </c>
      <c r="C108" s="45"/>
      <c r="D108" s="139"/>
      <c r="E108" s="139"/>
      <c r="F108" s="29">
        <v>0</v>
      </c>
      <c r="G108" s="169"/>
    </row>
    <row r="109" spans="2:7" ht="12.75" hidden="1" customHeight="1">
      <c r="B109" s="46" t="s">
        <v>492</v>
      </c>
      <c r="C109" s="45"/>
      <c r="D109" s="139"/>
      <c r="E109" s="139"/>
      <c r="F109" s="29">
        <v>0</v>
      </c>
      <c r="G109" s="169"/>
    </row>
    <row r="110" spans="2:7" ht="12.75" hidden="1" customHeight="1">
      <c r="B110" s="46" t="s">
        <v>494</v>
      </c>
      <c r="C110" s="45"/>
      <c r="D110" s="139"/>
      <c r="E110" s="139"/>
      <c r="F110" s="29">
        <v>0</v>
      </c>
      <c r="G110" s="169"/>
    </row>
    <row r="111" spans="2:7" ht="12.75" hidden="1" customHeight="1">
      <c r="B111" s="44" t="s">
        <v>454</v>
      </c>
      <c r="C111" s="45"/>
      <c r="D111" s="139"/>
      <c r="E111" s="139"/>
      <c r="F111" s="29">
        <v>0</v>
      </c>
      <c r="G111" s="169"/>
    </row>
    <row r="112" spans="2:7" ht="12.75" hidden="1" customHeight="1">
      <c r="B112" s="44" t="s">
        <v>455</v>
      </c>
      <c r="C112" s="45"/>
      <c r="D112" s="139"/>
      <c r="E112" s="139"/>
      <c r="F112" s="29">
        <v>0</v>
      </c>
      <c r="G112" s="169"/>
    </row>
    <row r="113" spans="2:7" ht="12.75" hidden="1" customHeight="1">
      <c r="B113" s="44" t="s">
        <v>500</v>
      </c>
      <c r="C113" s="45"/>
      <c r="D113" s="139"/>
      <c r="E113" s="139"/>
      <c r="F113" s="29">
        <v>0</v>
      </c>
      <c r="G113" s="169"/>
    </row>
    <row r="114" spans="2:7" ht="12.75" hidden="1" customHeight="1">
      <c r="B114" s="44" t="s">
        <v>501</v>
      </c>
      <c r="C114" s="45"/>
      <c r="D114" s="139"/>
      <c r="E114" s="139"/>
      <c r="F114" s="29">
        <v>0</v>
      </c>
      <c r="G114" s="169"/>
    </row>
    <row r="115" spans="2:7" ht="12.75" hidden="1" customHeight="1">
      <c r="B115" s="44" t="s">
        <v>502</v>
      </c>
      <c r="C115" s="45"/>
      <c r="D115" s="141"/>
      <c r="E115" s="139"/>
      <c r="F115" s="31">
        <v>0</v>
      </c>
      <c r="G115" s="169"/>
    </row>
    <row r="116" spans="2:7">
      <c r="B116" s="28"/>
      <c r="C116" s="24"/>
      <c r="D116" s="139"/>
      <c r="E116" s="144" t="e">
        <f>SUM(D69:D84)</f>
        <v>#REF!</v>
      </c>
      <c r="F116" s="29"/>
      <c r="G116" s="174">
        <f>SUM(F69:F84)</f>
        <v>2414651.87</v>
      </c>
    </row>
    <row r="117" spans="2:7">
      <c r="B117" s="28" t="s">
        <v>478</v>
      </c>
      <c r="C117" s="24"/>
      <c r="D117" s="139"/>
      <c r="E117" s="139">
        <v>0</v>
      </c>
      <c r="F117" s="29"/>
      <c r="G117" s="169">
        <v>0</v>
      </c>
    </row>
    <row r="118" spans="2:7" ht="7.5" customHeight="1">
      <c r="B118" s="28"/>
      <c r="C118" s="24"/>
      <c r="D118" s="139"/>
      <c r="E118" s="141"/>
      <c r="F118" s="29"/>
      <c r="G118" s="170"/>
    </row>
    <row r="119" spans="2:7">
      <c r="B119" s="28"/>
      <c r="C119" s="24"/>
      <c r="D119" s="139"/>
      <c r="E119" s="144" t="e">
        <f>SUM(E116:E117)</f>
        <v>#REF!</v>
      </c>
      <c r="F119" s="29"/>
      <c r="G119" s="174">
        <v>2414651.87</v>
      </c>
    </row>
    <row r="120" spans="2:7" ht="14.1" customHeight="1">
      <c r="B120" s="3342" t="s">
        <v>480</v>
      </c>
      <c r="C120" s="3382"/>
      <c r="D120" s="139"/>
      <c r="E120" s="141">
        <v>0</v>
      </c>
      <c r="F120" s="29"/>
      <c r="G120" s="170">
        <v>0</v>
      </c>
    </row>
    <row r="121" spans="2:7" ht="8.85" customHeight="1">
      <c r="B121" s="28"/>
      <c r="C121" s="24"/>
      <c r="D121" s="139"/>
      <c r="E121" s="139"/>
      <c r="F121" s="29"/>
      <c r="G121" s="169"/>
    </row>
    <row r="122" spans="2:7">
      <c r="B122" s="23" t="s">
        <v>503</v>
      </c>
      <c r="C122" s="24"/>
      <c r="D122" s="149"/>
      <c r="E122" s="150" t="e">
        <f>SUM(E119:E120)</f>
        <v>#REF!</v>
      </c>
      <c r="F122" s="38"/>
      <c r="G122" s="176">
        <v>2414651.87</v>
      </c>
    </row>
    <row r="123" spans="2:7" ht="15" hidden="1" customHeight="1">
      <c r="B123" s="23"/>
      <c r="C123" s="24"/>
      <c r="D123" s="149"/>
      <c r="E123" s="155"/>
      <c r="F123" s="38"/>
      <c r="G123" s="180"/>
    </row>
    <row r="124" spans="2:7" ht="15.75" hidden="1" customHeight="1" thickBot="1">
      <c r="B124" s="3383"/>
      <c r="C124" s="3384"/>
      <c r="D124" s="151"/>
      <c r="E124" s="151"/>
      <c r="F124" s="39"/>
      <c r="G124" s="177"/>
    </row>
    <row r="125" spans="2:7" ht="15" hidden="1" customHeight="1">
      <c r="B125" s="27"/>
      <c r="D125" s="156"/>
      <c r="E125" s="156"/>
      <c r="F125" s="48"/>
      <c r="G125" s="178"/>
    </row>
    <row r="126" spans="2:7" ht="38.25" hidden="1" customHeight="1">
      <c r="B126" s="3361" t="s">
        <v>1</v>
      </c>
      <c r="C126" s="3362"/>
      <c r="D126" s="3378"/>
      <c r="E126" s="3379"/>
      <c r="F126" s="3380" t="s">
        <v>556</v>
      </c>
      <c r="G126" s="3381"/>
    </row>
    <row r="127" spans="2:7" ht="30.6" hidden="1" customHeight="1">
      <c r="B127" s="21"/>
      <c r="C127" s="22"/>
      <c r="D127" s="154"/>
      <c r="E127" s="154"/>
      <c r="F127" s="43" t="s">
        <v>308</v>
      </c>
      <c r="G127" s="179" t="s">
        <v>308</v>
      </c>
    </row>
    <row r="128" spans="2:7" ht="15" thickBot="1">
      <c r="B128" s="82"/>
      <c r="C128" s="83"/>
      <c r="D128" s="157"/>
      <c r="E128" s="157"/>
      <c r="F128" s="84"/>
      <c r="G128" s="181"/>
    </row>
    <row r="129" spans="2:12" ht="16.2">
      <c r="B129" s="122" t="s">
        <v>504</v>
      </c>
      <c r="C129" s="85"/>
      <c r="D129" s="158"/>
      <c r="E129" s="158"/>
      <c r="F129" s="86"/>
      <c r="G129" s="182"/>
    </row>
    <row r="130" spans="2:12" ht="15" customHeight="1">
      <c r="B130" s="28" t="s">
        <v>1188</v>
      </c>
      <c r="C130" s="24"/>
      <c r="D130" s="139">
        <v>0</v>
      </c>
      <c r="E130" s="139"/>
      <c r="F130" s="49"/>
      <c r="G130" s="183"/>
    </row>
    <row r="131" spans="2:12">
      <c r="B131" s="28" t="s">
        <v>505</v>
      </c>
      <c r="C131" s="24"/>
      <c r="D131" s="159" t="e">
        <f>-Notes!#REF!+Notes!K54</f>
        <v>#REF!</v>
      </c>
      <c r="E131" s="139"/>
      <c r="F131" s="33">
        <v>-7147460</v>
      </c>
      <c r="G131" s="169"/>
    </row>
    <row r="132" spans="2:12">
      <c r="B132" s="28" t="s">
        <v>506</v>
      </c>
      <c r="C132" s="24"/>
      <c r="D132" s="148" t="e">
        <f>-Notes!#REF!+Notes!#REF!</f>
        <v>#REF!</v>
      </c>
      <c r="E132" s="139"/>
      <c r="F132" s="37">
        <v>-1159497</v>
      </c>
      <c r="G132" s="169"/>
    </row>
    <row r="133" spans="2:12">
      <c r="B133" s="28"/>
      <c r="C133" s="24"/>
      <c r="D133" s="139"/>
      <c r="E133" s="159" t="e">
        <f>SUM(D130:D132)</f>
        <v>#REF!</v>
      </c>
      <c r="F133" s="29"/>
      <c r="G133" s="184">
        <f>SUM(F130:F132)</f>
        <v>-8306957</v>
      </c>
      <c r="I133" s="36"/>
    </row>
    <row r="134" spans="2:12">
      <c r="B134" s="28" t="s">
        <v>478</v>
      </c>
      <c r="C134" s="24"/>
      <c r="D134" s="139"/>
      <c r="E134" s="141">
        <v>0</v>
      </c>
      <c r="F134" s="29"/>
      <c r="G134" s="170">
        <v>0</v>
      </c>
    </row>
    <row r="135" spans="2:12">
      <c r="B135" s="28"/>
      <c r="C135" s="24"/>
      <c r="D135" s="139"/>
      <c r="E135" s="139"/>
      <c r="F135" s="29"/>
      <c r="G135" s="169"/>
    </row>
    <row r="136" spans="2:12">
      <c r="B136" s="23" t="s">
        <v>507</v>
      </c>
      <c r="C136" s="24"/>
      <c r="D136" s="149"/>
      <c r="E136" s="160" t="e">
        <f>SUM(E133:E134)</f>
        <v>#REF!</v>
      </c>
      <c r="F136" s="38"/>
      <c r="G136" s="185">
        <f>SUM(G131:G134)</f>
        <v>-8306957</v>
      </c>
    </row>
    <row r="137" spans="2:12">
      <c r="B137" s="28"/>
      <c r="C137" s="24"/>
      <c r="D137" s="139"/>
      <c r="E137" s="139"/>
      <c r="F137" s="29"/>
      <c r="G137" s="169"/>
    </row>
    <row r="138" spans="2:12" ht="15.75" customHeight="1">
      <c r="B138" s="23" t="s">
        <v>508</v>
      </c>
      <c r="C138" s="24"/>
      <c r="D138" s="149"/>
      <c r="E138" s="161" t="e">
        <f>+E62+E122+E136</f>
        <v>#REF!</v>
      </c>
      <c r="F138" s="38"/>
      <c r="G138" s="50">
        <f>+G62+G122+G136</f>
        <v>-24976816.080000002</v>
      </c>
      <c r="H138" s="36">
        <f>BS!L48</f>
        <v>0</v>
      </c>
      <c r="I138" s="36" t="e">
        <f>E138+H138</f>
        <v>#REF!</v>
      </c>
    </row>
    <row r="139" spans="2:12">
      <c r="B139" s="28" t="s">
        <v>509</v>
      </c>
      <c r="C139" s="24"/>
      <c r="D139" s="139"/>
      <c r="E139" s="139">
        <f>BS!G48</f>
        <v>102259361.69999996</v>
      </c>
      <c r="F139" s="29"/>
      <c r="G139" s="169">
        <v>66757863.600000001</v>
      </c>
    </row>
    <row r="140" spans="2:12" ht="15" thickBot="1">
      <c r="B140" s="23" t="s">
        <v>510</v>
      </c>
      <c r="C140" s="24"/>
      <c r="D140" s="139"/>
      <c r="E140" s="162" t="e">
        <f>+E138+E139</f>
        <v>#REF!</v>
      </c>
      <c r="F140" s="29"/>
      <c r="G140" s="51">
        <v>41625915.520000026</v>
      </c>
      <c r="H140" s="36">
        <f>BS!E48</f>
        <v>102259361.69999999</v>
      </c>
      <c r="I140" s="36" t="e">
        <f>E140-H140</f>
        <v>#REF!</v>
      </c>
      <c r="J140" s="36"/>
      <c r="L140" s="36" t="e">
        <f>+I140-J140</f>
        <v>#REF!</v>
      </c>
    </row>
    <row r="141" spans="2:12" ht="28.5" customHeight="1">
      <c r="B141" s="3385" t="s">
        <v>511</v>
      </c>
      <c r="C141" s="3386"/>
      <c r="D141" s="139"/>
      <c r="E141" s="139"/>
      <c r="F141" s="29"/>
      <c r="G141" s="169"/>
      <c r="H141" s="9">
        <f>+BS!E48</f>
        <v>102259361.69999999</v>
      </c>
      <c r="I141" s="52" t="e">
        <f>+E140-H141</f>
        <v>#REF!</v>
      </c>
    </row>
    <row r="142" spans="2:12" ht="15.75" customHeight="1">
      <c r="B142" s="28" t="s">
        <v>956</v>
      </c>
      <c r="C142" s="24"/>
      <c r="D142" s="139"/>
      <c r="E142" s="139">
        <f>+BS!E48</f>
        <v>102259361.69999999</v>
      </c>
      <c r="F142" s="29"/>
      <c r="G142" s="169">
        <f>+BS!G48</f>
        <v>102259361.69999996</v>
      </c>
      <c r="H142" s="36"/>
      <c r="J142" s="52"/>
      <c r="L142" s="9">
        <v>1159497</v>
      </c>
    </row>
    <row r="143" spans="2:12" ht="15.75" customHeight="1">
      <c r="B143" s="3342" t="s">
        <v>947</v>
      </c>
      <c r="C143" s="3382"/>
      <c r="D143" s="139"/>
      <c r="E143" s="139">
        <f>Notes!J191</f>
        <v>57211389</v>
      </c>
      <c r="F143" s="29"/>
      <c r="G143" s="169">
        <v>27346752</v>
      </c>
      <c r="H143" s="36"/>
      <c r="I143" s="52"/>
      <c r="L143" s="9">
        <v>1159497</v>
      </c>
    </row>
    <row r="144" spans="2:12" ht="30.6" customHeight="1">
      <c r="B144" s="3342" t="s">
        <v>955</v>
      </c>
      <c r="C144" s="3382"/>
      <c r="D144" s="139"/>
      <c r="E144" s="163">
        <f>E142-E143</f>
        <v>45047972.699999988</v>
      </c>
      <c r="F144" s="29"/>
      <c r="G144" s="186">
        <f>+G142-G143</f>
        <v>74912609.699999958</v>
      </c>
      <c r="L144" s="9">
        <f>SUM(L142:L143)</f>
        <v>2318994</v>
      </c>
    </row>
    <row r="145" spans="2:10" ht="45" hidden="1" customHeight="1">
      <c r="B145" s="3342" t="s">
        <v>948</v>
      </c>
      <c r="C145" s="3382"/>
      <c r="D145" s="139"/>
      <c r="E145" s="139"/>
      <c r="F145" s="29"/>
      <c r="G145" s="169">
        <v>0</v>
      </c>
    </row>
    <row r="146" spans="2:10" ht="15.75" customHeight="1" thickBot="1">
      <c r="B146" s="23" t="s">
        <v>512</v>
      </c>
      <c r="C146" s="24"/>
      <c r="D146" s="139"/>
      <c r="E146" s="164">
        <f>E144</f>
        <v>45047972.699999988</v>
      </c>
      <c r="F146" s="29"/>
      <c r="G146" s="187">
        <f>+G144</f>
        <v>74912609.699999958</v>
      </c>
      <c r="I146" s="36"/>
      <c r="J146" s="53"/>
    </row>
    <row r="147" spans="2:10" ht="15.75" customHeight="1">
      <c r="B147" s="54" t="s">
        <v>513</v>
      </c>
      <c r="C147" s="24"/>
      <c r="D147" s="139"/>
      <c r="E147" s="139"/>
      <c r="F147" s="29"/>
      <c r="G147" s="169"/>
    </row>
    <row r="148" spans="2:10" ht="15.75" customHeight="1">
      <c r="B148" s="28" t="s">
        <v>32</v>
      </c>
      <c r="C148" s="24"/>
      <c r="D148" s="139"/>
      <c r="E148" s="139">
        <f>Notes!J186+Notes!J187</f>
        <v>7137075.6299999952</v>
      </c>
      <c r="F148" s="29"/>
      <c r="G148" s="169">
        <v>4359434.7999999821</v>
      </c>
    </row>
    <row r="149" spans="2:10" ht="15.75" hidden="1" customHeight="1">
      <c r="B149" s="3342" t="s">
        <v>514</v>
      </c>
      <c r="C149" s="3382"/>
      <c r="D149" s="139"/>
      <c r="E149" s="139"/>
      <c r="F149" s="29"/>
      <c r="G149" s="169">
        <v>0</v>
      </c>
    </row>
    <row r="150" spans="2:10" ht="15.75" customHeight="1">
      <c r="B150" s="3342" t="s">
        <v>33</v>
      </c>
      <c r="C150" s="3382"/>
      <c r="D150" s="139"/>
      <c r="E150" s="139"/>
      <c r="F150" s="29"/>
      <c r="G150" s="169"/>
      <c r="H150" s="36"/>
    </row>
    <row r="151" spans="2:10" ht="15.75" customHeight="1">
      <c r="B151" s="3395" t="s">
        <v>515</v>
      </c>
      <c r="C151" s="3396"/>
      <c r="D151" s="139"/>
      <c r="E151" s="139">
        <f>Notes!J190</f>
        <v>14093767.359999999</v>
      </c>
      <c r="F151" s="29"/>
      <c r="G151" s="169">
        <v>9919728.6400000006</v>
      </c>
    </row>
    <row r="152" spans="2:10" ht="15.75" hidden="1" customHeight="1">
      <c r="B152" s="3395" t="s">
        <v>516</v>
      </c>
      <c r="C152" s="3396"/>
      <c r="D152" s="139"/>
      <c r="E152" s="139"/>
      <c r="F152" s="29"/>
      <c r="G152" s="169">
        <v>0</v>
      </c>
    </row>
    <row r="153" spans="2:10" ht="15.75" hidden="1" customHeight="1">
      <c r="B153" s="3395" t="s">
        <v>517</v>
      </c>
      <c r="C153" s="3396"/>
      <c r="D153" s="139"/>
      <c r="E153" s="139"/>
      <c r="F153" s="29"/>
      <c r="G153" s="169">
        <v>0</v>
      </c>
    </row>
    <row r="154" spans="2:10" ht="15.75" hidden="1" customHeight="1">
      <c r="B154" s="3395" t="s">
        <v>518</v>
      </c>
      <c r="C154" s="3396"/>
      <c r="D154" s="139"/>
      <c r="E154" s="139"/>
      <c r="F154" s="29"/>
      <c r="G154" s="169">
        <v>0</v>
      </c>
    </row>
    <row r="155" spans="2:10" ht="15.75" hidden="1" customHeight="1">
      <c r="B155" s="3342" t="s">
        <v>519</v>
      </c>
      <c r="C155" s="3382"/>
      <c r="D155" s="139"/>
      <c r="E155" s="139"/>
      <c r="F155" s="29"/>
      <c r="G155" s="169">
        <v>0</v>
      </c>
    </row>
    <row r="156" spans="2:10" ht="15.75" hidden="1" customHeight="1">
      <c r="B156" s="3342" t="s">
        <v>520</v>
      </c>
      <c r="C156" s="3382"/>
      <c r="D156" s="139"/>
      <c r="E156" s="139"/>
      <c r="F156" s="29"/>
      <c r="G156" s="169">
        <v>0</v>
      </c>
    </row>
    <row r="157" spans="2:10" ht="15" thickBot="1">
      <c r="B157" s="55"/>
      <c r="C157" s="56"/>
      <c r="D157" s="151"/>
      <c r="E157" s="164">
        <f>SUM(E148:E151)</f>
        <v>21230842.989999995</v>
      </c>
      <c r="F157" s="39"/>
      <c r="G157" s="187">
        <v>14279163.439999983</v>
      </c>
      <c r="H157" s="90"/>
      <c r="I157" s="36"/>
      <c r="J157" s="36"/>
    </row>
    <row r="158" spans="2:10" hidden="1">
      <c r="B158" s="57" t="s">
        <v>521</v>
      </c>
      <c r="C158" s="58"/>
      <c r="D158" s="59"/>
      <c r="E158" s="59"/>
      <c r="F158" s="59"/>
      <c r="G158" s="60"/>
    </row>
    <row r="159" spans="2:10" hidden="1">
      <c r="B159" s="28" t="s">
        <v>522</v>
      </c>
      <c r="D159" s="61"/>
      <c r="E159" s="61"/>
      <c r="F159" s="61"/>
      <c r="G159" s="62"/>
    </row>
    <row r="160" spans="2:10" hidden="1">
      <c r="B160" s="28" t="s">
        <v>523</v>
      </c>
      <c r="D160" s="61"/>
      <c r="E160" s="61"/>
      <c r="F160" s="61"/>
      <c r="G160" s="62"/>
    </row>
    <row r="161" spans="2:9" ht="9.75" customHeight="1">
      <c r="B161" s="28"/>
      <c r="D161" s="61"/>
      <c r="E161" s="61"/>
      <c r="F161" s="61"/>
      <c r="G161" s="62"/>
      <c r="I161" s="36">
        <f>E146-E157</f>
        <v>23817129.709999993</v>
      </c>
    </row>
    <row r="162" spans="2:9" ht="18.75" customHeight="1" thickBot="1">
      <c r="B162" s="3383" t="s">
        <v>961</v>
      </c>
      <c r="C162" s="3387"/>
      <c r="D162" s="3387"/>
      <c r="E162" s="3387"/>
      <c r="F162" s="3387"/>
      <c r="G162" s="3388"/>
    </row>
    <row r="163" spans="2:9">
      <c r="B163" s="63" t="s">
        <v>524</v>
      </c>
      <c r="C163" s="64"/>
      <c r="D163" s="65"/>
      <c r="E163" s="65"/>
      <c r="F163" s="66"/>
      <c r="G163" s="62"/>
    </row>
    <row r="164" spans="2:9">
      <c r="B164" s="67" t="str">
        <f>'[30]Balance Sheet'!$B$60</f>
        <v>For A. JOHN MORIS &amp; CO.,</v>
      </c>
      <c r="C164" s="68"/>
      <c r="D164" s="3389" t="s">
        <v>297</v>
      </c>
      <c r="E164" s="3389"/>
      <c r="F164" s="3389"/>
      <c r="G164" s="62"/>
    </row>
    <row r="165" spans="2:9">
      <c r="B165" s="63" t="s">
        <v>43</v>
      </c>
      <c r="C165" s="68"/>
      <c r="D165" s="68"/>
      <c r="E165" s="64"/>
      <c r="F165" s="69" t="s">
        <v>525</v>
      </c>
      <c r="G165" s="26"/>
    </row>
    <row r="166" spans="2:9">
      <c r="B166" s="67" t="str">
        <f>+'[30]Balance Sheet'!$B$62</f>
        <v>FRN. 007220S</v>
      </c>
      <c r="C166" s="68"/>
      <c r="D166" s="68"/>
      <c r="E166" s="64"/>
      <c r="F166" s="69"/>
      <c r="G166" s="26"/>
    </row>
    <row r="167" spans="2:9">
      <c r="B167" s="70"/>
      <c r="C167" s="68"/>
      <c r="D167" s="68"/>
      <c r="E167" s="64"/>
      <c r="F167" s="71"/>
      <c r="G167" s="26"/>
    </row>
    <row r="168" spans="2:9">
      <c r="B168" s="70"/>
      <c r="C168" s="68"/>
      <c r="D168" s="68"/>
      <c r="E168" s="64"/>
      <c r="F168" s="72"/>
      <c r="G168" s="26"/>
    </row>
    <row r="169" spans="2:9">
      <c r="B169" s="80" t="str">
        <f>BS!A60</f>
        <v>(CA A.JOHN MORIS)</v>
      </c>
      <c r="C169" s="68"/>
      <c r="D169" s="73" t="str">
        <f>'[30]Balance Sheet'!$F$65</f>
        <v>(S. KUMARAN)</v>
      </c>
      <c r="E169" s="64"/>
      <c r="F169" s="74" t="str">
        <f>'[30]Balance Sheet'!$H$65</f>
        <v xml:space="preserve"> (K. VISALAKSHI)</v>
      </c>
      <c r="G169" s="26"/>
    </row>
    <row r="170" spans="2:9">
      <c r="B170" s="6" t="s">
        <v>1190</v>
      </c>
      <c r="C170" s="75"/>
      <c r="D170" s="68" t="str">
        <f>'[30]Balance Sheet'!$F$66</f>
        <v>Managing Director</v>
      </c>
      <c r="E170" s="64"/>
      <c r="F170" s="72" t="str">
        <f>'[30]Balance Sheet'!$H$66</f>
        <v>Director</v>
      </c>
      <c r="G170" s="26"/>
    </row>
    <row r="171" spans="2:9">
      <c r="B171" s="6" t="str">
        <f>BS!A62</f>
        <v>M.No. 029424</v>
      </c>
      <c r="C171" s="75"/>
      <c r="D171" s="76"/>
      <c r="E171" s="64"/>
      <c r="F171" s="76"/>
      <c r="G171" s="26"/>
    </row>
    <row r="172" spans="2:9" hidden="1">
      <c r="B172" s="211"/>
      <c r="C172" s="75"/>
      <c r="D172" s="75"/>
      <c r="E172" s="64"/>
      <c r="F172" s="77"/>
      <c r="G172" s="26"/>
    </row>
    <row r="173" spans="2:9" hidden="1">
      <c r="B173" s="81" t="s">
        <v>442</v>
      </c>
      <c r="C173" s="75"/>
      <c r="D173" s="78"/>
      <c r="E173" s="64"/>
      <c r="F173" s="78"/>
      <c r="G173" s="26"/>
    </row>
    <row r="174" spans="2:9">
      <c r="B174" s="6"/>
      <c r="C174" s="68"/>
      <c r="D174" s="68"/>
      <c r="E174" s="64"/>
      <c r="F174" s="77"/>
      <c r="G174" s="26"/>
    </row>
    <row r="175" spans="2:9">
      <c r="B175" s="63" t="s">
        <v>526</v>
      </c>
      <c r="C175" s="68" t="str">
        <f>'[30]Balance Sheet'!$C$70:$E$70</f>
        <v>Chennai</v>
      </c>
      <c r="D175" s="91"/>
      <c r="E175" s="3390"/>
      <c r="F175" s="3391"/>
      <c r="G175" s="3392"/>
    </row>
    <row r="176" spans="2:9" ht="15.75" customHeight="1" thickBot="1">
      <c r="B176" s="88" t="str">
        <f>+PL!A64</f>
        <v>Date:  07-09-2023</v>
      </c>
      <c r="C176" s="210"/>
      <c r="D176" s="92"/>
      <c r="E176" s="3393"/>
      <c r="F176" s="3393"/>
      <c r="G176" s="3394"/>
    </row>
  </sheetData>
  <mergeCells count="36">
    <mergeCell ref="B162:G162"/>
    <mergeCell ref="D164:F164"/>
    <mergeCell ref="E175:G175"/>
    <mergeCell ref="E176:G176"/>
    <mergeCell ref="B151:C151"/>
    <mergeCell ref="B152:C152"/>
    <mergeCell ref="B153:C153"/>
    <mergeCell ref="B154:C154"/>
    <mergeCell ref="B155:C155"/>
    <mergeCell ref="B156:C156"/>
    <mergeCell ref="B150:C150"/>
    <mergeCell ref="B72:C72"/>
    <mergeCell ref="B120:C120"/>
    <mergeCell ref="B124:C124"/>
    <mergeCell ref="B126:C126"/>
    <mergeCell ref="B141:C141"/>
    <mergeCell ref="B143:C143"/>
    <mergeCell ref="B144:C144"/>
    <mergeCell ref="B145:C145"/>
    <mergeCell ref="B149:C149"/>
    <mergeCell ref="D126:E126"/>
    <mergeCell ref="F126:G126"/>
    <mergeCell ref="B60:C60"/>
    <mergeCell ref="B64:C64"/>
    <mergeCell ref="B66:C66"/>
    <mergeCell ref="D66:E66"/>
    <mergeCell ref="F66:G66"/>
    <mergeCell ref="B69:C69"/>
    <mergeCell ref="B7:C7"/>
    <mergeCell ref="D7:E7"/>
    <mergeCell ref="F7:G7"/>
    <mergeCell ref="B1:G1"/>
    <mergeCell ref="B3:G3"/>
    <mergeCell ref="B4:G4"/>
    <mergeCell ref="B5:G5"/>
    <mergeCell ref="D6:G6"/>
  </mergeCells>
  <printOptions horizontalCentered="1"/>
  <pageMargins left="0.59" right="0.53" top="0.97" bottom="0.5" header="0.14000000000000001" footer="0.5"/>
  <pageSetup scale="65" orientation="portrait" r:id="rId1"/>
  <headerFooter alignWithMargins="0"/>
  <rowBreaks count="1" manualBreakCount="1">
    <brk id="128" min="1" max="6"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1:E520"/>
  <sheetViews>
    <sheetView topLeftCell="A403" workbookViewId="0">
      <selection activeCell="E418" sqref="E418"/>
    </sheetView>
  </sheetViews>
  <sheetFormatPr defaultRowHeight="14.4"/>
  <cols>
    <col min="1" max="1" width="9.44140625" customWidth="1"/>
    <col min="2" max="2" width="51.44140625" bestFit="1" customWidth="1"/>
    <col min="3" max="4" width="13" bestFit="1" customWidth="1"/>
    <col min="5" max="5" width="44.5546875" bestFit="1" customWidth="1"/>
  </cols>
  <sheetData>
    <row r="1" spans="2:4" ht="15.6">
      <c r="B1" s="2699" t="s">
        <v>1661</v>
      </c>
      <c r="C1" s="2699"/>
      <c r="D1" s="2699"/>
    </row>
    <row r="2" spans="2:4">
      <c r="B2" s="2700" t="s">
        <v>1662</v>
      </c>
      <c r="C2" s="2700"/>
      <c r="D2" s="2700"/>
    </row>
    <row r="3" spans="2:4">
      <c r="B3" s="2700" t="s">
        <v>1663</v>
      </c>
      <c r="C3" s="2700"/>
      <c r="D3" s="2700"/>
    </row>
    <row r="4" spans="2:4">
      <c r="B4" s="2700" t="s">
        <v>1664</v>
      </c>
      <c r="C4" s="2700"/>
      <c r="D4" s="2700"/>
    </row>
    <row r="5" spans="2:4">
      <c r="B5" s="2701" t="s">
        <v>1665</v>
      </c>
      <c r="C5" s="2701"/>
      <c r="D5" s="2701"/>
    </row>
    <row r="6" spans="2:4" ht="15.6">
      <c r="B6" s="2702" t="s">
        <v>81</v>
      </c>
      <c r="C6" s="2702"/>
      <c r="D6" s="2702"/>
    </row>
    <row r="7" spans="2:4">
      <c r="B7" s="2700" t="s">
        <v>1666</v>
      </c>
      <c r="C7" s="2700"/>
      <c r="D7" s="2700"/>
    </row>
    <row r="8" spans="2:4">
      <c r="B8" s="10" t="s">
        <v>82</v>
      </c>
      <c r="C8" s="2911" t="s">
        <v>1667</v>
      </c>
      <c r="D8" s="2908"/>
    </row>
    <row r="9" spans="2:4">
      <c r="B9" s="11" t="s">
        <v>1</v>
      </c>
      <c r="C9" s="2706" t="s">
        <v>1666</v>
      </c>
      <c r="D9" s="2707"/>
    </row>
    <row r="10" spans="2:4">
      <c r="B10" s="11" t="s">
        <v>82</v>
      </c>
      <c r="C10" s="2708" t="s">
        <v>20</v>
      </c>
      <c r="D10" s="2709"/>
    </row>
    <row r="11" spans="2:4">
      <c r="B11" s="12" t="s">
        <v>82</v>
      </c>
      <c r="C11" s="101" t="s">
        <v>66</v>
      </c>
      <c r="D11" s="101" t="s">
        <v>67</v>
      </c>
    </row>
    <row r="12" spans="2:4">
      <c r="B12" s="1" t="s">
        <v>84</v>
      </c>
      <c r="C12" s="102"/>
      <c r="D12" s="103">
        <v>7147460</v>
      </c>
    </row>
    <row r="13" spans="2:4">
      <c r="B13" s="13" t="s">
        <v>85</v>
      </c>
      <c r="C13" s="96"/>
      <c r="D13" s="104">
        <v>7147460</v>
      </c>
    </row>
    <row r="14" spans="2:4">
      <c r="B14" s="1" t="s">
        <v>86</v>
      </c>
      <c r="C14" s="105">
        <v>3843630</v>
      </c>
      <c r="D14" s="105">
        <v>10441228.199999999</v>
      </c>
    </row>
    <row r="15" spans="2:4">
      <c r="B15" s="14" t="s">
        <v>87</v>
      </c>
      <c r="C15" s="95"/>
      <c r="D15" s="95"/>
    </row>
    <row r="16" spans="2:4">
      <c r="B16" s="14" t="s">
        <v>89</v>
      </c>
      <c r="C16" s="106">
        <v>3843630</v>
      </c>
      <c r="D16" s="106">
        <v>10035816.060000001</v>
      </c>
    </row>
    <row r="17" spans="2:5">
      <c r="B17" s="248" t="s">
        <v>1295</v>
      </c>
      <c r="C17" s="107">
        <v>889138</v>
      </c>
      <c r="D17" s="107">
        <v>4213236.93</v>
      </c>
    </row>
    <row r="18" spans="2:5">
      <c r="B18" s="190" t="s">
        <v>558</v>
      </c>
      <c r="C18" s="96"/>
      <c r="D18" s="104">
        <v>4202</v>
      </c>
    </row>
    <row r="19" spans="2:5">
      <c r="B19" s="190" t="s">
        <v>969</v>
      </c>
      <c r="C19" s="96"/>
      <c r="D19" s="104">
        <v>5439</v>
      </c>
    </row>
    <row r="20" spans="2:5">
      <c r="B20" s="190" t="s">
        <v>1380</v>
      </c>
      <c r="C20" s="96"/>
      <c r="D20" s="104">
        <v>1330</v>
      </c>
    </row>
    <row r="21" spans="2:5">
      <c r="B21" s="190" t="s">
        <v>1786</v>
      </c>
      <c r="C21" s="96"/>
      <c r="D21" s="104">
        <v>10080</v>
      </c>
    </row>
    <row r="22" spans="2:5">
      <c r="B22" s="15" t="s">
        <v>974</v>
      </c>
      <c r="C22" s="96"/>
      <c r="D22" s="104">
        <v>1550</v>
      </c>
    </row>
    <row r="23" spans="2:5">
      <c r="B23" s="15" t="s">
        <v>68</v>
      </c>
      <c r="C23" s="96"/>
      <c r="D23" s="104">
        <v>22484</v>
      </c>
    </row>
    <row r="24" spans="2:5">
      <c r="B24" s="190" t="s">
        <v>1787</v>
      </c>
      <c r="C24" s="96"/>
      <c r="D24" s="104">
        <v>12103</v>
      </c>
    </row>
    <row r="25" spans="2:5">
      <c r="B25" s="190" t="s">
        <v>1384</v>
      </c>
      <c r="C25" s="96"/>
      <c r="D25" s="104">
        <v>16884</v>
      </c>
    </row>
    <row r="26" spans="2:5">
      <c r="B26" s="190" t="s">
        <v>1668</v>
      </c>
      <c r="C26" s="96"/>
      <c r="D26" s="104">
        <v>16</v>
      </c>
      <c r="E26" t="s">
        <v>1777</v>
      </c>
    </row>
    <row r="27" spans="2:5">
      <c r="B27" s="190" t="s">
        <v>557</v>
      </c>
      <c r="C27" s="96"/>
      <c r="D27" s="104">
        <v>468288.93</v>
      </c>
      <c r="E27" t="s">
        <v>1778</v>
      </c>
    </row>
    <row r="28" spans="2:5">
      <c r="B28" s="15" t="s">
        <v>1669</v>
      </c>
      <c r="C28" s="96"/>
      <c r="D28" s="104">
        <v>900</v>
      </c>
      <c r="E28" t="s">
        <v>1777</v>
      </c>
    </row>
    <row r="29" spans="2:5">
      <c r="B29" s="190" t="s">
        <v>1378</v>
      </c>
      <c r="C29" s="96"/>
      <c r="D29" s="104">
        <v>24150</v>
      </c>
      <c r="E29" t="s">
        <v>1777</v>
      </c>
    </row>
    <row r="30" spans="2:5">
      <c r="B30" s="191" t="s">
        <v>1379</v>
      </c>
      <c r="C30" s="96"/>
      <c r="D30" s="104">
        <v>46383</v>
      </c>
      <c r="E30" t="s">
        <v>1777</v>
      </c>
    </row>
    <row r="31" spans="2:5">
      <c r="B31" s="15" t="s">
        <v>559</v>
      </c>
      <c r="C31" s="96"/>
      <c r="D31" s="104">
        <v>12864</v>
      </c>
      <c r="E31" t="s">
        <v>1777</v>
      </c>
    </row>
    <row r="32" spans="2:5">
      <c r="B32" s="190" t="s">
        <v>1670</v>
      </c>
      <c r="C32" s="104">
        <v>47780</v>
      </c>
      <c r="D32" s="96"/>
      <c r="E32" t="s">
        <v>1576</v>
      </c>
    </row>
    <row r="33" spans="2:5">
      <c r="B33" s="15" t="s">
        <v>560</v>
      </c>
      <c r="C33" s="96"/>
      <c r="D33" s="104">
        <v>182380</v>
      </c>
      <c r="E33" t="s">
        <v>1777</v>
      </c>
    </row>
    <row r="34" spans="2:5">
      <c r="B34" s="15" t="s">
        <v>1671</v>
      </c>
      <c r="C34" s="96"/>
      <c r="D34" s="104">
        <v>35000</v>
      </c>
      <c r="E34" t="s">
        <v>1777</v>
      </c>
    </row>
    <row r="35" spans="2:5">
      <c r="B35" s="13" t="s">
        <v>561</v>
      </c>
      <c r="C35" s="96"/>
      <c r="D35" s="104">
        <v>252786</v>
      </c>
      <c r="E35" t="s">
        <v>1777</v>
      </c>
    </row>
    <row r="36" spans="2:5">
      <c r="B36" s="190" t="s">
        <v>1293</v>
      </c>
      <c r="C36" s="96"/>
      <c r="D36" s="104">
        <v>17000</v>
      </c>
      <c r="E36" t="s">
        <v>1777</v>
      </c>
    </row>
    <row r="37" spans="2:5">
      <c r="B37" s="17" t="s">
        <v>563</v>
      </c>
      <c r="C37" s="96"/>
      <c r="D37" s="104">
        <v>111200</v>
      </c>
      <c r="E37" t="s">
        <v>1777</v>
      </c>
    </row>
    <row r="38" spans="2:5">
      <c r="B38" s="190" t="s">
        <v>1292</v>
      </c>
      <c r="C38" s="104">
        <v>450000</v>
      </c>
      <c r="D38" s="96"/>
      <c r="E38" t="s">
        <v>1576</v>
      </c>
    </row>
    <row r="39" spans="2:5">
      <c r="B39" s="191" t="s">
        <v>564</v>
      </c>
      <c r="C39" s="96"/>
      <c r="D39" s="104">
        <v>404615</v>
      </c>
      <c r="E39" t="s">
        <v>1777</v>
      </c>
    </row>
    <row r="40" spans="2:5">
      <c r="B40" s="15" t="s">
        <v>565</v>
      </c>
      <c r="C40" s="96"/>
      <c r="D40" s="104">
        <v>340410</v>
      </c>
      <c r="E40" t="s">
        <v>1777</v>
      </c>
    </row>
    <row r="41" spans="2:5">
      <c r="B41" s="15" t="s">
        <v>566</v>
      </c>
      <c r="C41" s="96"/>
      <c r="D41" s="104">
        <v>19833</v>
      </c>
      <c r="E41" t="s">
        <v>1777</v>
      </c>
    </row>
    <row r="42" spans="2:5">
      <c r="B42" s="190" t="s">
        <v>972</v>
      </c>
      <c r="C42" s="96"/>
      <c r="D42" s="104">
        <v>20000</v>
      </c>
      <c r="E42" t="s">
        <v>1777</v>
      </c>
    </row>
    <row r="43" spans="2:5">
      <c r="B43" s="190" t="s">
        <v>1672</v>
      </c>
      <c r="C43" s="104">
        <v>300000</v>
      </c>
      <c r="D43" s="96"/>
      <c r="E43" t="s">
        <v>1576</v>
      </c>
    </row>
    <row r="44" spans="2:5">
      <c r="B44" s="15" t="s">
        <v>567</v>
      </c>
      <c r="C44" s="96"/>
      <c r="D44" s="104">
        <v>48834</v>
      </c>
      <c r="E44" t="s">
        <v>1777</v>
      </c>
    </row>
    <row r="45" spans="2:5">
      <c r="B45" s="190" t="s">
        <v>568</v>
      </c>
      <c r="C45" s="104">
        <v>38738</v>
      </c>
      <c r="D45" s="96"/>
      <c r="E45" t="s">
        <v>1576</v>
      </c>
    </row>
    <row r="46" spans="2:5">
      <c r="B46" s="190" t="s">
        <v>569</v>
      </c>
      <c r="C46" s="96"/>
      <c r="D46" s="104">
        <v>1835922</v>
      </c>
      <c r="E46" t="s">
        <v>1777</v>
      </c>
    </row>
    <row r="47" spans="2:5">
      <c r="B47" s="15" t="s">
        <v>1673</v>
      </c>
      <c r="C47" s="96"/>
      <c r="D47" s="104">
        <v>19815</v>
      </c>
      <c r="E47" t="s">
        <v>1777</v>
      </c>
    </row>
    <row r="48" spans="2:5">
      <c r="B48" s="190" t="s">
        <v>570</v>
      </c>
      <c r="C48" s="96"/>
      <c r="D48" s="104">
        <v>5700</v>
      </c>
      <c r="E48" t="s">
        <v>1777</v>
      </c>
    </row>
    <row r="49" spans="2:5">
      <c r="B49" s="190" t="s">
        <v>1382</v>
      </c>
      <c r="C49" s="104">
        <v>13000</v>
      </c>
      <c r="D49" s="96"/>
      <c r="E49" t="s">
        <v>1576</v>
      </c>
    </row>
    <row r="50" spans="2:5">
      <c r="B50" s="190" t="s">
        <v>1383</v>
      </c>
      <c r="C50" s="104">
        <v>39620</v>
      </c>
      <c r="D50" s="96"/>
      <c r="E50" t="s">
        <v>1576</v>
      </c>
    </row>
    <row r="51" spans="2:5">
      <c r="B51" s="15" t="s">
        <v>68</v>
      </c>
      <c r="C51" s="96"/>
      <c r="D51" s="104">
        <v>367140</v>
      </c>
      <c r="E51" t="s">
        <v>1777</v>
      </c>
    </row>
    <row r="52" spans="2:5">
      <c r="B52" s="248" t="s">
        <v>1291</v>
      </c>
      <c r="C52" s="204">
        <v>1074889</v>
      </c>
      <c r="D52" s="204">
        <v>2435510.9500000002</v>
      </c>
    </row>
    <row r="53" spans="2:5">
      <c r="B53" s="190" t="s">
        <v>1290</v>
      </c>
      <c r="C53" s="104">
        <v>601</v>
      </c>
      <c r="D53" s="96"/>
      <c r="E53" t="s">
        <v>1574</v>
      </c>
    </row>
    <row r="54" spans="2:5">
      <c r="B54" s="190" t="s">
        <v>1289</v>
      </c>
      <c r="C54" s="96"/>
      <c r="D54" s="104">
        <v>43181</v>
      </c>
      <c r="E54" t="s">
        <v>37</v>
      </c>
    </row>
    <row r="55" spans="2:5">
      <c r="B55" s="190" t="s">
        <v>1385</v>
      </c>
      <c r="C55" s="96"/>
      <c r="D55" s="104">
        <v>16283.5</v>
      </c>
      <c r="E55" t="s">
        <v>37</v>
      </c>
    </row>
    <row r="56" spans="2:5">
      <c r="B56" s="190" t="s">
        <v>1674</v>
      </c>
      <c r="C56" s="96"/>
      <c r="D56" s="104">
        <v>54253</v>
      </c>
      <c r="E56" t="s">
        <v>37</v>
      </c>
    </row>
    <row r="57" spans="2:5">
      <c r="B57" s="15" t="s">
        <v>1388</v>
      </c>
      <c r="C57" s="96"/>
      <c r="D57" s="104">
        <v>21898</v>
      </c>
      <c r="E57" t="s">
        <v>37</v>
      </c>
    </row>
    <row r="58" spans="2:5">
      <c r="B58" s="190" t="s">
        <v>1675</v>
      </c>
      <c r="C58" s="104">
        <v>1742</v>
      </c>
      <c r="D58" s="96"/>
      <c r="E58" t="s">
        <v>1574</v>
      </c>
    </row>
    <row r="59" spans="2:5">
      <c r="B59" s="15" t="s">
        <v>1389</v>
      </c>
      <c r="C59" s="96"/>
      <c r="D59" s="104">
        <v>12126</v>
      </c>
      <c r="E59" t="s">
        <v>37</v>
      </c>
    </row>
    <row r="60" spans="2:5">
      <c r="B60" s="190" t="s">
        <v>1676</v>
      </c>
      <c r="C60" s="104">
        <v>6</v>
      </c>
      <c r="D60" s="96"/>
      <c r="E60" t="s">
        <v>1574</v>
      </c>
    </row>
    <row r="61" spans="2:5">
      <c r="B61" s="190" t="s">
        <v>1677</v>
      </c>
      <c r="C61" s="96"/>
      <c r="D61" s="104">
        <v>7290</v>
      </c>
      <c r="E61" t="s">
        <v>37</v>
      </c>
    </row>
    <row r="62" spans="2:5">
      <c r="B62" s="190" t="s">
        <v>1390</v>
      </c>
      <c r="C62" s="96"/>
      <c r="D62" s="104">
        <v>23209</v>
      </c>
      <c r="E62" t="s">
        <v>37</v>
      </c>
    </row>
    <row r="63" spans="2:5">
      <c r="B63" s="15" t="s">
        <v>1678</v>
      </c>
      <c r="C63" s="96"/>
      <c r="D63" s="104">
        <v>150683</v>
      </c>
      <c r="E63" t="s">
        <v>37</v>
      </c>
    </row>
    <row r="64" spans="2:5">
      <c r="B64" s="190" t="s">
        <v>1392</v>
      </c>
      <c r="C64" s="96"/>
      <c r="D64" s="104">
        <v>31643</v>
      </c>
      <c r="E64" t="s">
        <v>37</v>
      </c>
    </row>
    <row r="65" spans="2:5">
      <c r="B65" s="190" t="s">
        <v>578</v>
      </c>
      <c r="C65" s="96"/>
      <c r="D65" s="104">
        <v>107676</v>
      </c>
      <c r="E65" t="s">
        <v>37</v>
      </c>
    </row>
    <row r="66" spans="2:5">
      <c r="B66" s="15" t="s">
        <v>1393</v>
      </c>
      <c r="C66" s="96"/>
      <c r="D66" s="104">
        <v>70388</v>
      </c>
      <c r="E66" t="s">
        <v>37</v>
      </c>
    </row>
    <row r="67" spans="2:5">
      <c r="B67" s="190" t="s">
        <v>1679</v>
      </c>
      <c r="C67" s="104">
        <v>188443</v>
      </c>
      <c r="D67" s="96"/>
      <c r="E67" t="s">
        <v>1574</v>
      </c>
    </row>
    <row r="68" spans="2:5">
      <c r="B68" s="15" t="s">
        <v>579</v>
      </c>
      <c r="C68" s="96"/>
      <c r="D68" s="104">
        <v>75523</v>
      </c>
      <c r="E68" t="s">
        <v>37</v>
      </c>
    </row>
    <row r="69" spans="2:5">
      <c r="B69" s="190" t="s">
        <v>581</v>
      </c>
      <c r="C69" s="96"/>
      <c r="D69" s="104">
        <v>28452</v>
      </c>
      <c r="E69" t="s">
        <v>37</v>
      </c>
    </row>
    <row r="70" spans="2:5">
      <c r="B70" s="190" t="s">
        <v>1395</v>
      </c>
      <c r="C70" s="104">
        <v>64600</v>
      </c>
      <c r="D70" s="96"/>
      <c r="E70" t="s">
        <v>1574</v>
      </c>
    </row>
    <row r="71" spans="2:5">
      <c r="B71" s="15" t="s">
        <v>1396</v>
      </c>
      <c r="C71" s="96"/>
      <c r="D71" s="104">
        <v>25218</v>
      </c>
      <c r="E71" t="s">
        <v>37</v>
      </c>
    </row>
    <row r="72" spans="2:5">
      <c r="B72" s="190" t="s">
        <v>1397</v>
      </c>
      <c r="C72" s="96"/>
      <c r="D72" s="104">
        <v>5205</v>
      </c>
      <c r="E72" t="s">
        <v>37</v>
      </c>
    </row>
    <row r="73" spans="2:5">
      <c r="B73" s="15" t="s">
        <v>1398</v>
      </c>
      <c r="C73" s="104">
        <v>2807</v>
      </c>
      <c r="D73" s="96"/>
      <c r="E73" t="s">
        <v>1574</v>
      </c>
    </row>
    <row r="74" spans="2:5">
      <c r="B74" s="15" t="s">
        <v>259</v>
      </c>
      <c r="C74" s="96"/>
      <c r="D74" s="104">
        <v>842755.5</v>
      </c>
      <c r="E74" t="s">
        <v>37</v>
      </c>
    </row>
    <row r="75" spans="2:5">
      <c r="B75" s="190" t="s">
        <v>257</v>
      </c>
      <c r="C75" s="96"/>
      <c r="D75" s="104">
        <v>234051.5</v>
      </c>
      <c r="E75" t="s">
        <v>37</v>
      </c>
    </row>
    <row r="76" spans="2:5">
      <c r="B76" s="190" t="s">
        <v>1399</v>
      </c>
      <c r="C76" s="96"/>
      <c r="D76" s="104">
        <v>1794</v>
      </c>
      <c r="E76" t="s">
        <v>37</v>
      </c>
    </row>
    <row r="77" spans="2:5">
      <c r="B77" s="15" t="s">
        <v>1287</v>
      </c>
      <c r="C77" s="96"/>
      <c r="D77" s="104">
        <v>26111</v>
      </c>
      <c r="E77" t="s">
        <v>37</v>
      </c>
    </row>
    <row r="78" spans="2:5">
      <c r="B78" s="15" t="s">
        <v>1680</v>
      </c>
      <c r="C78" s="96"/>
      <c r="D78" s="104">
        <v>51</v>
      </c>
      <c r="E78" t="s">
        <v>37</v>
      </c>
    </row>
    <row r="79" spans="2:5">
      <c r="B79" s="15" t="s">
        <v>1681</v>
      </c>
      <c r="C79" s="96"/>
      <c r="D79" s="104">
        <v>106</v>
      </c>
      <c r="E79" t="s">
        <v>37</v>
      </c>
    </row>
    <row r="80" spans="2:5">
      <c r="B80" s="190" t="s">
        <v>1682</v>
      </c>
      <c r="C80" s="96"/>
      <c r="D80" s="104">
        <v>31120</v>
      </c>
      <c r="E80" t="s">
        <v>37</v>
      </c>
    </row>
    <row r="81" spans="2:5">
      <c r="B81" s="15" t="s">
        <v>1683</v>
      </c>
      <c r="C81" s="96"/>
      <c r="D81" s="104">
        <v>7110</v>
      </c>
      <c r="E81" t="s">
        <v>37</v>
      </c>
    </row>
    <row r="82" spans="2:5">
      <c r="B82" s="15" t="s">
        <v>586</v>
      </c>
      <c r="C82" s="104">
        <v>11210</v>
      </c>
      <c r="D82" s="96"/>
      <c r="E82" t="s">
        <v>1574</v>
      </c>
    </row>
    <row r="83" spans="2:5">
      <c r="B83" s="190" t="s">
        <v>1684</v>
      </c>
      <c r="C83" s="96"/>
      <c r="D83" s="104">
        <v>5000</v>
      </c>
      <c r="E83" t="s">
        <v>37</v>
      </c>
    </row>
    <row r="84" spans="2:5">
      <c r="B84" s="15" t="s">
        <v>1685</v>
      </c>
      <c r="C84" s="96"/>
      <c r="D84" s="104">
        <v>805</v>
      </c>
      <c r="E84" t="s">
        <v>37</v>
      </c>
    </row>
    <row r="85" spans="2:5">
      <c r="B85" s="15" t="s">
        <v>1686</v>
      </c>
      <c r="C85" s="104">
        <v>93562</v>
      </c>
      <c r="D85" s="96"/>
      <c r="E85" t="s">
        <v>1574</v>
      </c>
    </row>
    <row r="86" spans="2:5">
      <c r="B86" s="15" t="s">
        <v>1687</v>
      </c>
      <c r="C86" s="104">
        <v>69795</v>
      </c>
      <c r="D86" s="96"/>
      <c r="E86" t="s">
        <v>1574</v>
      </c>
    </row>
    <row r="87" spans="2:5">
      <c r="B87" s="190" t="s">
        <v>1688</v>
      </c>
      <c r="C87" s="96"/>
      <c r="D87" s="104">
        <v>1210</v>
      </c>
      <c r="E87" t="s">
        <v>37</v>
      </c>
    </row>
    <row r="88" spans="2:5">
      <c r="B88" s="13" t="s">
        <v>587</v>
      </c>
      <c r="C88" s="96"/>
      <c r="D88" s="104">
        <v>209065.35</v>
      </c>
      <c r="E88" t="s">
        <v>37</v>
      </c>
    </row>
    <row r="89" spans="2:5">
      <c r="B89" s="15" t="s">
        <v>1403</v>
      </c>
      <c r="C89" s="96"/>
      <c r="D89" s="104">
        <v>4753</v>
      </c>
      <c r="E89" t="s">
        <v>37</v>
      </c>
    </row>
    <row r="90" spans="2:5">
      <c r="B90" s="190" t="s">
        <v>1404</v>
      </c>
      <c r="C90" s="96"/>
      <c r="D90" s="104">
        <v>45</v>
      </c>
      <c r="E90" t="s">
        <v>37</v>
      </c>
    </row>
    <row r="91" spans="2:5">
      <c r="B91" s="190" t="s">
        <v>258</v>
      </c>
      <c r="C91" s="96"/>
      <c r="D91" s="104">
        <v>196558</v>
      </c>
      <c r="E91" t="s">
        <v>37</v>
      </c>
    </row>
    <row r="92" spans="2:5">
      <c r="B92" s="15" t="s">
        <v>1689</v>
      </c>
      <c r="C92" s="96"/>
      <c r="D92" s="104">
        <v>5250</v>
      </c>
      <c r="E92" t="s">
        <v>37</v>
      </c>
    </row>
    <row r="93" spans="2:5">
      <c r="B93" s="190" t="s">
        <v>1405</v>
      </c>
      <c r="C93" s="104">
        <v>2750</v>
      </c>
      <c r="D93" s="96"/>
      <c r="E93" t="s">
        <v>1574</v>
      </c>
    </row>
    <row r="94" spans="2:5">
      <c r="B94" s="15" t="s">
        <v>1690</v>
      </c>
      <c r="C94" s="104">
        <v>849</v>
      </c>
      <c r="D94" s="96"/>
      <c r="E94" t="s">
        <v>1574</v>
      </c>
    </row>
    <row r="95" spans="2:5">
      <c r="B95" s="190" t="s">
        <v>1691</v>
      </c>
      <c r="C95" s="96"/>
      <c r="D95" s="104">
        <v>645</v>
      </c>
      <c r="E95" t="s">
        <v>37</v>
      </c>
    </row>
    <row r="96" spans="2:5">
      <c r="B96" s="190" t="s">
        <v>1692</v>
      </c>
      <c r="C96" s="96"/>
      <c r="D96" s="104">
        <v>10801</v>
      </c>
      <c r="E96" t="s">
        <v>37</v>
      </c>
    </row>
    <row r="97" spans="2:5">
      <c r="B97" s="190" t="s">
        <v>1693</v>
      </c>
      <c r="C97" s="96"/>
      <c r="D97" s="104">
        <v>1032.5</v>
      </c>
      <c r="E97" t="s">
        <v>37</v>
      </c>
    </row>
    <row r="98" spans="2:5">
      <c r="B98" s="190" t="s">
        <v>1408</v>
      </c>
      <c r="C98" s="104">
        <v>2977</v>
      </c>
      <c r="D98" s="96"/>
      <c r="E98" t="s">
        <v>1574</v>
      </c>
    </row>
    <row r="99" spans="2:5">
      <c r="B99" s="190" t="s">
        <v>597</v>
      </c>
      <c r="C99" s="96"/>
      <c r="D99" s="104">
        <v>3140</v>
      </c>
      <c r="E99" t="s">
        <v>37</v>
      </c>
    </row>
    <row r="100" spans="2:5">
      <c r="B100" s="15" t="s">
        <v>599</v>
      </c>
      <c r="C100" s="96"/>
      <c r="D100" s="104">
        <v>4960</v>
      </c>
      <c r="E100" t="s">
        <v>37</v>
      </c>
    </row>
    <row r="101" spans="2:5">
      <c r="B101" s="15" t="s">
        <v>994</v>
      </c>
      <c r="C101" s="96"/>
      <c r="D101" s="104">
        <v>15159</v>
      </c>
      <c r="E101" t="s">
        <v>37</v>
      </c>
    </row>
    <row r="102" spans="2:5">
      <c r="B102" s="190" t="s">
        <v>1694</v>
      </c>
      <c r="C102" s="96"/>
      <c r="D102" s="104">
        <v>68204</v>
      </c>
      <c r="E102" t="s">
        <v>37</v>
      </c>
    </row>
    <row r="103" spans="2:5">
      <c r="B103" s="190" t="s">
        <v>1411</v>
      </c>
      <c r="C103" s="104">
        <v>22633</v>
      </c>
      <c r="D103" s="96"/>
      <c r="E103" t="s">
        <v>1574</v>
      </c>
    </row>
    <row r="104" spans="2:5">
      <c r="B104" s="190" t="s">
        <v>1695</v>
      </c>
      <c r="C104" s="96"/>
      <c r="D104" s="104">
        <v>1</v>
      </c>
      <c r="E104" t="s">
        <v>37</v>
      </c>
    </row>
    <row r="105" spans="2:5">
      <c r="B105" s="190" t="s">
        <v>1696</v>
      </c>
      <c r="C105" s="96"/>
      <c r="D105" s="104">
        <v>0.6</v>
      </c>
      <c r="E105" t="s">
        <v>37</v>
      </c>
    </row>
    <row r="106" spans="2:5">
      <c r="B106" s="190" t="s">
        <v>1697</v>
      </c>
      <c r="C106" s="96"/>
      <c r="D106" s="104">
        <v>6</v>
      </c>
      <c r="E106" t="s">
        <v>37</v>
      </c>
    </row>
    <row r="107" spans="2:5">
      <c r="B107" s="190" t="s">
        <v>1413</v>
      </c>
      <c r="C107" s="96"/>
      <c r="D107" s="104">
        <v>1</v>
      </c>
      <c r="E107" t="s">
        <v>37</v>
      </c>
    </row>
    <row r="108" spans="2:5">
      <c r="B108" s="190" t="s">
        <v>605</v>
      </c>
      <c r="C108" s="104">
        <v>612518</v>
      </c>
      <c r="D108" s="96"/>
      <c r="E108" t="s">
        <v>1574</v>
      </c>
    </row>
    <row r="109" spans="2:5">
      <c r="B109" s="191" t="s">
        <v>606</v>
      </c>
      <c r="C109" s="96"/>
      <c r="D109" s="104">
        <v>92098</v>
      </c>
      <c r="E109" t="s">
        <v>37</v>
      </c>
    </row>
    <row r="110" spans="2:5">
      <c r="B110" s="17" t="s">
        <v>1698</v>
      </c>
      <c r="C110" s="104">
        <v>396</v>
      </c>
      <c r="D110" s="96"/>
      <c r="E110" t="s">
        <v>1574</v>
      </c>
    </row>
    <row r="111" spans="2:5">
      <c r="B111" s="190" t="s">
        <v>1699</v>
      </c>
      <c r="C111" s="96"/>
      <c r="D111" s="104">
        <v>649</v>
      </c>
      <c r="E111" t="s">
        <v>37</v>
      </c>
    </row>
    <row r="112" spans="2:5">
      <c r="B112" s="248" t="s">
        <v>1284</v>
      </c>
      <c r="C112" s="204">
        <v>1879247</v>
      </c>
      <c r="D112" s="204">
        <v>1704198.73</v>
      </c>
    </row>
    <row r="113" spans="2:5">
      <c r="B113" s="15" t="s">
        <v>1421</v>
      </c>
      <c r="C113" s="104">
        <v>51354</v>
      </c>
      <c r="D113" s="96"/>
    </row>
    <row r="114" spans="2:5">
      <c r="B114" s="190" t="s">
        <v>610</v>
      </c>
      <c r="C114" s="96"/>
      <c r="D114" s="104">
        <v>36848</v>
      </c>
      <c r="E114" t="s">
        <v>37</v>
      </c>
    </row>
    <row r="115" spans="2:5">
      <c r="B115" s="190" t="s">
        <v>1700</v>
      </c>
      <c r="C115" s="96"/>
      <c r="D115" s="104">
        <v>115785</v>
      </c>
      <c r="E115" t="s">
        <v>37</v>
      </c>
    </row>
    <row r="116" spans="2:5">
      <c r="B116" s="190" t="s">
        <v>615</v>
      </c>
      <c r="C116" s="96"/>
      <c r="D116" s="104">
        <v>142197.29999999999</v>
      </c>
      <c r="E116" t="s">
        <v>37</v>
      </c>
    </row>
    <row r="117" spans="2:5">
      <c r="B117" s="190" t="s">
        <v>617</v>
      </c>
      <c r="C117" s="104">
        <v>252828</v>
      </c>
      <c r="D117" s="96"/>
    </row>
    <row r="118" spans="2:5">
      <c r="B118" s="190" t="s">
        <v>1423</v>
      </c>
      <c r="C118" s="96"/>
      <c r="D118" s="104">
        <v>78377</v>
      </c>
      <c r="E118" t="s">
        <v>37</v>
      </c>
    </row>
    <row r="119" spans="2:5">
      <c r="B119" s="190" t="s">
        <v>1424</v>
      </c>
      <c r="C119" s="104">
        <v>170</v>
      </c>
      <c r="D119" s="96"/>
    </row>
    <row r="120" spans="2:5">
      <c r="B120" s="190" t="s">
        <v>1426</v>
      </c>
      <c r="C120" s="104">
        <v>1467</v>
      </c>
      <c r="D120" s="96"/>
    </row>
    <row r="121" spans="2:5">
      <c r="B121" s="15" t="s">
        <v>1428</v>
      </c>
      <c r="C121" s="96"/>
      <c r="D121" s="104">
        <v>1500</v>
      </c>
      <c r="E121" t="s">
        <v>37</v>
      </c>
    </row>
    <row r="122" spans="2:5">
      <c r="B122" s="190" t="s">
        <v>1282</v>
      </c>
      <c r="C122" s="96"/>
      <c r="D122" s="104">
        <v>1665</v>
      </c>
      <c r="E122" t="s">
        <v>37</v>
      </c>
    </row>
    <row r="123" spans="2:5">
      <c r="B123" s="15" t="s">
        <v>1430</v>
      </c>
      <c r="C123" s="96"/>
      <c r="D123" s="104">
        <v>70950</v>
      </c>
      <c r="E123" t="s">
        <v>37</v>
      </c>
    </row>
    <row r="124" spans="2:5">
      <c r="B124" s="190" t="s">
        <v>624</v>
      </c>
      <c r="C124" s="104">
        <v>6000</v>
      </c>
      <c r="D124" s="96"/>
    </row>
    <row r="125" spans="2:5">
      <c r="B125" s="190" t="s">
        <v>1431</v>
      </c>
      <c r="C125" s="96"/>
      <c r="D125" s="104">
        <v>1900</v>
      </c>
      <c r="E125" t="s">
        <v>37</v>
      </c>
    </row>
    <row r="126" spans="2:5">
      <c r="B126" s="190" t="s">
        <v>1432</v>
      </c>
      <c r="C126" s="104">
        <v>2716</v>
      </c>
      <c r="D126" s="96"/>
    </row>
    <row r="127" spans="2:5">
      <c r="B127" s="190" t="s">
        <v>1433</v>
      </c>
      <c r="C127" s="96"/>
      <c r="D127" s="104">
        <v>1125</v>
      </c>
      <c r="E127" t="s">
        <v>37</v>
      </c>
    </row>
    <row r="128" spans="2:5">
      <c r="B128" s="191" t="s">
        <v>1701</v>
      </c>
      <c r="C128" s="104">
        <v>336435</v>
      </c>
      <c r="D128" s="96"/>
    </row>
    <row r="129" spans="2:5">
      <c r="B129" s="15" t="s">
        <v>1434</v>
      </c>
      <c r="C129" s="96"/>
      <c r="D129" s="104">
        <v>800</v>
      </c>
      <c r="E129" t="s">
        <v>37</v>
      </c>
    </row>
    <row r="130" spans="2:5">
      <c r="B130" s="190" t="s">
        <v>1435</v>
      </c>
      <c r="C130" s="96"/>
      <c r="D130" s="104">
        <v>13983</v>
      </c>
      <c r="E130" t="s">
        <v>37</v>
      </c>
    </row>
    <row r="131" spans="2:5">
      <c r="B131" s="190" t="s">
        <v>1702</v>
      </c>
      <c r="C131" s="96"/>
      <c r="D131" s="104">
        <v>80600</v>
      </c>
      <c r="E131" t="s">
        <v>37</v>
      </c>
    </row>
    <row r="132" spans="2:5">
      <c r="B132" s="190" t="s">
        <v>1280</v>
      </c>
      <c r="C132" s="96"/>
      <c r="D132" s="104">
        <v>37763</v>
      </c>
      <c r="E132" t="s">
        <v>37</v>
      </c>
    </row>
    <row r="133" spans="2:5">
      <c r="B133" s="190" t="s">
        <v>1437</v>
      </c>
      <c r="C133" s="96"/>
      <c r="D133" s="104">
        <v>587</v>
      </c>
      <c r="E133" t="s">
        <v>37</v>
      </c>
    </row>
    <row r="134" spans="2:5">
      <c r="B134" s="190" t="s">
        <v>637</v>
      </c>
      <c r="C134" s="104">
        <v>8402</v>
      </c>
      <c r="D134" s="96"/>
    </row>
    <row r="135" spans="2:5">
      <c r="B135" s="15" t="s">
        <v>1441</v>
      </c>
      <c r="C135" s="96"/>
      <c r="D135" s="104">
        <v>5458</v>
      </c>
      <c r="E135" t="s">
        <v>37</v>
      </c>
    </row>
    <row r="136" spans="2:5">
      <c r="B136" s="190" t="s">
        <v>646</v>
      </c>
      <c r="C136" s="96"/>
      <c r="D136" s="104">
        <v>187808</v>
      </c>
      <c r="E136" t="s">
        <v>37</v>
      </c>
    </row>
    <row r="137" spans="2:5">
      <c r="B137" s="190" t="s">
        <v>1703</v>
      </c>
      <c r="C137" s="104">
        <v>120490</v>
      </c>
      <c r="D137" s="96"/>
    </row>
    <row r="138" spans="2:5">
      <c r="B138" s="190" t="s">
        <v>1704</v>
      </c>
      <c r="C138" s="96"/>
      <c r="D138" s="104">
        <v>774</v>
      </c>
      <c r="E138" t="s">
        <v>37</v>
      </c>
    </row>
    <row r="139" spans="2:5">
      <c r="B139" s="190" t="s">
        <v>1445</v>
      </c>
      <c r="C139" s="104">
        <v>67735</v>
      </c>
      <c r="D139" s="96"/>
    </row>
    <row r="140" spans="2:5">
      <c r="B140" s="15" t="s">
        <v>1705</v>
      </c>
      <c r="C140" s="104">
        <v>3000</v>
      </c>
      <c r="D140" s="96"/>
    </row>
    <row r="141" spans="2:5">
      <c r="B141" s="190" t="s">
        <v>661</v>
      </c>
      <c r="C141" s="96"/>
      <c r="D141" s="104">
        <v>60</v>
      </c>
      <c r="E141" t="s">
        <v>37</v>
      </c>
    </row>
    <row r="142" spans="2:5">
      <c r="B142" s="190" t="s">
        <v>1706</v>
      </c>
      <c r="C142" s="96"/>
      <c r="D142" s="104">
        <v>146494.5</v>
      </c>
      <c r="E142" t="s">
        <v>37</v>
      </c>
    </row>
    <row r="143" spans="2:5">
      <c r="B143" s="190" t="s">
        <v>666</v>
      </c>
      <c r="C143" s="104">
        <v>7740</v>
      </c>
      <c r="D143" s="96"/>
    </row>
    <row r="144" spans="2:5">
      <c r="B144" s="190" t="s">
        <v>669</v>
      </c>
      <c r="C144" s="104">
        <v>25367</v>
      </c>
      <c r="D144" s="96"/>
    </row>
    <row r="145" spans="2:5">
      <c r="B145" s="190" t="s">
        <v>1279</v>
      </c>
      <c r="C145" s="104">
        <v>252389</v>
      </c>
      <c r="D145" s="96"/>
    </row>
    <row r="146" spans="2:5">
      <c r="B146" s="190" t="s">
        <v>1707</v>
      </c>
      <c r="C146" s="96"/>
      <c r="D146" s="104">
        <v>90</v>
      </c>
      <c r="E146" t="s">
        <v>37</v>
      </c>
    </row>
    <row r="147" spans="2:5">
      <c r="B147" s="190" t="s">
        <v>1708</v>
      </c>
      <c r="C147" s="96"/>
      <c r="D147" s="104">
        <v>212</v>
      </c>
      <c r="E147" t="s">
        <v>37</v>
      </c>
    </row>
    <row r="148" spans="2:5">
      <c r="B148" s="190" t="s">
        <v>1709</v>
      </c>
      <c r="C148" s="104">
        <v>2021</v>
      </c>
      <c r="D148" s="96"/>
    </row>
    <row r="149" spans="2:5">
      <c r="B149" s="190" t="s">
        <v>1451</v>
      </c>
      <c r="C149" s="96"/>
      <c r="D149" s="104">
        <v>2000</v>
      </c>
      <c r="E149" t="s">
        <v>37</v>
      </c>
    </row>
    <row r="150" spans="2:5">
      <c r="B150" s="190" t="s">
        <v>1710</v>
      </c>
      <c r="C150" s="104">
        <v>1262</v>
      </c>
      <c r="D150" s="96"/>
    </row>
    <row r="151" spans="2:5">
      <c r="B151" s="190" t="s">
        <v>1025</v>
      </c>
      <c r="C151" s="96"/>
      <c r="D151" s="104">
        <v>112803</v>
      </c>
      <c r="E151" t="s">
        <v>37</v>
      </c>
    </row>
    <row r="152" spans="2:5">
      <c r="B152" s="190" t="s">
        <v>1711</v>
      </c>
      <c r="C152" s="96"/>
      <c r="D152" s="104">
        <v>2500</v>
      </c>
      <c r="E152" t="s">
        <v>37</v>
      </c>
    </row>
    <row r="153" spans="2:5">
      <c r="B153" s="190" t="s">
        <v>1454</v>
      </c>
      <c r="C153" s="96"/>
      <c r="D153" s="104">
        <v>2600</v>
      </c>
      <c r="E153" t="s">
        <v>37</v>
      </c>
    </row>
    <row r="154" spans="2:5">
      <c r="B154" s="15" t="s">
        <v>1028</v>
      </c>
      <c r="C154" s="104">
        <v>4180</v>
      </c>
      <c r="D154" s="96"/>
    </row>
    <row r="155" spans="2:5">
      <c r="B155" s="190" t="s">
        <v>1712</v>
      </c>
      <c r="C155" s="96"/>
      <c r="D155" s="104">
        <v>185976</v>
      </c>
      <c r="E155" t="s">
        <v>37</v>
      </c>
    </row>
    <row r="156" spans="2:5">
      <c r="B156" s="190" t="s">
        <v>1456</v>
      </c>
      <c r="C156" s="96"/>
      <c r="D156" s="104">
        <v>236</v>
      </c>
      <c r="E156" t="s">
        <v>37</v>
      </c>
    </row>
    <row r="157" spans="2:5">
      <c r="B157" s="15" t="s">
        <v>685</v>
      </c>
      <c r="C157" s="104">
        <v>175000</v>
      </c>
      <c r="D157" s="96"/>
    </row>
    <row r="158" spans="2:5">
      <c r="B158" s="190" t="s">
        <v>1457</v>
      </c>
      <c r="C158" s="96"/>
      <c r="D158" s="104">
        <v>11801</v>
      </c>
      <c r="E158" t="s">
        <v>37</v>
      </c>
    </row>
    <row r="159" spans="2:5">
      <c r="B159" s="190" t="s">
        <v>1713</v>
      </c>
      <c r="C159" s="104">
        <v>2500</v>
      </c>
      <c r="D159" s="96"/>
    </row>
    <row r="160" spans="2:5">
      <c r="B160" s="190" t="s">
        <v>1458</v>
      </c>
      <c r="C160" s="104">
        <v>760</v>
      </c>
      <c r="D160" s="96"/>
    </row>
    <row r="161" spans="2:5">
      <c r="B161" s="190" t="s">
        <v>1278</v>
      </c>
      <c r="C161" s="104">
        <v>99115</v>
      </c>
      <c r="D161" s="96"/>
    </row>
    <row r="162" spans="2:5">
      <c r="B162" s="190" t="s">
        <v>1714</v>
      </c>
      <c r="C162" s="104">
        <v>3870</v>
      </c>
      <c r="D162" s="96"/>
    </row>
    <row r="163" spans="2:5">
      <c r="B163" s="190" t="s">
        <v>1276</v>
      </c>
      <c r="C163" s="96"/>
      <c r="D163" s="104">
        <v>144688</v>
      </c>
      <c r="E163" t="s">
        <v>37</v>
      </c>
    </row>
    <row r="164" spans="2:5">
      <c r="B164" s="190" t="s">
        <v>1031</v>
      </c>
      <c r="C164" s="104">
        <v>357858</v>
      </c>
      <c r="D164" s="96"/>
    </row>
    <row r="165" spans="2:5">
      <c r="B165" s="190" t="s">
        <v>1715</v>
      </c>
      <c r="C165" s="104">
        <v>350</v>
      </c>
      <c r="D165" s="96"/>
    </row>
    <row r="166" spans="2:5">
      <c r="B166" s="190" t="s">
        <v>698</v>
      </c>
      <c r="C166" s="104">
        <v>96238</v>
      </c>
      <c r="D166" s="96"/>
    </row>
    <row r="167" spans="2:5">
      <c r="B167" s="190" t="s">
        <v>1032</v>
      </c>
      <c r="C167" s="96"/>
      <c r="D167" s="104">
        <v>316617.93</v>
      </c>
      <c r="E167" t="s">
        <v>37</v>
      </c>
    </row>
    <row r="168" spans="2:5">
      <c r="B168" s="248" t="s">
        <v>1274</v>
      </c>
      <c r="C168" s="93">
        <v>356</v>
      </c>
      <c r="D168" s="93">
        <v>1682869.45</v>
      </c>
      <c r="E168" t="s">
        <v>37</v>
      </c>
    </row>
    <row r="169" spans="2:5">
      <c r="B169" s="190" t="s">
        <v>1468</v>
      </c>
      <c r="C169" s="104">
        <v>1</v>
      </c>
      <c r="D169" s="96"/>
    </row>
    <row r="170" spans="2:5">
      <c r="B170" s="190" t="s">
        <v>1469</v>
      </c>
      <c r="C170" s="96"/>
      <c r="D170" s="104">
        <v>10962</v>
      </c>
      <c r="E170" t="s">
        <v>37</v>
      </c>
    </row>
    <row r="171" spans="2:5">
      <c r="B171" s="190" t="s">
        <v>1482</v>
      </c>
      <c r="C171" s="96"/>
      <c r="D171" s="104">
        <v>1500</v>
      </c>
      <c r="E171" t="s">
        <v>37</v>
      </c>
    </row>
    <row r="172" spans="2:5">
      <c r="B172" s="190" t="s">
        <v>1273</v>
      </c>
      <c r="C172" s="96"/>
      <c r="D172" s="104">
        <v>28985</v>
      </c>
      <c r="E172" t="s">
        <v>37</v>
      </c>
    </row>
    <row r="173" spans="2:5">
      <c r="B173" s="190" t="s">
        <v>704</v>
      </c>
      <c r="C173" s="96"/>
      <c r="D173" s="104">
        <v>761986</v>
      </c>
      <c r="E173" t="s">
        <v>37</v>
      </c>
    </row>
    <row r="174" spans="2:5">
      <c r="B174" s="190" t="s">
        <v>1470</v>
      </c>
      <c r="C174" s="96"/>
      <c r="D174" s="104">
        <v>63635</v>
      </c>
      <c r="E174" t="s">
        <v>37</v>
      </c>
    </row>
    <row r="175" spans="2:5">
      <c r="B175" s="17" t="s">
        <v>1716</v>
      </c>
      <c r="C175" s="96"/>
      <c r="D175" s="104">
        <v>75544</v>
      </c>
      <c r="E175" t="s">
        <v>37</v>
      </c>
    </row>
    <row r="176" spans="2:5">
      <c r="B176" s="190" t="s">
        <v>707</v>
      </c>
      <c r="C176" s="96"/>
      <c r="D176" s="104">
        <v>410109.2</v>
      </c>
      <c r="E176" t="s">
        <v>37</v>
      </c>
    </row>
    <row r="177" spans="2:5">
      <c r="B177" s="190" t="s">
        <v>1717</v>
      </c>
      <c r="C177" s="96"/>
      <c r="D177" s="104">
        <v>175702</v>
      </c>
      <c r="E177" t="s">
        <v>37</v>
      </c>
    </row>
    <row r="178" spans="2:5">
      <c r="B178" s="190" t="s">
        <v>1718</v>
      </c>
      <c r="C178" s="96"/>
      <c r="D178" s="104">
        <v>87475</v>
      </c>
      <c r="E178" t="s">
        <v>37</v>
      </c>
    </row>
    <row r="179" spans="2:5">
      <c r="B179" s="190" t="s">
        <v>1472</v>
      </c>
      <c r="C179" s="96"/>
      <c r="D179" s="104">
        <v>13</v>
      </c>
      <c r="E179" t="s">
        <v>37</v>
      </c>
    </row>
    <row r="180" spans="2:5">
      <c r="B180" s="15" t="s">
        <v>1473</v>
      </c>
      <c r="C180" s="96"/>
      <c r="D180" s="104">
        <v>4635</v>
      </c>
      <c r="E180" t="s">
        <v>37</v>
      </c>
    </row>
    <row r="181" spans="2:5">
      <c r="B181" s="190" t="s">
        <v>1477</v>
      </c>
      <c r="C181" s="104">
        <v>355</v>
      </c>
      <c r="D181" s="96"/>
    </row>
    <row r="182" spans="2:5">
      <c r="B182" s="190" t="s">
        <v>1479</v>
      </c>
      <c r="C182" s="96"/>
      <c r="D182" s="104">
        <v>4000</v>
      </c>
      <c r="E182" t="s">
        <v>37</v>
      </c>
    </row>
    <row r="183" spans="2:5">
      <c r="B183" s="190" t="s">
        <v>1480</v>
      </c>
      <c r="C183" s="96"/>
      <c r="D183" s="104">
        <v>3428</v>
      </c>
      <c r="E183" t="s">
        <v>37</v>
      </c>
    </row>
    <row r="184" spans="2:5">
      <c r="B184" s="190" t="s">
        <v>715</v>
      </c>
      <c r="C184" s="96"/>
      <c r="D184" s="104">
        <v>39948</v>
      </c>
      <c r="E184" t="s">
        <v>37</v>
      </c>
    </row>
    <row r="185" spans="2:5">
      <c r="B185" s="15" t="s">
        <v>1269</v>
      </c>
      <c r="C185" s="96"/>
      <c r="D185" s="104">
        <v>1.25</v>
      </c>
      <c r="E185" t="s">
        <v>37</v>
      </c>
    </row>
    <row r="186" spans="2:5">
      <c r="B186" s="190" t="s">
        <v>1481</v>
      </c>
      <c r="C186" s="96"/>
      <c r="D186" s="104">
        <v>14946</v>
      </c>
      <c r="E186" t="s">
        <v>37</v>
      </c>
    </row>
    <row r="187" spans="2:5">
      <c r="B187" s="13" t="s">
        <v>1062</v>
      </c>
      <c r="C187" s="96"/>
      <c r="D187" s="104">
        <v>78862</v>
      </c>
      <c r="E187" t="s">
        <v>1779</v>
      </c>
    </row>
    <row r="188" spans="2:5">
      <c r="B188" s="13" t="s">
        <v>91</v>
      </c>
      <c r="C188" s="96"/>
      <c r="D188" s="104">
        <v>294347</v>
      </c>
      <c r="E188" t="s">
        <v>1779</v>
      </c>
    </row>
    <row r="189" spans="2:5">
      <c r="B189" s="13" t="s">
        <v>1063</v>
      </c>
      <c r="C189" s="96"/>
      <c r="D189" s="104">
        <v>32203.14</v>
      </c>
      <c r="E189" t="s">
        <v>1779</v>
      </c>
    </row>
    <row r="190" spans="2:5">
      <c r="B190" s="1" t="s">
        <v>39</v>
      </c>
      <c r="C190" s="105">
        <v>35700162.259999998</v>
      </c>
      <c r="D190" s="109"/>
    </row>
    <row r="191" spans="2:5">
      <c r="B191" s="13" t="s">
        <v>92</v>
      </c>
      <c r="C191" s="104">
        <v>868251</v>
      </c>
      <c r="D191" s="96"/>
    </row>
    <row r="192" spans="2:5">
      <c r="B192" s="13" t="s">
        <v>93</v>
      </c>
      <c r="C192" s="104">
        <v>250772.8</v>
      </c>
      <c r="D192" s="96"/>
    </row>
    <row r="193" spans="2:5">
      <c r="B193" s="13" t="s">
        <v>94</v>
      </c>
      <c r="C193" s="104">
        <v>147350.69</v>
      </c>
      <c r="D193" s="96"/>
    </row>
    <row r="194" spans="2:5">
      <c r="B194" s="13" t="s">
        <v>1267</v>
      </c>
      <c r="C194" s="104">
        <v>30471317.629999999</v>
      </c>
      <c r="D194" s="96"/>
    </row>
    <row r="195" spans="2:5">
      <c r="B195" s="13" t="s">
        <v>1266</v>
      </c>
      <c r="C195" s="104">
        <v>3962470.14</v>
      </c>
      <c r="D195" s="96">
        <f>C195+'Branch TB 17-18'!B162</f>
        <v>4019504.14</v>
      </c>
    </row>
    <row r="196" spans="2:5">
      <c r="B196" s="1" t="s">
        <v>96</v>
      </c>
      <c r="C196" s="105">
        <v>89709176.650000006</v>
      </c>
      <c r="D196" s="105">
        <v>7815338</v>
      </c>
    </row>
    <row r="197" spans="2:5">
      <c r="B197" s="14" t="s">
        <v>1265</v>
      </c>
      <c r="C197" s="111"/>
      <c r="D197" s="111"/>
    </row>
    <row r="198" spans="2:5">
      <c r="B198" s="17" t="s">
        <v>1719</v>
      </c>
      <c r="C198" s="95"/>
      <c r="D198" s="95"/>
    </row>
    <row r="199" spans="2:5">
      <c r="B199" s="14" t="s">
        <v>97</v>
      </c>
      <c r="C199" s="106">
        <v>21000000</v>
      </c>
      <c r="D199" s="114"/>
    </row>
    <row r="200" spans="2:5">
      <c r="B200" s="15" t="s">
        <v>1264</v>
      </c>
      <c r="C200" s="112">
        <v>550000</v>
      </c>
      <c r="D200" s="95"/>
      <c r="E200" t="s">
        <v>1569</v>
      </c>
    </row>
    <row r="201" spans="2:5">
      <c r="B201" s="13" t="s">
        <v>730</v>
      </c>
      <c r="C201" s="112">
        <v>20450000</v>
      </c>
      <c r="D201" s="95"/>
      <c r="E201" t="s">
        <v>1570</v>
      </c>
    </row>
    <row r="202" spans="2:5">
      <c r="B202" s="14" t="s">
        <v>98</v>
      </c>
      <c r="C202" s="106">
        <v>42978386.240000002</v>
      </c>
      <c r="D202" s="106">
        <v>7815338</v>
      </c>
    </row>
    <row r="203" spans="2:5">
      <c r="B203" s="17" t="s">
        <v>732</v>
      </c>
      <c r="C203" s="112">
        <v>155431</v>
      </c>
      <c r="D203" s="95"/>
      <c r="E203" t="s">
        <v>41</v>
      </c>
    </row>
    <row r="204" spans="2:5">
      <c r="B204" s="17" t="s">
        <v>733</v>
      </c>
      <c r="C204" s="112">
        <v>236250</v>
      </c>
      <c r="D204" s="95"/>
      <c r="E204" t="s">
        <v>41</v>
      </c>
    </row>
    <row r="205" spans="2:5">
      <c r="B205" s="17" t="s">
        <v>734</v>
      </c>
      <c r="C205" s="112">
        <v>545590</v>
      </c>
      <c r="D205" s="95"/>
      <c r="E205" t="s">
        <v>41</v>
      </c>
    </row>
    <row r="206" spans="2:5">
      <c r="B206" s="15" t="s">
        <v>1263</v>
      </c>
      <c r="C206" s="112">
        <v>1020296</v>
      </c>
      <c r="D206" s="95"/>
      <c r="E206" t="s">
        <v>41</v>
      </c>
    </row>
    <row r="207" spans="2:5">
      <c r="B207" s="15" t="s">
        <v>1720</v>
      </c>
      <c r="C207" s="112">
        <v>90000</v>
      </c>
      <c r="D207" s="95"/>
      <c r="E207" t="s">
        <v>41</v>
      </c>
    </row>
    <row r="208" spans="2:5">
      <c r="B208" s="15" t="s">
        <v>736</v>
      </c>
      <c r="C208" s="112">
        <v>99600</v>
      </c>
      <c r="D208" s="95"/>
      <c r="E208" t="s">
        <v>41</v>
      </c>
    </row>
    <row r="209" spans="2:5">
      <c r="B209" s="15" t="s">
        <v>737</v>
      </c>
      <c r="C209" s="112">
        <v>626800</v>
      </c>
      <c r="D209" s="95"/>
      <c r="E209" t="s">
        <v>41</v>
      </c>
    </row>
    <row r="210" spans="2:5">
      <c r="B210" s="15" t="s">
        <v>1485</v>
      </c>
      <c r="C210" s="112">
        <v>271920</v>
      </c>
      <c r="D210" s="95"/>
      <c r="E210" t="s">
        <v>41</v>
      </c>
    </row>
    <row r="211" spans="2:5">
      <c r="B211" s="17" t="s">
        <v>1335</v>
      </c>
      <c r="C211" s="95"/>
      <c r="D211" s="112">
        <v>2308800</v>
      </c>
      <c r="E211" t="s">
        <v>1780</v>
      </c>
    </row>
    <row r="212" spans="2:5">
      <c r="B212" s="15" t="s">
        <v>1064</v>
      </c>
      <c r="C212" s="112">
        <v>219102</v>
      </c>
      <c r="D212" s="95"/>
      <c r="E212" t="s">
        <v>41</v>
      </c>
    </row>
    <row r="213" spans="2:5">
      <c r="B213" s="15" t="s">
        <v>1721</v>
      </c>
      <c r="C213" s="112">
        <v>10755507.439999999</v>
      </c>
      <c r="D213" s="95"/>
      <c r="E213" t="s">
        <v>41</v>
      </c>
    </row>
    <row r="214" spans="2:5">
      <c r="B214" s="15" t="s">
        <v>742</v>
      </c>
      <c r="C214" s="112">
        <v>3674398.54</v>
      </c>
      <c r="D214" s="95"/>
      <c r="E214" t="s">
        <v>41</v>
      </c>
    </row>
    <row r="215" spans="2:5">
      <c r="B215" s="15" t="s">
        <v>1722</v>
      </c>
      <c r="C215" s="112">
        <v>916800</v>
      </c>
      <c r="D215" s="95"/>
      <c r="E215" t="s">
        <v>41</v>
      </c>
    </row>
    <row r="216" spans="2:5">
      <c r="B216" s="15" t="s">
        <v>750</v>
      </c>
      <c r="C216" s="112">
        <v>1262140</v>
      </c>
      <c r="D216" s="95"/>
      <c r="E216" t="s">
        <v>41</v>
      </c>
    </row>
    <row r="217" spans="2:5">
      <c r="B217" s="15" t="s">
        <v>752</v>
      </c>
      <c r="C217" s="112">
        <v>400133</v>
      </c>
      <c r="D217" s="95"/>
      <c r="E217" t="s">
        <v>41</v>
      </c>
    </row>
    <row r="218" spans="2:5">
      <c r="B218" s="17" t="s">
        <v>753</v>
      </c>
      <c r="C218" s="112">
        <v>607145.86</v>
      </c>
      <c r="D218" s="95"/>
      <c r="E218" t="s">
        <v>41</v>
      </c>
    </row>
    <row r="219" spans="2:5">
      <c r="B219" s="15" t="s">
        <v>1067</v>
      </c>
      <c r="C219" s="112">
        <v>92441</v>
      </c>
      <c r="D219" s="95"/>
      <c r="E219" t="s">
        <v>41</v>
      </c>
    </row>
    <row r="220" spans="2:5">
      <c r="B220" s="15" t="s">
        <v>1723</v>
      </c>
      <c r="C220" s="112">
        <v>3123948</v>
      </c>
      <c r="D220" s="95"/>
      <c r="E220" t="s">
        <v>41</v>
      </c>
    </row>
    <row r="221" spans="2:5">
      <c r="B221" s="15" t="s">
        <v>1724</v>
      </c>
      <c r="C221" s="112">
        <v>35108</v>
      </c>
      <c r="D221" s="95"/>
      <c r="E221" t="s">
        <v>41</v>
      </c>
    </row>
    <row r="222" spans="2:5">
      <c r="B222" s="17" t="s">
        <v>1068</v>
      </c>
      <c r="C222" s="112">
        <v>52926</v>
      </c>
      <c r="D222" s="95"/>
      <c r="E222" t="s">
        <v>41</v>
      </c>
    </row>
    <row r="223" spans="2:5">
      <c r="B223" s="15" t="s">
        <v>756</v>
      </c>
      <c r="C223" s="112">
        <v>98880</v>
      </c>
      <c r="D223" s="95"/>
      <c r="E223" t="s">
        <v>41</v>
      </c>
    </row>
    <row r="224" spans="2:5">
      <c r="B224" s="15" t="s">
        <v>1259</v>
      </c>
      <c r="C224" s="112">
        <v>46383</v>
      </c>
      <c r="D224" s="95"/>
      <c r="E224" t="s">
        <v>41</v>
      </c>
    </row>
    <row r="225" spans="2:5">
      <c r="B225" s="15" t="s">
        <v>1725</v>
      </c>
      <c r="C225" s="112">
        <v>174429.68</v>
      </c>
      <c r="D225" s="95"/>
      <c r="E225" t="s">
        <v>41</v>
      </c>
    </row>
    <row r="226" spans="2:5">
      <c r="B226" s="17" t="s">
        <v>757</v>
      </c>
      <c r="C226" s="95"/>
      <c r="D226" s="112">
        <v>376638</v>
      </c>
      <c r="E226" t="s">
        <v>1780</v>
      </c>
    </row>
    <row r="227" spans="2:5">
      <c r="B227" s="15" t="s">
        <v>1488</v>
      </c>
      <c r="C227" s="112">
        <v>147395.28</v>
      </c>
      <c r="D227" s="95"/>
      <c r="E227" t="s">
        <v>41</v>
      </c>
    </row>
    <row r="228" spans="2:5">
      <c r="B228" s="15" t="s">
        <v>1256</v>
      </c>
      <c r="C228" s="112">
        <v>441134.06</v>
      </c>
      <c r="D228" s="95"/>
      <c r="E228" t="s">
        <v>41</v>
      </c>
    </row>
    <row r="229" spans="2:5">
      <c r="B229" s="17" t="s">
        <v>1490</v>
      </c>
      <c r="C229" s="112">
        <v>403848</v>
      </c>
      <c r="D229" s="95"/>
      <c r="E229" t="s">
        <v>41</v>
      </c>
    </row>
    <row r="230" spans="2:5">
      <c r="B230" s="15" t="s">
        <v>771</v>
      </c>
      <c r="C230" s="112">
        <v>615250</v>
      </c>
      <c r="D230" s="95"/>
      <c r="E230" t="s">
        <v>41</v>
      </c>
    </row>
    <row r="231" spans="2:5">
      <c r="B231" s="15" t="s">
        <v>772</v>
      </c>
      <c r="C231" s="112">
        <v>2316502</v>
      </c>
      <c r="D231" s="95"/>
      <c r="E231" t="s">
        <v>41</v>
      </c>
    </row>
    <row r="232" spans="2:5">
      <c r="B232" s="15" t="s">
        <v>1726</v>
      </c>
      <c r="C232" s="95"/>
      <c r="D232" s="112">
        <v>289900</v>
      </c>
      <c r="E232" t="s">
        <v>1780</v>
      </c>
    </row>
    <row r="233" spans="2:5">
      <c r="B233" s="15" t="s">
        <v>1491</v>
      </c>
      <c r="C233" s="112">
        <v>373195.7</v>
      </c>
      <c r="D233" s="95"/>
      <c r="E233" t="s">
        <v>41</v>
      </c>
    </row>
    <row r="234" spans="2:5">
      <c r="B234" s="15" t="s">
        <v>1492</v>
      </c>
      <c r="C234" s="112">
        <v>918354.6</v>
      </c>
      <c r="D234" s="95"/>
      <c r="E234" t="s">
        <v>41</v>
      </c>
    </row>
    <row r="235" spans="2:5">
      <c r="B235" s="17" t="s">
        <v>1493</v>
      </c>
      <c r="C235" s="112">
        <v>220035.17</v>
      </c>
      <c r="D235" s="95"/>
      <c r="E235" t="s">
        <v>41</v>
      </c>
    </row>
    <row r="236" spans="2:5">
      <c r="B236" s="17" t="s">
        <v>1073</v>
      </c>
      <c r="C236" s="112">
        <v>433778.28</v>
      </c>
      <c r="D236" s="95"/>
      <c r="E236" t="s">
        <v>41</v>
      </c>
    </row>
    <row r="237" spans="2:5">
      <c r="B237" s="17" t="s">
        <v>776</v>
      </c>
      <c r="C237" s="112">
        <v>204110</v>
      </c>
      <c r="D237" s="95"/>
      <c r="E237" t="s">
        <v>41</v>
      </c>
    </row>
    <row r="238" spans="2:5">
      <c r="B238" s="15" t="s">
        <v>1727</v>
      </c>
      <c r="C238" s="112">
        <v>1498958</v>
      </c>
      <c r="D238" s="95"/>
      <c r="E238" t="s">
        <v>41</v>
      </c>
    </row>
    <row r="239" spans="2:5">
      <c r="B239" s="15" t="s">
        <v>1495</v>
      </c>
      <c r="C239" s="112">
        <v>131122.74</v>
      </c>
      <c r="D239" s="95"/>
      <c r="E239" t="s">
        <v>41</v>
      </c>
    </row>
    <row r="240" spans="2:5">
      <c r="B240" s="15" t="s">
        <v>1728</v>
      </c>
      <c r="C240" s="112">
        <v>1284410.08</v>
      </c>
      <c r="D240" s="95"/>
      <c r="E240" t="s">
        <v>41</v>
      </c>
    </row>
    <row r="241" spans="2:5">
      <c r="B241" s="15" t="s">
        <v>1729</v>
      </c>
      <c r="C241" s="112">
        <v>45000</v>
      </c>
      <c r="D241" s="95"/>
      <c r="E241" t="s">
        <v>41</v>
      </c>
    </row>
    <row r="242" spans="2:5">
      <c r="B242" s="15" t="s">
        <v>1730</v>
      </c>
      <c r="C242" s="112">
        <v>508361.36</v>
      </c>
      <c r="D242" s="95"/>
      <c r="E242" t="s">
        <v>41</v>
      </c>
    </row>
    <row r="243" spans="2:5">
      <c r="B243" s="17" t="s">
        <v>778</v>
      </c>
      <c r="C243" s="112">
        <v>718081</v>
      </c>
      <c r="D243" s="95"/>
      <c r="E243" t="s">
        <v>41</v>
      </c>
    </row>
    <row r="244" spans="2:5">
      <c r="B244" s="15" t="s">
        <v>1255</v>
      </c>
      <c r="C244" s="112">
        <v>127610</v>
      </c>
      <c r="D244" s="95"/>
      <c r="E244" t="s">
        <v>41</v>
      </c>
    </row>
    <row r="245" spans="2:5">
      <c r="B245" s="15" t="s">
        <v>1731</v>
      </c>
      <c r="C245" s="112">
        <v>72244</v>
      </c>
      <c r="D245" s="95"/>
      <c r="E245" t="s">
        <v>41</v>
      </c>
    </row>
    <row r="246" spans="2:5">
      <c r="B246" s="15" t="s">
        <v>1496</v>
      </c>
      <c r="C246" s="112">
        <v>82700</v>
      </c>
      <c r="D246" s="95"/>
      <c r="E246" t="s">
        <v>41</v>
      </c>
    </row>
    <row r="247" spans="2:5">
      <c r="B247" s="15" t="s">
        <v>1497</v>
      </c>
      <c r="C247" s="112">
        <v>1188323</v>
      </c>
      <c r="D247" s="95"/>
      <c r="E247" t="s">
        <v>41</v>
      </c>
    </row>
    <row r="248" spans="2:5">
      <c r="B248" s="15" t="s">
        <v>782</v>
      </c>
      <c r="C248" s="112">
        <v>1070809</v>
      </c>
      <c r="D248" s="95"/>
      <c r="E248" t="s">
        <v>41</v>
      </c>
    </row>
    <row r="249" spans="2:5">
      <c r="B249" s="15" t="s">
        <v>783</v>
      </c>
      <c r="C249" s="112">
        <v>662058</v>
      </c>
      <c r="D249" s="95"/>
      <c r="E249" t="s">
        <v>41</v>
      </c>
    </row>
    <row r="250" spans="2:5">
      <c r="B250" s="15" t="s">
        <v>1254</v>
      </c>
      <c r="C250" s="112">
        <v>1183593</v>
      </c>
      <c r="D250" s="95"/>
      <c r="E250" t="s">
        <v>41</v>
      </c>
    </row>
    <row r="251" spans="2:5">
      <c r="B251" s="15" t="s">
        <v>1252</v>
      </c>
      <c r="C251" s="112">
        <v>1681611.44</v>
      </c>
      <c r="D251" s="95"/>
      <c r="E251" t="s">
        <v>41</v>
      </c>
    </row>
    <row r="252" spans="2:5">
      <c r="B252" s="15" t="s">
        <v>1499</v>
      </c>
      <c r="C252" s="95"/>
      <c r="D252" s="112">
        <v>400000</v>
      </c>
      <c r="E252" t="s">
        <v>1780</v>
      </c>
    </row>
    <row r="253" spans="2:5">
      <c r="B253" s="15" t="s">
        <v>1500</v>
      </c>
      <c r="C253" s="112">
        <v>108974.25</v>
      </c>
      <c r="D253" s="95"/>
      <c r="E253" t="s">
        <v>41</v>
      </c>
    </row>
    <row r="254" spans="2:5">
      <c r="B254" s="15" t="s">
        <v>794</v>
      </c>
      <c r="C254" s="112">
        <v>474051.8</v>
      </c>
      <c r="D254" s="95"/>
      <c r="E254" t="s">
        <v>41</v>
      </c>
    </row>
    <row r="255" spans="2:5">
      <c r="B255" s="15" t="s">
        <v>1732</v>
      </c>
      <c r="C255" s="95"/>
      <c r="D255" s="112">
        <v>4440000</v>
      </c>
      <c r="E255" t="s">
        <v>1780</v>
      </c>
    </row>
    <row r="256" spans="2:5">
      <c r="B256" s="15" t="s">
        <v>1248</v>
      </c>
      <c r="C256" s="112">
        <v>517480</v>
      </c>
      <c r="D256" s="95"/>
      <c r="E256" t="s">
        <v>41</v>
      </c>
    </row>
    <row r="257" spans="2:5">
      <c r="B257" s="15" t="s">
        <v>1501</v>
      </c>
      <c r="C257" s="112">
        <v>1044165.96</v>
      </c>
      <c r="D257" s="95"/>
      <c r="E257" t="s">
        <v>41</v>
      </c>
    </row>
    <row r="258" spans="2:5">
      <c r="B258" s="14" t="s">
        <v>1247</v>
      </c>
      <c r="C258" s="106">
        <v>35778</v>
      </c>
      <c r="D258" s="114"/>
    </row>
    <row r="259" spans="2:5">
      <c r="B259" s="17" t="s">
        <v>260</v>
      </c>
      <c r="C259" s="112">
        <v>35778</v>
      </c>
      <c r="D259" s="95"/>
      <c r="E259" t="s">
        <v>1565</v>
      </c>
    </row>
    <row r="260" spans="2:5">
      <c r="B260" s="14" t="s">
        <v>70</v>
      </c>
      <c r="C260" s="106">
        <v>11064386.41</v>
      </c>
      <c r="D260" s="114"/>
    </row>
    <row r="261" spans="2:5">
      <c r="B261" s="18" t="s">
        <v>804</v>
      </c>
      <c r="C261" s="104">
        <v>10890208.800000001</v>
      </c>
      <c r="D261" s="96"/>
      <c r="E261" t="s">
        <v>1565</v>
      </c>
    </row>
    <row r="262" spans="2:5">
      <c r="B262" s="18" t="s">
        <v>815</v>
      </c>
      <c r="C262" s="104">
        <v>174177.61</v>
      </c>
      <c r="D262" s="96"/>
      <c r="E262" t="s">
        <v>1565</v>
      </c>
    </row>
    <row r="263" spans="2:5">
      <c r="B263" s="13" t="s">
        <v>99</v>
      </c>
      <c r="C263" s="104">
        <v>14630626</v>
      </c>
      <c r="D263" s="96"/>
      <c r="E263" t="s">
        <v>1582</v>
      </c>
    </row>
    <row r="264" spans="2:5">
      <c r="B264" s="1" t="s">
        <v>100</v>
      </c>
      <c r="C264" s="105">
        <v>206628736.90000001</v>
      </c>
      <c r="D264" s="105">
        <v>93631</v>
      </c>
      <c r="E264" s="223">
        <f>C264-D264</f>
        <v>206535105.90000001</v>
      </c>
    </row>
    <row r="265" spans="2:5">
      <c r="B265" s="13" t="s">
        <v>822</v>
      </c>
      <c r="C265" s="96"/>
      <c r="D265" s="104">
        <v>201</v>
      </c>
      <c r="E265" t="s">
        <v>1564</v>
      </c>
    </row>
    <row r="266" spans="2:5">
      <c r="B266" s="13" t="s">
        <v>1246</v>
      </c>
      <c r="C266" s="96"/>
      <c r="D266" s="104">
        <v>34050</v>
      </c>
      <c r="E266" t="s">
        <v>1564</v>
      </c>
    </row>
    <row r="267" spans="2:5">
      <c r="B267" s="13" t="s">
        <v>1245</v>
      </c>
      <c r="C267" s="96"/>
      <c r="D267" s="104">
        <v>1544</v>
      </c>
      <c r="E267" t="s">
        <v>1564</v>
      </c>
    </row>
    <row r="268" spans="2:5">
      <c r="B268" s="13" t="s">
        <v>824</v>
      </c>
      <c r="C268" s="96"/>
      <c r="D268" s="104">
        <v>800</v>
      </c>
      <c r="E268" t="s">
        <v>1564</v>
      </c>
    </row>
    <row r="269" spans="2:5">
      <c r="B269" s="13" t="s">
        <v>825</v>
      </c>
      <c r="C269" s="104">
        <v>2727</v>
      </c>
      <c r="D269" s="96"/>
      <c r="E269" t="s">
        <v>1564</v>
      </c>
    </row>
    <row r="270" spans="2:5">
      <c r="B270" s="13" t="s">
        <v>1733</v>
      </c>
      <c r="C270" s="104">
        <v>383462</v>
      </c>
      <c r="D270" s="96"/>
      <c r="E270" t="s">
        <v>1564</v>
      </c>
    </row>
    <row r="271" spans="2:5">
      <c r="B271" s="13" t="s">
        <v>1734</v>
      </c>
      <c r="C271" s="104">
        <v>125335</v>
      </c>
      <c r="D271" s="96"/>
      <c r="E271" t="s">
        <v>1564</v>
      </c>
    </row>
    <row r="272" spans="2:5">
      <c r="B272" s="13" t="s">
        <v>830</v>
      </c>
      <c r="C272" s="96"/>
      <c r="D272" s="104">
        <v>500</v>
      </c>
      <c r="E272" t="s">
        <v>1564</v>
      </c>
    </row>
    <row r="273" spans="2:5">
      <c r="B273" s="13" t="s">
        <v>835</v>
      </c>
      <c r="C273" s="96"/>
      <c r="D273" s="104">
        <v>2000</v>
      </c>
      <c r="E273" t="s">
        <v>1564</v>
      </c>
    </row>
    <row r="274" spans="2:5">
      <c r="B274" s="13" t="s">
        <v>1735</v>
      </c>
      <c r="C274" s="104">
        <v>4000</v>
      </c>
      <c r="D274" s="96"/>
      <c r="E274" t="s">
        <v>1564</v>
      </c>
    </row>
    <row r="275" spans="2:5">
      <c r="B275" s="13" t="s">
        <v>1736</v>
      </c>
      <c r="C275" s="104">
        <v>140394</v>
      </c>
      <c r="D275" s="96"/>
      <c r="E275" t="s">
        <v>1564</v>
      </c>
    </row>
    <row r="276" spans="2:5">
      <c r="B276" s="13" t="s">
        <v>1737</v>
      </c>
      <c r="C276" s="104">
        <v>371059</v>
      </c>
      <c r="D276" s="96"/>
      <c r="E276" t="s">
        <v>1564</v>
      </c>
    </row>
    <row r="277" spans="2:5">
      <c r="B277" s="13" t="s">
        <v>836</v>
      </c>
      <c r="C277" s="104">
        <v>88647</v>
      </c>
      <c r="D277" s="96"/>
      <c r="E277" t="s">
        <v>1564</v>
      </c>
    </row>
    <row r="278" spans="2:5">
      <c r="B278" s="13" t="s">
        <v>1243</v>
      </c>
      <c r="C278" s="104">
        <v>32269</v>
      </c>
      <c r="D278" s="96"/>
      <c r="E278" t="s">
        <v>1564</v>
      </c>
    </row>
    <row r="279" spans="2:5">
      <c r="B279" s="13" t="s">
        <v>1242</v>
      </c>
      <c r="C279" s="96"/>
      <c r="D279" s="104">
        <v>13192</v>
      </c>
      <c r="E279" t="s">
        <v>1564</v>
      </c>
    </row>
    <row r="280" spans="2:5">
      <c r="B280" s="13" t="s">
        <v>837</v>
      </c>
      <c r="C280" s="104">
        <v>75</v>
      </c>
      <c r="D280" s="96"/>
      <c r="E280" t="s">
        <v>1564</v>
      </c>
    </row>
    <row r="281" spans="2:5">
      <c r="B281" s="13" t="s">
        <v>838</v>
      </c>
      <c r="C281" s="104">
        <v>5578</v>
      </c>
      <c r="D281" s="96"/>
      <c r="E281" t="s">
        <v>1564</v>
      </c>
    </row>
    <row r="282" spans="2:5">
      <c r="B282" s="13" t="s">
        <v>839</v>
      </c>
      <c r="C282" s="104">
        <v>22244</v>
      </c>
      <c r="D282" s="96"/>
      <c r="E282" t="s">
        <v>1564</v>
      </c>
    </row>
    <row r="283" spans="2:5">
      <c r="B283" s="13" t="s">
        <v>840</v>
      </c>
      <c r="C283" s="104">
        <v>18095</v>
      </c>
      <c r="D283" s="96"/>
      <c r="E283" t="s">
        <v>1564</v>
      </c>
    </row>
    <row r="284" spans="2:5">
      <c r="B284" s="13" t="s">
        <v>841</v>
      </c>
      <c r="C284" s="104">
        <v>31056</v>
      </c>
      <c r="D284" s="96"/>
      <c r="E284" t="s">
        <v>1564</v>
      </c>
    </row>
    <row r="285" spans="2:5">
      <c r="B285" s="13" t="s">
        <v>842</v>
      </c>
      <c r="C285" s="104">
        <v>27512</v>
      </c>
      <c r="D285" s="96"/>
      <c r="E285" t="s">
        <v>1564</v>
      </c>
    </row>
    <row r="286" spans="2:5">
      <c r="B286" s="13" t="s">
        <v>843</v>
      </c>
      <c r="C286" s="96"/>
      <c r="D286" s="104">
        <v>2000</v>
      </c>
      <c r="E286" t="s">
        <v>1564</v>
      </c>
    </row>
    <row r="287" spans="2:5">
      <c r="B287" s="13" t="s">
        <v>1241</v>
      </c>
      <c r="C287" s="104">
        <v>23403</v>
      </c>
      <c r="D287" s="96"/>
      <c r="E287" t="s">
        <v>1564</v>
      </c>
    </row>
    <row r="288" spans="2:5">
      <c r="B288" s="13" t="s">
        <v>844</v>
      </c>
      <c r="C288" s="96"/>
      <c r="D288" s="104">
        <v>2100</v>
      </c>
      <c r="E288" t="s">
        <v>1564</v>
      </c>
    </row>
    <row r="289" spans="2:5">
      <c r="B289" s="13" t="s">
        <v>845</v>
      </c>
      <c r="C289" s="96"/>
      <c r="D289" s="104">
        <v>5745</v>
      </c>
      <c r="E289" t="s">
        <v>1564</v>
      </c>
    </row>
    <row r="290" spans="2:5">
      <c r="B290" s="13" t="s">
        <v>1738</v>
      </c>
      <c r="C290" s="96"/>
      <c r="D290" s="104">
        <v>9543</v>
      </c>
      <c r="E290" t="s">
        <v>1564</v>
      </c>
    </row>
    <row r="291" spans="2:5">
      <c r="B291" s="13" t="s">
        <v>846</v>
      </c>
      <c r="C291" s="104">
        <v>3188</v>
      </c>
      <c r="D291" s="96"/>
      <c r="E291" t="s">
        <v>1564</v>
      </c>
    </row>
    <row r="292" spans="2:5">
      <c r="B292" s="13" t="s">
        <v>1234</v>
      </c>
      <c r="C292" s="104">
        <v>275719.75</v>
      </c>
      <c r="D292" s="96"/>
      <c r="E292" t="s">
        <v>1564</v>
      </c>
    </row>
    <row r="293" spans="2:5">
      <c r="B293" s="13" t="s">
        <v>849</v>
      </c>
      <c r="C293" s="96"/>
      <c r="D293" s="104">
        <v>1000</v>
      </c>
      <c r="E293" t="s">
        <v>1564</v>
      </c>
    </row>
    <row r="294" spans="2:5">
      <c r="B294" s="13" t="s">
        <v>850</v>
      </c>
      <c r="C294" s="104">
        <v>2950</v>
      </c>
      <c r="D294" s="96"/>
      <c r="E294" t="s">
        <v>1564</v>
      </c>
    </row>
    <row r="295" spans="2:5">
      <c r="B295" s="13" t="s">
        <v>1739</v>
      </c>
      <c r="C295" s="104">
        <v>90989</v>
      </c>
      <c r="D295" s="96"/>
      <c r="E295" t="s">
        <v>1564</v>
      </c>
    </row>
    <row r="296" spans="2:5">
      <c r="B296" s="13" t="s">
        <v>1740</v>
      </c>
      <c r="C296" s="104">
        <v>4169</v>
      </c>
      <c r="D296" s="96"/>
      <c r="E296" t="s">
        <v>1564</v>
      </c>
    </row>
    <row r="297" spans="2:5">
      <c r="B297" s="13" t="s">
        <v>854</v>
      </c>
      <c r="C297" s="96"/>
      <c r="D297" s="104">
        <v>2494</v>
      </c>
      <c r="E297" t="s">
        <v>1564</v>
      </c>
    </row>
    <row r="298" spans="2:5">
      <c r="B298" s="13" t="s">
        <v>1521</v>
      </c>
      <c r="C298" s="96"/>
      <c r="D298" s="104">
        <v>1577</v>
      </c>
      <c r="E298" t="s">
        <v>1564</v>
      </c>
    </row>
    <row r="299" spans="2:5">
      <c r="B299" s="13" t="s">
        <v>1741</v>
      </c>
      <c r="C299" s="104">
        <v>77335</v>
      </c>
      <c r="D299" s="96"/>
      <c r="E299" t="s">
        <v>1564</v>
      </c>
    </row>
    <row r="300" spans="2:5">
      <c r="B300" s="13" t="s">
        <v>1742</v>
      </c>
      <c r="C300" s="104">
        <v>57133</v>
      </c>
      <c r="D300" s="96"/>
      <c r="E300" t="s">
        <v>1564</v>
      </c>
    </row>
    <row r="301" spans="2:5">
      <c r="B301" s="13" t="s">
        <v>1743</v>
      </c>
      <c r="C301" s="104">
        <v>130623</v>
      </c>
      <c r="D301" s="96"/>
      <c r="E301" t="s">
        <v>1564</v>
      </c>
    </row>
    <row r="302" spans="2:5">
      <c r="B302" s="13" t="s">
        <v>1744</v>
      </c>
      <c r="C302" s="104">
        <v>595616</v>
      </c>
      <c r="D302" s="96"/>
      <c r="E302" t="s">
        <v>1564</v>
      </c>
    </row>
    <row r="303" spans="2:5">
      <c r="B303" s="13" t="s">
        <v>855</v>
      </c>
      <c r="C303" s="104">
        <v>1184066.7</v>
      </c>
      <c r="D303" s="96"/>
      <c r="E303" t="s">
        <v>1564</v>
      </c>
    </row>
    <row r="304" spans="2:5">
      <c r="B304" s="13" t="s">
        <v>1239</v>
      </c>
      <c r="C304" s="104">
        <v>1500</v>
      </c>
      <c r="D304" s="96"/>
      <c r="E304" t="s">
        <v>1564</v>
      </c>
    </row>
    <row r="305" spans="2:5">
      <c r="B305" s="13" t="s">
        <v>256</v>
      </c>
      <c r="C305" s="104">
        <v>202845586.44999999</v>
      </c>
      <c r="D305" s="96"/>
      <c r="E305" t="s">
        <v>1564</v>
      </c>
    </row>
    <row r="306" spans="2:5">
      <c r="B306" s="13" t="s">
        <v>859</v>
      </c>
      <c r="C306" s="104">
        <v>10812</v>
      </c>
      <c r="D306" s="96"/>
      <c r="E306" t="s">
        <v>1564</v>
      </c>
    </row>
    <row r="307" spans="2:5">
      <c r="B307" s="13" t="s">
        <v>860</v>
      </c>
      <c r="C307" s="104">
        <v>6042</v>
      </c>
      <c r="D307" s="96"/>
      <c r="E307" t="s">
        <v>1564</v>
      </c>
    </row>
    <row r="308" spans="2:5">
      <c r="B308" s="13" t="s">
        <v>1745</v>
      </c>
      <c r="C308" s="96"/>
      <c r="D308" s="104">
        <v>7009</v>
      </c>
      <c r="E308" t="s">
        <v>1564</v>
      </c>
    </row>
    <row r="309" spans="2:5">
      <c r="B309" s="13" t="s">
        <v>861</v>
      </c>
      <c r="C309" s="96"/>
      <c r="D309" s="104">
        <v>6589</v>
      </c>
      <c r="E309" t="s">
        <v>1564</v>
      </c>
    </row>
    <row r="310" spans="2:5">
      <c r="B310" s="13" t="s">
        <v>1238</v>
      </c>
      <c r="C310" s="104">
        <v>32710</v>
      </c>
      <c r="D310" s="96"/>
      <c r="E310" t="s">
        <v>1564</v>
      </c>
    </row>
    <row r="311" spans="2:5">
      <c r="B311" s="13" t="s">
        <v>1235</v>
      </c>
      <c r="C311" s="96"/>
      <c r="D311" s="104">
        <v>2987</v>
      </c>
      <c r="E311" t="s">
        <v>1564</v>
      </c>
    </row>
    <row r="312" spans="2:5">
      <c r="B312" s="13" t="s">
        <v>864</v>
      </c>
      <c r="C312" s="104">
        <v>19090</v>
      </c>
      <c r="D312" s="96"/>
      <c r="E312" t="s">
        <v>1564</v>
      </c>
    </row>
    <row r="313" spans="2:5">
      <c r="B313" s="13" t="s">
        <v>865</v>
      </c>
      <c r="C313" s="104">
        <v>6188</v>
      </c>
      <c r="D313" s="96"/>
      <c r="E313" t="s">
        <v>1564</v>
      </c>
    </row>
    <row r="314" spans="2:5">
      <c r="B314" s="13" t="s">
        <v>866</v>
      </c>
      <c r="C314" s="104">
        <v>6576</v>
      </c>
      <c r="D314" s="96"/>
      <c r="E314" t="s">
        <v>1564</v>
      </c>
    </row>
    <row r="315" spans="2:5">
      <c r="B315" s="13" t="s">
        <v>867</v>
      </c>
      <c r="C315" s="104">
        <v>486</v>
      </c>
      <c r="D315" s="96"/>
      <c r="E315" t="s">
        <v>1564</v>
      </c>
    </row>
    <row r="316" spans="2:5">
      <c r="B316" s="13" t="s">
        <v>868</v>
      </c>
      <c r="C316" s="104">
        <v>2101</v>
      </c>
      <c r="D316" s="96"/>
      <c r="E316" t="s">
        <v>1564</v>
      </c>
    </row>
    <row r="317" spans="2:5">
      <c r="B317" s="13" t="s">
        <v>869</v>
      </c>
      <c r="C317" s="96"/>
      <c r="D317" s="104">
        <v>300</v>
      </c>
      <c r="E317" t="s">
        <v>1564</v>
      </c>
    </row>
    <row r="318" spans="2:5">
      <c r="B318" s="1" t="s">
        <v>101</v>
      </c>
      <c r="C318" s="105">
        <v>299414.5</v>
      </c>
      <c r="D318" s="105">
        <v>14271.5</v>
      </c>
    </row>
    <row r="319" spans="2:5">
      <c r="B319" s="13" t="s">
        <v>870</v>
      </c>
      <c r="C319" s="96"/>
      <c r="D319" s="104">
        <v>4882.5</v>
      </c>
      <c r="E319" t="s">
        <v>1565</v>
      </c>
    </row>
    <row r="320" spans="2:5">
      <c r="B320" s="13" t="s">
        <v>871</v>
      </c>
      <c r="C320" s="104">
        <v>2612.5</v>
      </c>
      <c r="D320" s="96"/>
      <c r="E320" t="s">
        <v>1565</v>
      </c>
    </row>
    <row r="321" spans="2:5">
      <c r="B321" s="13" t="s">
        <v>872</v>
      </c>
      <c r="C321" s="96"/>
      <c r="D321" s="104">
        <v>1768</v>
      </c>
      <c r="E321" t="s">
        <v>1565</v>
      </c>
    </row>
    <row r="322" spans="2:5">
      <c r="B322" s="13" t="s">
        <v>873</v>
      </c>
      <c r="C322" s="104">
        <v>3936</v>
      </c>
      <c r="D322" s="96"/>
      <c r="E322" t="s">
        <v>1565</v>
      </c>
    </row>
    <row r="323" spans="2:5">
      <c r="B323" s="13" t="s">
        <v>874</v>
      </c>
      <c r="C323" s="104">
        <v>1206.2</v>
      </c>
      <c r="D323" s="96"/>
      <c r="E323" t="s">
        <v>1565</v>
      </c>
    </row>
    <row r="324" spans="2:5">
      <c r="B324" s="13" t="s">
        <v>875</v>
      </c>
      <c r="C324" s="104">
        <v>908</v>
      </c>
      <c r="D324" s="96"/>
      <c r="E324" t="s">
        <v>1565</v>
      </c>
    </row>
    <row r="325" spans="2:5">
      <c r="B325" s="13" t="s">
        <v>1746</v>
      </c>
      <c r="C325" s="104">
        <v>2000</v>
      </c>
      <c r="D325" s="96"/>
      <c r="E325" t="s">
        <v>1565</v>
      </c>
    </row>
    <row r="326" spans="2:5">
      <c r="B326" s="13" t="s">
        <v>1747</v>
      </c>
      <c r="C326" s="104">
        <v>20105</v>
      </c>
      <c r="D326" s="96"/>
      <c r="E326" t="s">
        <v>1565</v>
      </c>
    </row>
    <row r="327" spans="2:5">
      <c r="B327" s="13" t="s">
        <v>876</v>
      </c>
      <c r="C327" s="96"/>
      <c r="D327" s="104">
        <v>3702</v>
      </c>
      <c r="E327" t="s">
        <v>1565</v>
      </c>
    </row>
    <row r="328" spans="2:5">
      <c r="B328" s="13" t="s">
        <v>877</v>
      </c>
      <c r="C328" s="104">
        <v>167004</v>
      </c>
      <c r="D328" s="96"/>
      <c r="E328" t="s">
        <v>1565</v>
      </c>
    </row>
    <row r="329" spans="2:5">
      <c r="B329" s="13" t="s">
        <v>879</v>
      </c>
      <c r="C329" s="104">
        <v>25655</v>
      </c>
      <c r="D329" s="96"/>
      <c r="E329" t="s">
        <v>1565</v>
      </c>
    </row>
    <row r="330" spans="2:5">
      <c r="B330" s="13" t="s">
        <v>1532</v>
      </c>
      <c r="C330" s="104">
        <v>299</v>
      </c>
      <c r="D330" s="96"/>
      <c r="E330" t="s">
        <v>1565</v>
      </c>
    </row>
    <row r="331" spans="2:5">
      <c r="B331" s="13" t="s">
        <v>880</v>
      </c>
      <c r="C331" s="104">
        <v>2417.5</v>
      </c>
      <c r="D331" s="96"/>
      <c r="E331" t="s">
        <v>1565</v>
      </c>
    </row>
    <row r="332" spans="2:5">
      <c r="B332" s="13" t="s">
        <v>1533</v>
      </c>
      <c r="C332" s="104">
        <v>35723</v>
      </c>
      <c r="D332" s="96"/>
      <c r="E332" t="s">
        <v>1565</v>
      </c>
    </row>
    <row r="333" spans="2:5">
      <c r="B333" s="13" t="s">
        <v>1534</v>
      </c>
      <c r="C333" s="104">
        <v>4415</v>
      </c>
      <c r="D333" s="96"/>
      <c r="E333" t="s">
        <v>1565</v>
      </c>
    </row>
    <row r="334" spans="2:5">
      <c r="B334" s="13" t="s">
        <v>883</v>
      </c>
      <c r="C334" s="96"/>
      <c r="D334" s="104">
        <v>3919</v>
      </c>
      <c r="E334" t="s">
        <v>1565</v>
      </c>
    </row>
    <row r="335" spans="2:5">
      <c r="B335" s="13" t="s">
        <v>884</v>
      </c>
      <c r="C335" s="104">
        <v>1461.3</v>
      </c>
      <c r="D335" s="96"/>
      <c r="E335" t="s">
        <v>1565</v>
      </c>
    </row>
    <row r="336" spans="2:5">
      <c r="B336" s="13" t="s">
        <v>885</v>
      </c>
      <c r="C336" s="104">
        <v>6634</v>
      </c>
      <c r="D336" s="96"/>
      <c r="E336" t="s">
        <v>1565</v>
      </c>
    </row>
    <row r="337" spans="2:5">
      <c r="B337" s="13" t="s">
        <v>1748</v>
      </c>
      <c r="C337" s="104">
        <v>18383</v>
      </c>
      <c r="D337" s="96"/>
      <c r="E337" t="s">
        <v>1565</v>
      </c>
    </row>
    <row r="338" spans="2:5">
      <c r="B338" s="13" t="s">
        <v>1749</v>
      </c>
      <c r="C338" s="104">
        <v>3000</v>
      </c>
      <c r="D338" s="96"/>
      <c r="E338" t="s">
        <v>1565</v>
      </c>
    </row>
    <row r="339" spans="2:5">
      <c r="B339" s="13" t="s">
        <v>1093</v>
      </c>
      <c r="C339" s="104">
        <v>1000</v>
      </c>
      <c r="D339" s="96"/>
      <c r="E339" t="s">
        <v>1565</v>
      </c>
    </row>
    <row r="340" spans="2:5">
      <c r="B340" s="13" t="s">
        <v>887</v>
      </c>
      <c r="C340" s="104">
        <v>500</v>
      </c>
      <c r="D340" s="96"/>
      <c r="E340" t="s">
        <v>1565</v>
      </c>
    </row>
    <row r="341" spans="2:5">
      <c r="B341" s="13" t="s">
        <v>888</v>
      </c>
      <c r="C341" s="104">
        <v>750</v>
      </c>
      <c r="D341" s="96"/>
      <c r="E341" t="s">
        <v>1565</v>
      </c>
    </row>
    <row r="342" spans="2:5">
      <c r="B342" s="13" t="s">
        <v>1750</v>
      </c>
      <c r="C342" s="104">
        <v>1405</v>
      </c>
      <c r="D342" s="96"/>
      <c r="E342" t="s">
        <v>1565</v>
      </c>
    </row>
    <row r="343" spans="2:5">
      <c r="B343" s="1" t="s">
        <v>102</v>
      </c>
      <c r="C343" s="109"/>
      <c r="D343" s="105">
        <v>254403997.75</v>
      </c>
    </row>
    <row r="344" spans="2:5">
      <c r="B344" s="13" t="s">
        <v>103</v>
      </c>
      <c r="C344" s="96"/>
      <c r="D344" s="104">
        <v>254403997.75</v>
      </c>
      <c r="E344" t="s">
        <v>1584</v>
      </c>
    </row>
    <row r="345" spans="2:5">
      <c r="B345" s="1" t="s">
        <v>104</v>
      </c>
      <c r="C345" s="105">
        <v>52314115.759999998</v>
      </c>
      <c r="D345" s="109"/>
    </row>
    <row r="346" spans="2:5">
      <c r="B346" s="13" t="s">
        <v>105</v>
      </c>
      <c r="C346" s="104">
        <v>1484147</v>
      </c>
      <c r="D346" s="96"/>
      <c r="E346" t="s">
        <v>1590</v>
      </c>
    </row>
    <row r="347" spans="2:5">
      <c r="B347" s="13" t="s">
        <v>115</v>
      </c>
      <c r="C347" s="104">
        <v>295500</v>
      </c>
      <c r="D347" s="96"/>
      <c r="E347" t="s">
        <v>1590</v>
      </c>
    </row>
    <row r="348" spans="2:5">
      <c r="B348" s="13" t="s">
        <v>116</v>
      </c>
      <c r="C348" s="104">
        <v>2252547</v>
      </c>
      <c r="D348" s="96"/>
      <c r="E348" t="s">
        <v>1590</v>
      </c>
    </row>
    <row r="349" spans="2:5">
      <c r="B349" s="13" t="s">
        <v>106</v>
      </c>
      <c r="C349" s="104">
        <v>890758</v>
      </c>
      <c r="D349" s="96"/>
      <c r="E349" t="s">
        <v>1590</v>
      </c>
    </row>
    <row r="350" spans="2:5">
      <c r="B350" s="13" t="s">
        <v>107</v>
      </c>
      <c r="C350" s="104">
        <v>1206779</v>
      </c>
      <c r="D350" s="96"/>
      <c r="E350" t="s">
        <v>1590</v>
      </c>
    </row>
    <row r="351" spans="2:5">
      <c r="B351" s="13" t="s">
        <v>1232</v>
      </c>
      <c r="C351" s="104">
        <v>161883</v>
      </c>
      <c r="D351" s="96"/>
      <c r="E351" t="s">
        <v>1590</v>
      </c>
    </row>
    <row r="352" spans="2:5">
      <c r="B352" s="13" t="s">
        <v>108</v>
      </c>
      <c r="C352" s="104">
        <v>259079</v>
      </c>
      <c r="D352" s="96"/>
      <c r="E352" t="s">
        <v>1590</v>
      </c>
    </row>
    <row r="353" spans="2:5">
      <c r="B353" s="13" t="s">
        <v>119</v>
      </c>
      <c r="C353" s="104">
        <v>72986</v>
      </c>
      <c r="D353" s="96"/>
      <c r="E353" t="s">
        <v>1590</v>
      </c>
    </row>
    <row r="354" spans="2:5">
      <c r="B354" s="13" t="s">
        <v>120</v>
      </c>
      <c r="C354" s="104">
        <v>1166224</v>
      </c>
      <c r="D354" s="96"/>
      <c r="E354" t="s">
        <v>1590</v>
      </c>
    </row>
    <row r="355" spans="2:5">
      <c r="B355" s="13" t="s">
        <v>109</v>
      </c>
      <c r="C355" s="104">
        <v>1624806</v>
      </c>
      <c r="D355" s="96"/>
      <c r="E355" t="s">
        <v>1590</v>
      </c>
    </row>
    <row r="356" spans="2:5">
      <c r="B356" s="13" t="s">
        <v>1231</v>
      </c>
      <c r="C356" s="104">
        <v>4194822.76</v>
      </c>
      <c r="D356" s="96"/>
      <c r="E356" t="s">
        <v>1590</v>
      </c>
    </row>
    <row r="357" spans="2:5">
      <c r="B357" s="13" t="s">
        <v>1230</v>
      </c>
      <c r="C357" s="104">
        <v>2564850</v>
      </c>
      <c r="D357" s="96"/>
      <c r="E357" t="s">
        <v>1590</v>
      </c>
    </row>
    <row r="358" spans="2:5">
      <c r="B358" s="13" t="s">
        <v>110</v>
      </c>
      <c r="C358" s="104">
        <v>9064455</v>
      </c>
      <c r="D358" s="96"/>
      <c r="E358" t="s">
        <v>1590</v>
      </c>
    </row>
    <row r="359" spans="2:5">
      <c r="B359" s="13" t="s">
        <v>111</v>
      </c>
      <c r="C359" s="104">
        <v>78500</v>
      </c>
      <c r="D359" s="96"/>
      <c r="E359" t="s">
        <v>1590</v>
      </c>
    </row>
    <row r="360" spans="2:5">
      <c r="B360" s="13" t="s">
        <v>1229</v>
      </c>
      <c r="C360" s="104">
        <v>40758</v>
      </c>
      <c r="D360" s="96"/>
      <c r="E360" t="s">
        <v>1590</v>
      </c>
    </row>
    <row r="361" spans="2:5">
      <c r="B361" s="13" t="s">
        <v>1228</v>
      </c>
      <c r="C361" s="104">
        <v>2583266</v>
      </c>
      <c r="D361" s="96"/>
      <c r="E361" t="s">
        <v>1590</v>
      </c>
    </row>
    <row r="362" spans="2:5">
      <c r="B362" s="13" t="s">
        <v>1227</v>
      </c>
      <c r="C362" s="104">
        <v>1242027</v>
      </c>
      <c r="D362" s="96"/>
      <c r="E362" t="s">
        <v>1590</v>
      </c>
    </row>
    <row r="363" spans="2:5">
      <c r="B363" s="13" t="s">
        <v>121</v>
      </c>
      <c r="C363" s="104">
        <v>4974139</v>
      </c>
      <c r="D363" s="96"/>
      <c r="E363" t="s">
        <v>1590</v>
      </c>
    </row>
    <row r="364" spans="2:5">
      <c r="B364" s="13" t="s">
        <v>1226</v>
      </c>
      <c r="C364" s="104">
        <v>168623</v>
      </c>
      <c r="D364" s="96"/>
      <c r="E364" t="s">
        <v>1590</v>
      </c>
    </row>
    <row r="365" spans="2:5">
      <c r="B365" s="16" t="s">
        <v>112</v>
      </c>
      <c r="C365" s="104">
        <v>2979635</v>
      </c>
      <c r="D365" s="96"/>
      <c r="E365" t="s">
        <v>1590</v>
      </c>
    </row>
    <row r="366" spans="2:5">
      <c r="B366" s="13" t="s">
        <v>113</v>
      </c>
      <c r="C366" s="104">
        <v>1460356</v>
      </c>
      <c r="D366" s="96"/>
      <c r="E366" t="s">
        <v>1590</v>
      </c>
    </row>
    <row r="367" spans="2:5">
      <c r="B367" s="16" t="s">
        <v>122</v>
      </c>
      <c r="C367" s="104">
        <v>2884379</v>
      </c>
      <c r="D367" s="96"/>
      <c r="E367" t="s">
        <v>1590</v>
      </c>
    </row>
    <row r="368" spans="2:5">
      <c r="B368" s="13" t="s">
        <v>123</v>
      </c>
      <c r="C368" s="104">
        <v>7497022</v>
      </c>
      <c r="D368" s="96"/>
      <c r="E368" t="s">
        <v>1590</v>
      </c>
    </row>
    <row r="369" spans="2:5">
      <c r="B369" s="13" t="s">
        <v>124</v>
      </c>
      <c r="C369" s="104">
        <v>2975574</v>
      </c>
      <c r="D369" s="96"/>
      <c r="E369" t="s">
        <v>1590</v>
      </c>
    </row>
    <row r="370" spans="2:5">
      <c r="B370" s="13" t="s">
        <v>1535</v>
      </c>
      <c r="C370" s="104">
        <v>191000</v>
      </c>
      <c r="D370" s="96"/>
      <c r="E370" t="s">
        <v>1590</v>
      </c>
    </row>
    <row r="371" spans="2:5">
      <c r="B371" s="1" t="s">
        <v>160</v>
      </c>
      <c r="C371" s="105">
        <v>100212430.41</v>
      </c>
      <c r="D371" s="105">
        <v>2560</v>
      </c>
    </row>
    <row r="372" spans="2:5">
      <c r="B372" s="14" t="s">
        <v>161</v>
      </c>
      <c r="C372" s="110">
        <v>70374525</v>
      </c>
      <c r="D372" s="111"/>
    </row>
    <row r="373" spans="2:5">
      <c r="B373" s="15" t="s">
        <v>1317</v>
      </c>
      <c r="C373" s="112">
        <v>6385758</v>
      </c>
      <c r="D373" s="95"/>
      <c r="E373" t="s">
        <v>1591</v>
      </c>
    </row>
    <row r="374" spans="2:5">
      <c r="B374" s="15" t="s">
        <v>173</v>
      </c>
      <c r="C374" s="112">
        <v>892282</v>
      </c>
      <c r="D374" s="95"/>
      <c r="E374" t="s">
        <v>1591</v>
      </c>
    </row>
    <row r="375" spans="2:5">
      <c r="B375" s="15" t="s">
        <v>174</v>
      </c>
      <c r="C375" s="112">
        <v>6070879</v>
      </c>
      <c r="D375" s="95"/>
      <c r="E375" t="s">
        <v>1591</v>
      </c>
    </row>
    <row r="376" spans="2:5">
      <c r="B376" s="15" t="s">
        <v>1318</v>
      </c>
      <c r="C376" s="112">
        <v>225000</v>
      </c>
      <c r="D376" s="95"/>
      <c r="E376" t="s">
        <v>1591</v>
      </c>
    </row>
    <row r="377" spans="2:5">
      <c r="B377" s="17" t="s">
        <v>1319</v>
      </c>
      <c r="C377" s="112">
        <v>708541</v>
      </c>
      <c r="D377" s="95"/>
      <c r="E377" t="s">
        <v>1591</v>
      </c>
    </row>
    <row r="378" spans="2:5">
      <c r="B378" s="17" t="s">
        <v>1320</v>
      </c>
      <c r="C378" s="112">
        <v>658141</v>
      </c>
      <c r="D378" s="95"/>
      <c r="E378" t="s">
        <v>1591</v>
      </c>
    </row>
    <row r="379" spans="2:5">
      <c r="B379" s="17" t="s">
        <v>892</v>
      </c>
      <c r="C379" s="112">
        <v>298706</v>
      </c>
      <c r="D379" s="95"/>
      <c r="E379" t="s">
        <v>1591</v>
      </c>
    </row>
    <row r="380" spans="2:5">
      <c r="B380" s="15" t="s">
        <v>175</v>
      </c>
      <c r="C380" s="112">
        <v>4111827</v>
      </c>
      <c r="D380" s="95"/>
      <c r="E380" t="s">
        <v>1591</v>
      </c>
    </row>
    <row r="381" spans="2:5">
      <c r="B381" s="17" t="s">
        <v>1321</v>
      </c>
      <c r="C381" s="112">
        <v>25231167</v>
      </c>
      <c r="D381" s="95"/>
      <c r="E381" t="s">
        <v>1591</v>
      </c>
    </row>
    <row r="382" spans="2:5">
      <c r="B382" s="15" t="s">
        <v>1097</v>
      </c>
      <c r="C382" s="112">
        <v>17825</v>
      </c>
      <c r="D382" s="95"/>
      <c r="E382" t="s">
        <v>1591</v>
      </c>
    </row>
    <row r="383" spans="2:5">
      <c r="B383" s="17" t="s">
        <v>163</v>
      </c>
      <c r="C383" s="112">
        <v>21600</v>
      </c>
      <c r="D383" s="95"/>
      <c r="E383" t="s">
        <v>1591</v>
      </c>
    </row>
    <row r="384" spans="2:5">
      <c r="B384" s="17" t="s">
        <v>164</v>
      </c>
      <c r="C384" s="112">
        <v>24495</v>
      </c>
      <c r="D384" s="95"/>
      <c r="E384" t="s">
        <v>1591</v>
      </c>
    </row>
    <row r="385" spans="2:5">
      <c r="B385" s="17" t="s">
        <v>176</v>
      </c>
      <c r="C385" s="112">
        <v>3712435</v>
      </c>
      <c r="D385" s="95"/>
      <c r="E385" t="s">
        <v>1591</v>
      </c>
    </row>
    <row r="386" spans="2:5">
      <c r="B386" s="17" t="s">
        <v>177</v>
      </c>
      <c r="C386" s="112">
        <v>3384379</v>
      </c>
      <c r="D386" s="95"/>
      <c r="E386" t="s">
        <v>1591</v>
      </c>
    </row>
    <row r="387" spans="2:5">
      <c r="B387" s="17" t="s">
        <v>1322</v>
      </c>
      <c r="C387" s="112">
        <v>1167309</v>
      </c>
      <c r="D387" s="95"/>
      <c r="E387" t="s">
        <v>1591</v>
      </c>
    </row>
    <row r="388" spans="2:5">
      <c r="B388" s="17" t="s">
        <v>165</v>
      </c>
      <c r="C388" s="112">
        <v>26160</v>
      </c>
      <c r="D388" s="95"/>
      <c r="E388" t="s">
        <v>1591</v>
      </c>
    </row>
    <row r="389" spans="2:5">
      <c r="B389" s="15" t="s">
        <v>167</v>
      </c>
      <c r="C389" s="112">
        <v>39213</v>
      </c>
      <c r="D389" s="95"/>
      <c r="E389" t="s">
        <v>1591</v>
      </c>
    </row>
    <row r="390" spans="2:5">
      <c r="B390" s="15" t="s">
        <v>168</v>
      </c>
      <c r="C390" s="112">
        <v>453724</v>
      </c>
      <c r="D390" s="95"/>
      <c r="E390" t="s">
        <v>1591</v>
      </c>
    </row>
    <row r="391" spans="2:5">
      <c r="B391" s="15" t="s">
        <v>169</v>
      </c>
      <c r="C391" s="112">
        <v>9350337</v>
      </c>
      <c r="D391" s="95"/>
      <c r="E391" t="s">
        <v>1591</v>
      </c>
    </row>
    <row r="392" spans="2:5">
      <c r="B392" s="15" t="s">
        <v>170</v>
      </c>
      <c r="C392" s="112">
        <v>7594747</v>
      </c>
      <c r="D392" s="95"/>
      <c r="E392" t="s">
        <v>1591</v>
      </c>
    </row>
    <row r="393" spans="2:5">
      <c r="B393" s="14" t="s">
        <v>178</v>
      </c>
      <c r="C393" s="112">
        <v>29784289.41</v>
      </c>
      <c r="D393" s="112">
        <v>2560</v>
      </c>
      <c r="E393" t="s">
        <v>1591</v>
      </c>
    </row>
    <row r="394" spans="2:5">
      <c r="B394" s="13" t="s">
        <v>1539</v>
      </c>
      <c r="C394" s="104">
        <v>53616</v>
      </c>
      <c r="D394" s="96"/>
      <c r="E394" t="s">
        <v>1591</v>
      </c>
    </row>
    <row r="395" spans="2:5">
      <c r="B395" s="1" t="s">
        <v>189</v>
      </c>
      <c r="C395" s="109"/>
      <c r="D395" s="105">
        <v>5297763</v>
      </c>
    </row>
    <row r="396" spans="2:5">
      <c r="B396" s="13" t="s">
        <v>190</v>
      </c>
      <c r="C396" s="96"/>
      <c r="D396" s="104">
        <v>5050263</v>
      </c>
    </row>
    <row r="397" spans="2:5">
      <c r="B397" s="13" t="s">
        <v>191</v>
      </c>
      <c r="C397" s="96"/>
      <c r="D397" s="104">
        <v>247500</v>
      </c>
    </row>
    <row r="398" spans="2:5">
      <c r="B398" s="1" t="s">
        <v>192</v>
      </c>
      <c r="C398" s="105">
        <v>50708773.450000003</v>
      </c>
      <c r="D398" s="109"/>
    </row>
    <row r="399" spans="2:5">
      <c r="B399" s="14" t="s">
        <v>193</v>
      </c>
      <c r="C399" s="110">
        <v>230534</v>
      </c>
      <c r="D399" s="111"/>
    </row>
    <row r="400" spans="2:5">
      <c r="B400" s="17" t="s">
        <v>193</v>
      </c>
      <c r="C400" s="112">
        <v>230534</v>
      </c>
      <c r="D400" s="95"/>
    </row>
    <row r="401" spans="2:5">
      <c r="B401" s="14" t="s">
        <v>194</v>
      </c>
      <c r="C401" s="106">
        <v>655</v>
      </c>
      <c r="D401" s="114"/>
    </row>
    <row r="402" spans="2:5">
      <c r="B402" s="17" t="s">
        <v>194</v>
      </c>
      <c r="C402" s="112">
        <v>655</v>
      </c>
      <c r="D402" s="95"/>
      <c r="E402" t="s">
        <v>1616</v>
      </c>
    </row>
    <row r="403" spans="2:5">
      <c r="B403" s="13" t="s">
        <v>195</v>
      </c>
      <c r="C403" s="104">
        <v>29211</v>
      </c>
      <c r="D403" s="96"/>
      <c r="E403" t="s">
        <v>1603</v>
      </c>
    </row>
    <row r="404" spans="2:5">
      <c r="B404" s="13" t="s">
        <v>210</v>
      </c>
      <c r="C404" s="104">
        <v>134238.95000000001</v>
      </c>
      <c r="D404" s="96"/>
      <c r="E404" t="s">
        <v>1605</v>
      </c>
    </row>
    <row r="405" spans="2:5">
      <c r="B405" s="13" t="s">
        <v>196</v>
      </c>
      <c r="C405" s="104">
        <v>4540</v>
      </c>
      <c r="D405" s="96"/>
      <c r="E405" t="s">
        <v>1609</v>
      </c>
    </row>
    <row r="406" spans="2:5">
      <c r="B406" s="13" t="s">
        <v>1222</v>
      </c>
      <c r="C406" s="104">
        <v>8550</v>
      </c>
      <c r="D406" s="96"/>
      <c r="E406" t="s">
        <v>1632</v>
      </c>
    </row>
    <row r="407" spans="2:5">
      <c r="B407" s="13" t="s">
        <v>1751</v>
      </c>
      <c r="C407" s="104">
        <v>2300</v>
      </c>
      <c r="D407" s="96"/>
      <c r="E407" t="s">
        <v>1616</v>
      </c>
    </row>
    <row r="408" spans="2:5">
      <c r="B408" s="13" t="s">
        <v>1752</v>
      </c>
      <c r="C408" s="104">
        <v>73647</v>
      </c>
      <c r="D408" s="96"/>
      <c r="E408" t="s">
        <v>1634</v>
      </c>
    </row>
    <row r="409" spans="2:5">
      <c r="B409" s="13" t="s">
        <v>893</v>
      </c>
      <c r="C409" s="104">
        <v>2509527</v>
      </c>
      <c r="D409" s="96"/>
      <c r="E409" t="s">
        <v>1630</v>
      </c>
    </row>
    <row r="410" spans="2:5">
      <c r="B410" s="13" t="s">
        <v>197</v>
      </c>
      <c r="C410" s="104">
        <v>3780000</v>
      </c>
      <c r="D410" s="96"/>
      <c r="E410" t="s">
        <v>1599</v>
      </c>
    </row>
    <row r="411" spans="2:5">
      <c r="B411" s="13" t="s">
        <v>211</v>
      </c>
      <c r="C411" s="104">
        <v>597240</v>
      </c>
      <c r="D411" s="96"/>
      <c r="E411" t="s">
        <v>1613</v>
      </c>
    </row>
    <row r="412" spans="2:5">
      <c r="B412" s="13" t="s">
        <v>198</v>
      </c>
      <c r="C412" s="104">
        <v>54070</v>
      </c>
      <c r="D412" s="96"/>
      <c r="E412" t="s">
        <v>1632</v>
      </c>
    </row>
    <row r="413" spans="2:5">
      <c r="B413" s="13" t="s">
        <v>212</v>
      </c>
      <c r="C413" s="104">
        <v>266283</v>
      </c>
      <c r="D413" s="96"/>
      <c r="E413" t="s">
        <v>1781</v>
      </c>
    </row>
    <row r="414" spans="2:5">
      <c r="B414" s="13" t="s">
        <v>199</v>
      </c>
      <c r="C414" s="104">
        <v>190500</v>
      </c>
      <c r="D414" s="96"/>
      <c r="E414" t="s">
        <v>1608</v>
      </c>
    </row>
    <row r="415" spans="2:5">
      <c r="B415" s="13" t="s">
        <v>1221</v>
      </c>
      <c r="C415" s="104">
        <v>148727</v>
      </c>
      <c r="D415" s="96"/>
      <c r="E415" t="s">
        <v>1593</v>
      </c>
    </row>
    <row r="416" spans="2:5">
      <c r="B416" s="13" t="s">
        <v>200</v>
      </c>
      <c r="C416" s="104">
        <v>47741</v>
      </c>
      <c r="D416" s="96"/>
      <c r="E416" t="s">
        <v>1616</v>
      </c>
    </row>
    <row r="417" spans="2:5">
      <c r="B417" s="13" t="s">
        <v>1218</v>
      </c>
      <c r="C417" s="104">
        <v>1753209</v>
      </c>
      <c r="D417" s="96"/>
      <c r="E417" t="s">
        <v>1606</v>
      </c>
    </row>
    <row r="418" spans="2:5">
      <c r="B418" s="13" t="s">
        <v>1217</v>
      </c>
      <c r="C418" s="104">
        <v>739495</v>
      </c>
      <c r="D418" s="96"/>
      <c r="E418" t="s">
        <v>1638</v>
      </c>
    </row>
    <row r="419" spans="2:5">
      <c r="B419" s="13" t="s">
        <v>202</v>
      </c>
      <c r="C419" s="104">
        <v>396705</v>
      </c>
      <c r="D419" s="96"/>
      <c r="E419" t="s">
        <v>1610</v>
      </c>
    </row>
    <row r="420" spans="2:5">
      <c r="B420" s="13" t="s">
        <v>1216</v>
      </c>
      <c r="C420" s="104">
        <v>202032</v>
      </c>
      <c r="D420" s="96"/>
      <c r="E420" t="s">
        <v>1632</v>
      </c>
    </row>
    <row r="421" spans="2:5">
      <c r="B421" s="13" t="s">
        <v>213</v>
      </c>
      <c r="C421" s="104">
        <v>327987</v>
      </c>
      <c r="D421" s="96"/>
      <c r="E421" t="s">
        <v>1607</v>
      </c>
    </row>
    <row r="422" spans="2:5">
      <c r="B422" s="13" t="s">
        <v>1215</v>
      </c>
      <c r="C422" s="104">
        <v>797723</v>
      </c>
      <c r="D422" s="96"/>
      <c r="E422" t="s">
        <v>1636</v>
      </c>
    </row>
    <row r="423" spans="2:5">
      <c r="B423" s="13" t="s">
        <v>77</v>
      </c>
      <c r="C423" s="104">
        <v>409491</v>
      </c>
      <c r="D423" s="96"/>
      <c r="E423" t="s">
        <v>1626</v>
      </c>
    </row>
    <row r="424" spans="2:5">
      <c r="B424" s="13" t="s">
        <v>1214</v>
      </c>
      <c r="C424" s="104">
        <v>976387</v>
      </c>
      <c r="D424" s="96"/>
      <c r="E424" t="s">
        <v>1618</v>
      </c>
    </row>
    <row r="425" spans="2:5">
      <c r="B425" s="13" t="s">
        <v>1542</v>
      </c>
      <c r="C425" s="104">
        <v>5885</v>
      </c>
      <c r="D425" s="96"/>
      <c r="E425" t="s">
        <v>1597</v>
      </c>
    </row>
    <row r="426" spans="2:5">
      <c r="B426" s="16" t="s">
        <v>1213</v>
      </c>
      <c r="C426" s="104">
        <v>1002990</v>
      </c>
      <c r="D426" s="96"/>
      <c r="E426" t="s">
        <v>1608</v>
      </c>
    </row>
    <row r="427" spans="2:5">
      <c r="B427" s="13" t="s">
        <v>1212</v>
      </c>
      <c r="C427" s="104">
        <v>3778388.5</v>
      </c>
      <c r="D427" s="96"/>
      <c r="E427" t="s">
        <v>1630</v>
      </c>
    </row>
    <row r="428" spans="2:5">
      <c r="B428" s="13" t="s">
        <v>204</v>
      </c>
      <c r="C428" s="104">
        <v>29160258</v>
      </c>
      <c r="D428" s="96"/>
      <c r="E428" t="s">
        <v>1595</v>
      </c>
    </row>
    <row r="429" spans="2:5">
      <c r="B429" s="13" t="s">
        <v>1753</v>
      </c>
      <c r="C429" s="104">
        <v>2300</v>
      </c>
      <c r="D429" s="96"/>
      <c r="E429" t="s">
        <v>1616</v>
      </c>
    </row>
    <row r="430" spans="2:5">
      <c r="B430" s="13" t="s">
        <v>206</v>
      </c>
      <c r="C430" s="104">
        <v>122079</v>
      </c>
      <c r="D430" s="96"/>
      <c r="E430" t="s">
        <v>1601</v>
      </c>
    </row>
    <row r="431" spans="2:5">
      <c r="B431" s="13" t="s">
        <v>207</v>
      </c>
      <c r="C431" s="104">
        <v>2176148</v>
      </c>
      <c r="D431" s="96"/>
      <c r="E431" t="s">
        <v>1638</v>
      </c>
    </row>
    <row r="432" spans="2:5">
      <c r="B432" s="13" t="s">
        <v>208</v>
      </c>
      <c r="C432" s="104">
        <v>319516</v>
      </c>
      <c r="D432" s="96"/>
      <c r="E432" t="s">
        <v>1634</v>
      </c>
    </row>
    <row r="433" spans="2:5">
      <c r="B433" s="13" t="s">
        <v>209</v>
      </c>
      <c r="C433" s="104">
        <v>460416</v>
      </c>
      <c r="D433" s="96"/>
      <c r="E433" t="s">
        <v>1628</v>
      </c>
    </row>
    <row r="434" spans="2:5">
      <c r="B434" s="1" t="s">
        <v>125</v>
      </c>
      <c r="C434" s="109"/>
      <c r="D434" s="105">
        <v>12609828</v>
      </c>
    </row>
    <row r="435" spans="2:5">
      <c r="B435" s="13" t="s">
        <v>126</v>
      </c>
      <c r="C435" s="96"/>
      <c r="D435" s="104">
        <v>30000</v>
      </c>
      <c r="E435" t="s">
        <v>1780</v>
      </c>
    </row>
    <row r="436" spans="2:5">
      <c r="B436" s="13" t="s">
        <v>127</v>
      </c>
      <c r="C436" s="96"/>
      <c r="D436" s="104">
        <v>230500</v>
      </c>
      <c r="E436" t="s">
        <v>1780</v>
      </c>
    </row>
    <row r="437" spans="2:5">
      <c r="B437" s="13" t="s">
        <v>128</v>
      </c>
      <c r="C437" s="96"/>
      <c r="D437" s="104">
        <v>12229328</v>
      </c>
      <c r="E437" t="s">
        <v>1780</v>
      </c>
    </row>
    <row r="438" spans="2:5">
      <c r="B438" s="13" t="s">
        <v>129</v>
      </c>
      <c r="C438" s="96"/>
      <c r="D438" s="104">
        <v>120000</v>
      </c>
      <c r="E438" t="s">
        <v>1780</v>
      </c>
    </row>
    <row r="439" spans="2:5">
      <c r="B439" s="1" t="s">
        <v>130</v>
      </c>
      <c r="C439" s="105">
        <v>514073.78</v>
      </c>
      <c r="D439" s="109"/>
    </row>
    <row r="440" spans="2:5">
      <c r="B440" s="13" t="s">
        <v>130</v>
      </c>
      <c r="C440" s="104">
        <v>514073.78</v>
      </c>
      <c r="D440" s="96"/>
    </row>
    <row r="441" spans="2:5">
      <c r="B441" s="1" t="s">
        <v>131</v>
      </c>
      <c r="C441" s="105">
        <v>44819</v>
      </c>
      <c r="D441" s="105">
        <v>84253</v>
      </c>
    </row>
    <row r="442" spans="2:5">
      <c r="B442" s="13" t="s">
        <v>1225</v>
      </c>
      <c r="C442" s="96"/>
      <c r="D442" s="104">
        <v>84253</v>
      </c>
      <c r="E442" t="s">
        <v>1557</v>
      </c>
    </row>
    <row r="443" spans="2:5">
      <c r="B443" s="13" t="s">
        <v>1536</v>
      </c>
      <c r="C443" s="104">
        <v>4127</v>
      </c>
      <c r="D443" s="96"/>
      <c r="E443" t="s">
        <v>1557</v>
      </c>
    </row>
    <row r="444" spans="2:5">
      <c r="B444" s="13" t="s">
        <v>1224</v>
      </c>
      <c r="C444" s="104">
        <v>40692</v>
      </c>
      <c r="D444" s="96"/>
      <c r="E444" t="s">
        <v>1557</v>
      </c>
    </row>
    <row r="445" spans="2:5">
      <c r="B445" s="1" t="s">
        <v>132</v>
      </c>
      <c r="C445" s="105">
        <v>49679373</v>
      </c>
      <c r="D445" s="109"/>
    </row>
    <row r="446" spans="2:5">
      <c r="B446" s="13" t="s">
        <v>133</v>
      </c>
      <c r="C446" s="104">
        <v>49679373</v>
      </c>
      <c r="D446" s="96"/>
      <c r="E446" t="s">
        <v>1570</v>
      </c>
    </row>
    <row r="447" spans="2:5">
      <c r="B447" s="1" t="s">
        <v>1754</v>
      </c>
      <c r="C447" s="105">
        <v>0.72</v>
      </c>
      <c r="D447" s="105">
        <v>10386061.880000001</v>
      </c>
    </row>
    <row r="448" spans="2:5">
      <c r="B448" s="13" t="s">
        <v>1755</v>
      </c>
      <c r="C448" s="96"/>
      <c r="D448" s="104">
        <v>1160953.2</v>
      </c>
    </row>
    <row r="449" spans="2:4">
      <c r="B449" s="13" t="s">
        <v>1756</v>
      </c>
      <c r="C449" s="96"/>
      <c r="D449" s="104">
        <v>873315.2</v>
      </c>
    </row>
    <row r="450" spans="2:4">
      <c r="B450" s="13" t="s">
        <v>1757</v>
      </c>
      <c r="C450" s="104">
        <v>0.36</v>
      </c>
      <c r="D450" s="96"/>
    </row>
    <row r="451" spans="2:4">
      <c r="B451" s="13" t="s">
        <v>1758</v>
      </c>
      <c r="C451" s="104">
        <v>0.36</v>
      </c>
      <c r="D451" s="96"/>
    </row>
    <row r="452" spans="2:4">
      <c r="B452" s="13" t="s">
        <v>1759</v>
      </c>
      <c r="C452" s="96"/>
      <c r="D452" s="104">
        <v>808260.46</v>
      </c>
    </row>
    <row r="453" spans="2:4">
      <c r="B453" s="13" t="s">
        <v>1760</v>
      </c>
      <c r="C453" s="96"/>
      <c r="D453" s="104">
        <v>536311.46</v>
      </c>
    </row>
    <row r="454" spans="2:4">
      <c r="B454" s="13" t="s">
        <v>1761</v>
      </c>
      <c r="C454" s="96"/>
      <c r="D454" s="104">
        <v>93967.14</v>
      </c>
    </row>
    <row r="455" spans="2:4">
      <c r="B455" s="13" t="s">
        <v>1762</v>
      </c>
      <c r="C455" s="96"/>
      <c r="D455" s="104">
        <v>70679.14</v>
      </c>
    </row>
    <row r="456" spans="2:4">
      <c r="B456" s="13" t="s">
        <v>1763</v>
      </c>
      <c r="C456" s="96"/>
      <c r="D456" s="104">
        <v>846891.25</v>
      </c>
    </row>
    <row r="457" spans="2:4">
      <c r="B457" s="13" t="s">
        <v>1764</v>
      </c>
      <c r="C457" s="96"/>
      <c r="D457" s="104">
        <v>747791.25</v>
      </c>
    </row>
    <row r="458" spans="2:4">
      <c r="B458" s="13" t="s">
        <v>1765</v>
      </c>
      <c r="C458" s="96"/>
      <c r="D458" s="104">
        <v>96416.14</v>
      </c>
    </row>
    <row r="459" spans="2:4">
      <c r="B459" s="13" t="s">
        <v>1766</v>
      </c>
      <c r="C459" s="96"/>
      <c r="D459" s="104">
        <v>96416.14</v>
      </c>
    </row>
    <row r="460" spans="2:4">
      <c r="B460" s="13" t="s">
        <v>1767</v>
      </c>
      <c r="C460" s="96"/>
      <c r="D460" s="104">
        <v>101250</v>
      </c>
    </row>
    <row r="461" spans="2:4">
      <c r="B461" s="13" t="s">
        <v>1768</v>
      </c>
      <c r="C461" s="96"/>
      <c r="D461" s="104">
        <v>101250</v>
      </c>
    </row>
    <row r="462" spans="2:4">
      <c r="B462" s="13" t="s">
        <v>1769</v>
      </c>
      <c r="C462" s="96"/>
      <c r="D462" s="104">
        <v>67069.710000000006</v>
      </c>
    </row>
    <row r="463" spans="2:4">
      <c r="B463" s="13" t="s">
        <v>1770</v>
      </c>
      <c r="C463" s="96"/>
      <c r="D463" s="104">
        <v>67069.710000000006</v>
      </c>
    </row>
    <row r="464" spans="2:4">
      <c r="B464" s="13" t="s">
        <v>1771</v>
      </c>
      <c r="C464" s="96"/>
      <c r="D464" s="104">
        <v>1353980.85</v>
      </c>
    </row>
    <row r="465" spans="2:5">
      <c r="B465" s="13" t="s">
        <v>1772</v>
      </c>
      <c r="C465" s="96"/>
      <c r="D465" s="104">
        <v>1353980.85</v>
      </c>
    </row>
    <row r="466" spans="2:5">
      <c r="B466" s="13" t="s">
        <v>1773</v>
      </c>
      <c r="C466" s="96"/>
      <c r="D466" s="104">
        <v>916819.69</v>
      </c>
    </row>
    <row r="467" spans="2:5">
      <c r="B467" s="13" t="s">
        <v>1774</v>
      </c>
      <c r="C467" s="96"/>
      <c r="D467" s="104">
        <v>790857.69</v>
      </c>
    </row>
    <row r="468" spans="2:5">
      <c r="B468" s="13" t="s">
        <v>1775</v>
      </c>
      <c r="C468" s="96"/>
      <c r="D468" s="104">
        <v>179765</v>
      </c>
    </row>
    <row r="469" spans="2:5">
      <c r="B469" s="13" t="s">
        <v>1776</v>
      </c>
      <c r="C469" s="96"/>
      <c r="D469" s="104">
        <v>123017</v>
      </c>
    </row>
    <row r="470" spans="2:5">
      <c r="B470" s="1" t="s">
        <v>134</v>
      </c>
      <c r="C470" s="105">
        <v>117150</v>
      </c>
      <c r="D470" s="109"/>
    </row>
    <row r="471" spans="2:5">
      <c r="B471" s="13" t="s">
        <v>135</v>
      </c>
      <c r="C471" s="104">
        <v>116150</v>
      </c>
      <c r="D471" s="96"/>
      <c r="E471" t="s">
        <v>1556</v>
      </c>
    </row>
    <row r="472" spans="2:5">
      <c r="B472" s="13" t="s">
        <v>136</v>
      </c>
      <c r="C472" s="104">
        <v>1000</v>
      </c>
      <c r="D472" s="96"/>
      <c r="E472" t="s">
        <v>1556</v>
      </c>
    </row>
    <row r="473" spans="2:5">
      <c r="B473" s="1" t="s">
        <v>137</v>
      </c>
      <c r="C473" s="105">
        <v>68780802.920000002</v>
      </c>
      <c r="D473" s="109"/>
    </row>
    <row r="474" spans="2:5">
      <c r="B474" s="14" t="s">
        <v>29</v>
      </c>
      <c r="C474" s="110">
        <v>51671812.670000002</v>
      </c>
      <c r="D474" s="111"/>
    </row>
    <row r="475" spans="2:5">
      <c r="B475" s="15" t="s">
        <v>894</v>
      </c>
      <c r="C475" s="112">
        <v>23000</v>
      </c>
      <c r="D475" s="95"/>
      <c r="E475" t="s">
        <v>1559</v>
      </c>
    </row>
    <row r="476" spans="2:5">
      <c r="B476" s="15" t="s">
        <v>895</v>
      </c>
      <c r="C476" s="112">
        <v>6258</v>
      </c>
      <c r="D476" s="95"/>
      <c r="E476" t="s">
        <v>1559</v>
      </c>
    </row>
    <row r="477" spans="2:5">
      <c r="B477" s="15" t="s">
        <v>896</v>
      </c>
      <c r="C477" s="112">
        <v>2852</v>
      </c>
      <c r="D477" s="95"/>
      <c r="E477" t="s">
        <v>1559</v>
      </c>
    </row>
    <row r="478" spans="2:5">
      <c r="B478" s="15" t="s">
        <v>897</v>
      </c>
      <c r="C478" s="112">
        <v>3792</v>
      </c>
      <c r="D478" s="95"/>
      <c r="E478" t="s">
        <v>1559</v>
      </c>
    </row>
    <row r="479" spans="2:5">
      <c r="B479" s="15" t="s">
        <v>898</v>
      </c>
      <c r="C479" s="112">
        <v>13000</v>
      </c>
      <c r="D479" s="95"/>
      <c r="E479" t="s">
        <v>1559</v>
      </c>
    </row>
    <row r="480" spans="2:5">
      <c r="B480" s="15" t="s">
        <v>899</v>
      </c>
      <c r="C480" s="112">
        <v>35000</v>
      </c>
      <c r="D480" s="95"/>
      <c r="E480" t="s">
        <v>1559</v>
      </c>
    </row>
    <row r="481" spans="2:5">
      <c r="B481" s="15" t="s">
        <v>900</v>
      </c>
      <c r="C481" s="112">
        <v>10000</v>
      </c>
      <c r="D481" s="95"/>
      <c r="E481" t="s">
        <v>1559</v>
      </c>
    </row>
    <row r="482" spans="2:5">
      <c r="B482" s="17" t="s">
        <v>901</v>
      </c>
      <c r="C482" s="112">
        <v>130161</v>
      </c>
      <c r="D482" s="95"/>
      <c r="E482" t="s">
        <v>1559</v>
      </c>
    </row>
    <row r="483" spans="2:5">
      <c r="B483" s="17" t="s">
        <v>902</v>
      </c>
      <c r="C483" s="112">
        <v>48314.43</v>
      </c>
      <c r="D483" s="95"/>
      <c r="E483" t="s">
        <v>1559</v>
      </c>
    </row>
    <row r="484" spans="2:5">
      <c r="B484" s="15" t="s">
        <v>903</v>
      </c>
      <c r="C484" s="112">
        <v>56000</v>
      </c>
      <c r="D484" s="95"/>
      <c r="E484" t="s">
        <v>1559</v>
      </c>
    </row>
    <row r="485" spans="2:5">
      <c r="B485" s="17" t="s">
        <v>904</v>
      </c>
      <c r="C485" s="112">
        <v>4781.92</v>
      </c>
      <c r="D485" s="95"/>
      <c r="E485" t="s">
        <v>1559</v>
      </c>
    </row>
    <row r="486" spans="2:5">
      <c r="B486" s="17" t="s">
        <v>905</v>
      </c>
      <c r="C486" s="112">
        <v>20556</v>
      </c>
      <c r="D486" s="95"/>
      <c r="E486" t="s">
        <v>1559</v>
      </c>
    </row>
    <row r="487" spans="2:5">
      <c r="B487" s="13" t="s">
        <v>906</v>
      </c>
      <c r="C487" s="112">
        <v>50835537.43</v>
      </c>
      <c r="D487" s="95"/>
      <c r="E487" t="s">
        <v>1559</v>
      </c>
    </row>
    <row r="488" spans="2:5">
      <c r="B488" s="15" t="s">
        <v>907</v>
      </c>
      <c r="C488" s="112">
        <v>149259.89000000001</v>
      </c>
      <c r="D488" s="95"/>
      <c r="E488" t="s">
        <v>1559</v>
      </c>
    </row>
    <row r="489" spans="2:5">
      <c r="B489" s="17" t="s">
        <v>908</v>
      </c>
      <c r="C489" s="112">
        <v>4000</v>
      </c>
      <c r="D489" s="95"/>
      <c r="E489" t="s">
        <v>1559</v>
      </c>
    </row>
    <row r="490" spans="2:5">
      <c r="B490" s="15" t="s">
        <v>909</v>
      </c>
      <c r="C490" s="112">
        <v>176124</v>
      </c>
      <c r="D490" s="95"/>
      <c r="E490" t="s">
        <v>1559</v>
      </c>
    </row>
    <row r="491" spans="2:5">
      <c r="B491" s="15" t="s">
        <v>910</v>
      </c>
      <c r="C491" s="112">
        <v>145476</v>
      </c>
      <c r="D491" s="95"/>
      <c r="E491" t="s">
        <v>1559</v>
      </c>
    </row>
    <row r="492" spans="2:5">
      <c r="B492" s="17" t="s">
        <v>911</v>
      </c>
      <c r="C492" s="112">
        <v>7700</v>
      </c>
      <c r="D492" s="95"/>
      <c r="E492" t="s">
        <v>1559</v>
      </c>
    </row>
    <row r="493" spans="2:5">
      <c r="B493" s="118" t="s">
        <v>138</v>
      </c>
      <c r="C493" s="105">
        <v>7324216.9000000004</v>
      </c>
      <c r="D493" s="114"/>
    </row>
    <row r="494" spans="2:5">
      <c r="B494" s="13" t="s">
        <v>921</v>
      </c>
      <c r="C494" s="112">
        <v>7324216.9000000004</v>
      </c>
      <c r="D494" s="95"/>
      <c r="E494" t="s">
        <v>1578</v>
      </c>
    </row>
    <row r="495" spans="2:5">
      <c r="B495" s="13" t="s">
        <v>139</v>
      </c>
      <c r="C495" s="104">
        <v>6720750</v>
      </c>
      <c r="D495" s="96"/>
      <c r="E495" t="s">
        <v>1580</v>
      </c>
    </row>
    <row r="496" spans="2:5">
      <c r="B496" s="13" t="s">
        <v>140</v>
      </c>
      <c r="C496" s="104">
        <v>40000</v>
      </c>
      <c r="D496" s="96"/>
      <c r="E496" t="s">
        <v>1559</v>
      </c>
    </row>
    <row r="497" spans="2:5">
      <c r="B497" s="13" t="s">
        <v>923</v>
      </c>
      <c r="C497" s="104">
        <v>48000</v>
      </c>
      <c r="D497" s="96"/>
      <c r="E497" t="s">
        <v>1559</v>
      </c>
    </row>
    <row r="498" spans="2:5">
      <c r="B498" s="13" t="s">
        <v>141</v>
      </c>
      <c r="C498" s="104">
        <v>1343115</v>
      </c>
      <c r="D498" s="96"/>
      <c r="E498" t="s">
        <v>1559</v>
      </c>
    </row>
    <row r="499" spans="2:5">
      <c r="B499" s="13" t="s">
        <v>142</v>
      </c>
      <c r="C499" s="104">
        <v>9530</v>
      </c>
      <c r="D499" s="96"/>
      <c r="E499" t="s">
        <v>1559</v>
      </c>
    </row>
    <row r="500" spans="2:5">
      <c r="B500" s="13" t="s">
        <v>143</v>
      </c>
      <c r="C500" s="104">
        <v>445600</v>
      </c>
      <c r="D500" s="96"/>
      <c r="E500" t="s">
        <v>1559</v>
      </c>
    </row>
    <row r="501" spans="2:5">
      <c r="B501" s="13" t="s">
        <v>144</v>
      </c>
      <c r="C501" s="104">
        <v>5500</v>
      </c>
      <c r="D501" s="96"/>
      <c r="E501" t="s">
        <v>1559</v>
      </c>
    </row>
    <row r="502" spans="2:5">
      <c r="B502" s="13" t="s">
        <v>145</v>
      </c>
      <c r="C502" s="104">
        <v>294213</v>
      </c>
      <c r="D502" s="96"/>
      <c r="E502" t="s">
        <v>1559</v>
      </c>
    </row>
    <row r="503" spans="2:5">
      <c r="B503" s="13" t="s">
        <v>146</v>
      </c>
      <c r="C503" s="104">
        <v>13150</v>
      </c>
      <c r="D503" s="96"/>
      <c r="E503" t="s">
        <v>1559</v>
      </c>
    </row>
    <row r="504" spans="2:5">
      <c r="B504" s="13" t="s">
        <v>147</v>
      </c>
      <c r="C504" s="104">
        <v>424087</v>
      </c>
      <c r="D504" s="96"/>
      <c r="E504" t="s">
        <v>1559</v>
      </c>
    </row>
    <row r="505" spans="2:5">
      <c r="B505" s="13" t="s">
        <v>148</v>
      </c>
      <c r="C505" s="104">
        <v>279287.34999999998</v>
      </c>
      <c r="D505" s="96"/>
      <c r="E505" t="s">
        <v>1559</v>
      </c>
    </row>
    <row r="506" spans="2:5">
      <c r="B506" s="13" t="s">
        <v>149</v>
      </c>
      <c r="C506" s="104">
        <v>132959</v>
      </c>
      <c r="D506" s="96"/>
      <c r="E506" t="s">
        <v>1559</v>
      </c>
    </row>
    <row r="507" spans="2:5">
      <c r="B507" s="13" t="s">
        <v>150</v>
      </c>
      <c r="C507" s="104">
        <v>28582</v>
      </c>
      <c r="D507" s="96"/>
      <c r="E507" t="s">
        <v>1559</v>
      </c>
    </row>
    <row r="508" spans="2:5">
      <c r="B508" s="1" t="s">
        <v>151</v>
      </c>
      <c r="C508" s="105">
        <v>96538471</v>
      </c>
      <c r="D508" s="105">
        <v>289820390.06</v>
      </c>
    </row>
    <row r="509" spans="2:5">
      <c r="B509" s="13" t="s">
        <v>152</v>
      </c>
      <c r="C509" s="104">
        <v>82195790</v>
      </c>
      <c r="D509" s="96"/>
    </row>
    <row r="510" spans="2:5">
      <c r="B510" s="13" t="s">
        <v>153</v>
      </c>
      <c r="C510" s="104">
        <v>14342681</v>
      </c>
      <c r="D510" s="96"/>
    </row>
    <row r="511" spans="2:5">
      <c r="B511" s="13" t="s">
        <v>154</v>
      </c>
      <c r="C511" s="96"/>
      <c r="D511" s="104">
        <v>44374031.420000002</v>
      </c>
    </row>
    <row r="512" spans="2:5">
      <c r="B512" s="13" t="s">
        <v>155</v>
      </c>
      <c r="C512" s="96"/>
      <c r="D512" s="104">
        <v>245446358.63999999</v>
      </c>
    </row>
    <row r="513" spans="2:5">
      <c r="B513" s="1" t="s">
        <v>156</v>
      </c>
      <c r="C513" s="109"/>
      <c r="D513" s="105">
        <v>150000</v>
      </c>
    </row>
    <row r="514" spans="2:5">
      <c r="B514" s="14" t="s">
        <v>157</v>
      </c>
      <c r="C514" s="95"/>
      <c r="D514" s="112">
        <v>150000</v>
      </c>
      <c r="E514" t="s">
        <v>1782</v>
      </c>
    </row>
    <row r="515" spans="2:5">
      <c r="B515" s="1" t="s">
        <v>158</v>
      </c>
      <c r="C515" s="105">
        <v>2632364.65</v>
      </c>
      <c r="D515" s="109"/>
    </row>
    <row r="516" spans="2:5">
      <c r="B516" s="16" t="s">
        <v>158</v>
      </c>
      <c r="C516" s="104">
        <v>2632364.65</v>
      </c>
      <c r="D516" s="96"/>
    </row>
    <row r="517" spans="2:5">
      <c r="B517" s="1" t="s">
        <v>159</v>
      </c>
      <c r="C517" s="105">
        <v>15000000</v>
      </c>
      <c r="D517" s="109"/>
    </row>
    <row r="518" spans="2:5">
      <c r="B518" s="13" t="s">
        <v>1223</v>
      </c>
      <c r="C518" s="104">
        <v>15000000</v>
      </c>
      <c r="D518" s="96"/>
    </row>
    <row r="519" spans="2:5">
      <c r="B519" s="2" t="s">
        <v>74</v>
      </c>
      <c r="C519" s="95"/>
      <c r="D519" s="112">
        <v>174456712.61000001</v>
      </c>
    </row>
    <row r="520" spans="2:5">
      <c r="B520" s="19" t="s">
        <v>75</v>
      </c>
      <c r="C520" s="103">
        <v>772723495</v>
      </c>
      <c r="D520" s="103">
        <v>772723495</v>
      </c>
    </row>
  </sheetData>
  <mergeCells count="10">
    <mergeCell ref="B7:D7"/>
    <mergeCell ref="C8:D8"/>
    <mergeCell ref="C9:D9"/>
    <mergeCell ref="C10:D10"/>
    <mergeCell ref="B1:D1"/>
    <mergeCell ref="B2:D2"/>
    <mergeCell ref="B3:D3"/>
    <mergeCell ref="B4:D4"/>
    <mergeCell ref="B5:D5"/>
    <mergeCell ref="B6:D6"/>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221"/>
  <sheetViews>
    <sheetView topLeftCell="A164" workbookViewId="0">
      <selection activeCell="E178" sqref="E178"/>
    </sheetView>
  </sheetViews>
  <sheetFormatPr defaultRowHeight="14.4"/>
  <cols>
    <col min="1" max="1" width="37" bestFit="1" customWidth="1"/>
    <col min="2" max="2" width="12.44140625" bestFit="1" customWidth="1"/>
    <col min="3" max="3" width="13" bestFit="1" customWidth="1"/>
    <col min="4" max="4" width="12.5546875" bestFit="1" customWidth="1"/>
    <col min="5" max="5" width="11.44140625" bestFit="1" customWidth="1"/>
  </cols>
  <sheetData>
    <row r="1" spans="1:3" ht="15.6">
      <c r="A1" s="2699" t="s">
        <v>1783</v>
      </c>
      <c r="B1" s="2699"/>
      <c r="C1" s="2699"/>
    </row>
    <row r="2" spans="1:3" ht="15.6">
      <c r="A2" s="2699" t="s">
        <v>81</v>
      </c>
      <c r="B2" s="2699"/>
      <c r="C2" s="2699"/>
    </row>
    <row r="3" spans="1:3">
      <c r="A3" s="2700" t="s">
        <v>1784</v>
      </c>
      <c r="B3" s="2700"/>
      <c r="C3" s="2700"/>
    </row>
    <row r="4" spans="1:3">
      <c r="A4" s="10" t="s">
        <v>82</v>
      </c>
      <c r="B4" s="2911" t="s">
        <v>1785</v>
      </c>
      <c r="C4" s="2908"/>
    </row>
    <row r="5" spans="1:3">
      <c r="A5" s="11" t="s">
        <v>1</v>
      </c>
      <c r="B5" s="2706" t="s">
        <v>1784</v>
      </c>
      <c r="C5" s="2707"/>
    </row>
    <row r="6" spans="1:3">
      <c r="A6" s="11" t="s">
        <v>82</v>
      </c>
      <c r="B6" s="2708" t="s">
        <v>20</v>
      </c>
      <c r="C6" s="2709"/>
    </row>
    <row r="7" spans="1:3">
      <c r="A7" s="12" t="s">
        <v>82</v>
      </c>
      <c r="B7" s="101" t="s">
        <v>66</v>
      </c>
      <c r="C7" s="101" t="s">
        <v>67</v>
      </c>
    </row>
    <row r="8" spans="1:3">
      <c r="A8" s="1" t="s">
        <v>86</v>
      </c>
      <c r="B8" s="103">
        <v>331802</v>
      </c>
      <c r="C8" s="103">
        <v>13663015.529999999</v>
      </c>
    </row>
    <row r="9" spans="1:3">
      <c r="A9" s="14" t="s">
        <v>89</v>
      </c>
      <c r="B9" s="110">
        <v>331802</v>
      </c>
      <c r="C9" s="110">
        <v>13663015.529999999</v>
      </c>
    </row>
    <row r="10" spans="1:3">
      <c r="A10" s="248" t="s">
        <v>1295</v>
      </c>
      <c r="B10" s="113"/>
      <c r="C10" s="107">
        <v>74072</v>
      </c>
    </row>
    <row r="19" spans="1:3">
      <c r="A19" s="248" t="s">
        <v>1291</v>
      </c>
      <c r="B19" s="93">
        <v>146279</v>
      </c>
      <c r="C19" s="93">
        <v>8296901.5300000003</v>
      </c>
    </row>
    <row r="20" spans="1:3">
      <c r="A20" s="190" t="s">
        <v>1290</v>
      </c>
      <c r="B20" s="96"/>
      <c r="C20" s="104">
        <v>474035</v>
      </c>
    </row>
    <row r="21" spans="1:3">
      <c r="A21" s="15" t="s">
        <v>574</v>
      </c>
      <c r="B21" s="96"/>
      <c r="C21" s="104">
        <v>218255</v>
      </c>
    </row>
    <row r="22" spans="1:3">
      <c r="A22" s="190" t="s">
        <v>1391</v>
      </c>
      <c r="B22" s="96"/>
      <c r="C22" s="104">
        <v>1070904</v>
      </c>
    </row>
    <row r="23" spans="1:3">
      <c r="A23" s="190" t="s">
        <v>1788</v>
      </c>
      <c r="B23" s="96"/>
      <c r="C23" s="104">
        <v>681200</v>
      </c>
    </row>
    <row r="24" spans="1:3">
      <c r="A24" s="190" t="s">
        <v>1394</v>
      </c>
      <c r="B24" s="96"/>
      <c r="C24" s="104">
        <v>122458</v>
      </c>
    </row>
    <row r="25" spans="1:3">
      <c r="A25" s="190" t="s">
        <v>1789</v>
      </c>
      <c r="B25" s="96"/>
      <c r="C25" s="104">
        <v>170695</v>
      </c>
    </row>
    <row r="26" spans="1:3">
      <c r="A26" s="190" t="s">
        <v>1790</v>
      </c>
      <c r="B26" s="96"/>
      <c r="C26" s="104">
        <v>1232700</v>
      </c>
    </row>
    <row r="27" spans="1:3">
      <c r="A27" s="190" t="s">
        <v>1791</v>
      </c>
      <c r="B27" s="96"/>
      <c r="C27" s="104">
        <v>254405</v>
      </c>
    </row>
    <row r="28" spans="1:3">
      <c r="A28" s="190" t="s">
        <v>1792</v>
      </c>
      <c r="B28" s="96"/>
      <c r="C28" s="104">
        <v>66513</v>
      </c>
    </row>
    <row r="29" spans="1:3">
      <c r="A29" s="190" t="s">
        <v>1793</v>
      </c>
      <c r="B29" s="96"/>
      <c r="C29" s="104">
        <v>815668</v>
      </c>
    </row>
    <row r="30" spans="1:3">
      <c r="A30" s="190" t="s">
        <v>257</v>
      </c>
      <c r="B30" s="96"/>
      <c r="C30" s="104">
        <v>9450</v>
      </c>
    </row>
    <row r="31" spans="1:3">
      <c r="A31" s="190" t="s">
        <v>1286</v>
      </c>
      <c r="B31" s="104">
        <v>3740</v>
      </c>
      <c r="C31" s="96"/>
    </row>
    <row r="32" spans="1:3">
      <c r="A32" s="190" t="s">
        <v>1400</v>
      </c>
      <c r="B32" s="96"/>
      <c r="C32" s="104">
        <v>230</v>
      </c>
    </row>
    <row r="33" spans="1:3">
      <c r="A33" s="190" t="s">
        <v>584</v>
      </c>
      <c r="B33" s="96"/>
      <c r="C33" s="104">
        <v>60100</v>
      </c>
    </row>
    <row r="34" spans="1:3">
      <c r="A34" s="15" t="s">
        <v>1401</v>
      </c>
      <c r="B34" s="96"/>
      <c r="C34" s="104">
        <v>5400</v>
      </c>
    </row>
    <row r="35" spans="1:3">
      <c r="A35" s="15" t="s">
        <v>586</v>
      </c>
      <c r="B35" s="96"/>
      <c r="C35" s="104">
        <v>2460</v>
      </c>
    </row>
    <row r="36" spans="1:3">
      <c r="A36" s="190" t="s">
        <v>1684</v>
      </c>
      <c r="B36" s="96"/>
      <c r="C36" s="104">
        <v>130500</v>
      </c>
    </row>
    <row r="37" spans="1:3">
      <c r="A37" s="190" t="s">
        <v>1794</v>
      </c>
      <c r="B37" s="96"/>
      <c r="C37" s="104">
        <v>7500</v>
      </c>
    </row>
    <row r="38" spans="1:3">
      <c r="A38" s="13" t="s">
        <v>587</v>
      </c>
      <c r="B38" s="96"/>
      <c r="C38" s="104">
        <v>1732075.53</v>
      </c>
    </row>
    <row r="39" spans="1:3">
      <c r="A39" s="15" t="s">
        <v>985</v>
      </c>
      <c r="B39" s="96"/>
      <c r="C39" s="104">
        <v>18900</v>
      </c>
    </row>
    <row r="40" spans="1:3">
      <c r="A40" s="15" t="s">
        <v>1795</v>
      </c>
      <c r="B40" s="96"/>
      <c r="C40" s="104">
        <v>465916</v>
      </c>
    </row>
    <row r="41" spans="1:3">
      <c r="A41" s="190" t="s">
        <v>590</v>
      </c>
      <c r="B41" s="96"/>
      <c r="C41" s="104">
        <v>42700</v>
      </c>
    </row>
    <row r="42" spans="1:3">
      <c r="A42" s="190" t="s">
        <v>593</v>
      </c>
      <c r="B42" s="96"/>
      <c r="C42" s="104">
        <v>165</v>
      </c>
    </row>
    <row r="43" spans="1:3">
      <c r="A43" s="190" t="s">
        <v>1796</v>
      </c>
      <c r="B43" s="96"/>
      <c r="C43" s="104">
        <v>27999</v>
      </c>
    </row>
    <row r="44" spans="1:3">
      <c r="A44" s="190" t="s">
        <v>1406</v>
      </c>
      <c r="B44" s="96"/>
      <c r="C44" s="104">
        <v>2560</v>
      </c>
    </row>
    <row r="45" spans="1:3">
      <c r="A45" s="17" t="s">
        <v>1797</v>
      </c>
      <c r="B45" s="96"/>
      <c r="C45" s="104">
        <v>9086</v>
      </c>
    </row>
    <row r="46" spans="1:3">
      <c r="A46" s="15" t="s">
        <v>1798</v>
      </c>
      <c r="B46" s="104">
        <v>610</v>
      </c>
      <c r="C46" s="96"/>
    </row>
    <row r="47" spans="1:3">
      <c r="A47" s="190" t="s">
        <v>1692</v>
      </c>
      <c r="B47" s="96"/>
      <c r="C47" s="104">
        <v>38116</v>
      </c>
    </row>
    <row r="48" spans="1:3">
      <c r="A48" s="190" t="s">
        <v>1799</v>
      </c>
      <c r="B48" s="104">
        <v>1400</v>
      </c>
      <c r="C48" s="96"/>
    </row>
    <row r="49" spans="1:3">
      <c r="A49" s="190" t="s">
        <v>1409</v>
      </c>
      <c r="B49" s="96"/>
      <c r="C49" s="104">
        <v>3505</v>
      </c>
    </row>
    <row r="50" spans="1:3">
      <c r="A50" s="190" t="s">
        <v>1800</v>
      </c>
      <c r="B50" s="96"/>
      <c r="C50" s="104">
        <v>14820</v>
      </c>
    </row>
    <row r="51" spans="1:3">
      <c r="A51" s="190" t="s">
        <v>598</v>
      </c>
      <c r="B51" s="96"/>
      <c r="C51" s="104">
        <v>2875</v>
      </c>
    </row>
    <row r="52" spans="1:3">
      <c r="A52" s="15" t="s">
        <v>599</v>
      </c>
      <c r="B52" s="96"/>
      <c r="C52" s="104">
        <v>14100</v>
      </c>
    </row>
    <row r="53" spans="1:3">
      <c r="A53" s="190" t="s">
        <v>600</v>
      </c>
      <c r="B53" s="104">
        <v>105236</v>
      </c>
      <c r="C53" s="96"/>
    </row>
    <row r="54" spans="1:3">
      <c r="A54" s="190" t="s">
        <v>601</v>
      </c>
      <c r="B54" s="96"/>
      <c r="C54" s="104">
        <v>6585</v>
      </c>
    </row>
    <row r="55" spans="1:3">
      <c r="A55" s="15" t="s">
        <v>1801</v>
      </c>
      <c r="B55" s="96"/>
      <c r="C55" s="104">
        <v>8570</v>
      </c>
    </row>
    <row r="56" spans="1:3">
      <c r="A56" s="190" t="s">
        <v>1802</v>
      </c>
      <c r="B56" s="96"/>
      <c r="C56" s="104">
        <v>9180</v>
      </c>
    </row>
    <row r="57" spans="1:3">
      <c r="A57" s="190" t="s">
        <v>1416</v>
      </c>
      <c r="B57" s="96"/>
      <c r="C57" s="104">
        <v>108</v>
      </c>
    </row>
    <row r="58" spans="1:3">
      <c r="A58" s="190" t="s">
        <v>1417</v>
      </c>
      <c r="B58" s="96"/>
      <c r="C58" s="104">
        <v>3400</v>
      </c>
    </row>
    <row r="59" spans="1:3">
      <c r="A59" s="190" t="s">
        <v>603</v>
      </c>
      <c r="B59" s="104">
        <v>20892</v>
      </c>
      <c r="C59" s="96"/>
    </row>
    <row r="60" spans="1:3">
      <c r="A60" s="190" t="s">
        <v>605</v>
      </c>
      <c r="B60" s="96"/>
      <c r="C60" s="104">
        <v>566851</v>
      </c>
    </row>
    <row r="61" spans="1:3">
      <c r="A61" s="190" t="s">
        <v>1803</v>
      </c>
      <c r="B61" s="104">
        <v>14400</v>
      </c>
      <c r="C61" s="96"/>
    </row>
    <row r="62" spans="1:3">
      <c r="A62" s="190" t="s">
        <v>607</v>
      </c>
      <c r="B62" s="96"/>
      <c r="C62" s="104">
        <v>1237</v>
      </c>
    </row>
    <row r="63" spans="1:3">
      <c r="A63" s="15" t="s">
        <v>1804</v>
      </c>
      <c r="B63" s="104">
        <v>1</v>
      </c>
      <c r="C63" s="96"/>
    </row>
    <row r="64" spans="1:3">
      <c r="A64" s="190" t="s">
        <v>609</v>
      </c>
      <c r="B64" s="96"/>
      <c r="C64" s="104">
        <v>5680</v>
      </c>
    </row>
    <row r="65" spans="1:3">
      <c r="A65" s="248" t="s">
        <v>1284</v>
      </c>
      <c r="B65" s="93">
        <v>185523</v>
      </c>
      <c r="C65" s="93">
        <v>3220371</v>
      </c>
    </row>
    <row r="66" spans="1:3">
      <c r="A66" s="190" t="s">
        <v>1283</v>
      </c>
      <c r="B66" s="96"/>
      <c r="C66" s="104">
        <v>163409</v>
      </c>
    </row>
    <row r="67" spans="1:3">
      <c r="A67" s="15" t="s">
        <v>612</v>
      </c>
      <c r="B67" s="96"/>
      <c r="C67" s="104">
        <v>3520</v>
      </c>
    </row>
    <row r="68" spans="1:3">
      <c r="A68" s="15" t="s">
        <v>613</v>
      </c>
      <c r="B68" s="96"/>
      <c r="C68" s="104">
        <v>12347</v>
      </c>
    </row>
    <row r="69" spans="1:3">
      <c r="A69" s="190" t="s">
        <v>1805</v>
      </c>
      <c r="B69" s="96"/>
      <c r="C69" s="104">
        <v>76927</v>
      </c>
    </row>
    <row r="70" spans="1:3">
      <c r="A70" s="190" t="s">
        <v>1806</v>
      </c>
      <c r="B70" s="96"/>
      <c r="C70" s="104">
        <v>70000</v>
      </c>
    </row>
    <row r="71" spans="1:3">
      <c r="A71" s="15" t="s">
        <v>618</v>
      </c>
      <c r="B71" s="96"/>
      <c r="C71" s="104">
        <v>64775</v>
      </c>
    </row>
    <row r="72" spans="1:3">
      <c r="A72" s="15" t="s">
        <v>619</v>
      </c>
      <c r="B72" s="104">
        <v>6860</v>
      </c>
      <c r="C72" s="96"/>
    </row>
    <row r="73" spans="1:3">
      <c r="A73" s="15" t="s">
        <v>621</v>
      </c>
      <c r="B73" s="96"/>
      <c r="C73" s="104">
        <v>58914</v>
      </c>
    </row>
    <row r="74" spans="1:3">
      <c r="A74" s="190" t="s">
        <v>1007</v>
      </c>
      <c r="B74" s="96"/>
      <c r="C74" s="104">
        <v>100</v>
      </c>
    </row>
    <row r="75" spans="1:3">
      <c r="A75" s="190" t="s">
        <v>1009</v>
      </c>
      <c r="B75" s="96"/>
      <c r="C75" s="104">
        <v>9714</v>
      </c>
    </row>
    <row r="76" spans="1:3">
      <c r="A76" s="15" t="s">
        <v>1281</v>
      </c>
      <c r="B76" s="96"/>
      <c r="C76" s="104">
        <v>55975</v>
      </c>
    </row>
    <row r="77" spans="1:3">
      <c r="A77" s="15" t="s">
        <v>1011</v>
      </c>
      <c r="B77" s="104">
        <v>34367</v>
      </c>
      <c r="C77" s="96"/>
    </row>
    <row r="78" spans="1:3">
      <c r="A78" s="15" t="s">
        <v>1012</v>
      </c>
      <c r="B78" s="96"/>
      <c r="C78" s="104">
        <v>14685</v>
      </c>
    </row>
    <row r="79" spans="1:3">
      <c r="A79" s="190" t="s">
        <v>1807</v>
      </c>
      <c r="B79" s="96"/>
      <c r="C79" s="104">
        <v>1042</v>
      </c>
    </row>
    <row r="80" spans="1:3">
      <c r="A80" s="190" t="s">
        <v>636</v>
      </c>
      <c r="B80" s="96"/>
      <c r="C80" s="104">
        <v>6100</v>
      </c>
    </row>
    <row r="81" spans="1:3">
      <c r="A81" s="190" t="s">
        <v>1808</v>
      </c>
      <c r="B81" s="96"/>
      <c r="C81" s="104">
        <v>1800</v>
      </c>
    </row>
    <row r="82" spans="1:3">
      <c r="A82" s="190" t="s">
        <v>1439</v>
      </c>
      <c r="B82" s="96"/>
      <c r="C82" s="104">
        <v>5250</v>
      </c>
    </row>
    <row r="83" spans="1:3">
      <c r="A83" s="190" t="s">
        <v>1440</v>
      </c>
      <c r="B83" s="104">
        <v>21840</v>
      </c>
      <c r="C83" s="96"/>
    </row>
    <row r="84" spans="1:3">
      <c r="A84" s="190" t="s">
        <v>1809</v>
      </c>
      <c r="B84" s="104">
        <v>10143</v>
      </c>
      <c r="C84" s="96"/>
    </row>
    <row r="85" spans="1:3">
      <c r="A85" s="190" t="s">
        <v>649</v>
      </c>
      <c r="B85" s="96"/>
      <c r="C85" s="104">
        <v>575532</v>
      </c>
    </row>
    <row r="86" spans="1:3">
      <c r="A86" s="15" t="s">
        <v>650</v>
      </c>
      <c r="B86" s="96"/>
      <c r="C86" s="104">
        <v>30767</v>
      </c>
    </row>
    <row r="87" spans="1:3">
      <c r="A87" s="190" t="s">
        <v>1442</v>
      </c>
      <c r="B87" s="96"/>
      <c r="C87" s="104">
        <v>62175</v>
      </c>
    </row>
    <row r="88" spans="1:3">
      <c r="A88" s="190" t="s">
        <v>1017</v>
      </c>
      <c r="B88" s="104">
        <v>20918</v>
      </c>
      <c r="C88" s="96"/>
    </row>
    <row r="89" spans="1:3">
      <c r="A89" s="15" t="s">
        <v>653</v>
      </c>
      <c r="B89" s="96"/>
      <c r="C89" s="104">
        <v>30</v>
      </c>
    </row>
    <row r="90" spans="1:3">
      <c r="A90" s="15" t="s">
        <v>1810</v>
      </c>
      <c r="B90" s="96"/>
      <c r="C90" s="104">
        <v>1135</v>
      </c>
    </row>
    <row r="91" spans="1:3">
      <c r="A91" s="15" t="s">
        <v>656</v>
      </c>
      <c r="B91" s="96"/>
      <c r="C91" s="104">
        <v>137590</v>
      </c>
    </row>
    <row r="92" spans="1:3">
      <c r="A92" s="190" t="s">
        <v>1443</v>
      </c>
      <c r="B92" s="96"/>
      <c r="C92" s="104">
        <v>2000</v>
      </c>
    </row>
    <row r="93" spans="1:3">
      <c r="A93" s="190" t="s">
        <v>1444</v>
      </c>
      <c r="B93" s="104">
        <v>25006</v>
      </c>
      <c r="C93" s="96"/>
    </row>
    <row r="94" spans="1:3">
      <c r="A94" s="15" t="s">
        <v>657</v>
      </c>
      <c r="B94" s="96"/>
      <c r="C94" s="104">
        <v>10392</v>
      </c>
    </row>
    <row r="95" spans="1:3">
      <c r="A95" s="15" t="s">
        <v>658</v>
      </c>
      <c r="B95" s="96"/>
      <c r="C95" s="104">
        <v>120</v>
      </c>
    </row>
    <row r="96" spans="1:3">
      <c r="A96" s="15" t="s">
        <v>659</v>
      </c>
      <c r="B96" s="96"/>
      <c r="C96" s="104">
        <v>23973</v>
      </c>
    </row>
    <row r="97" spans="1:3">
      <c r="A97" s="190" t="s">
        <v>1811</v>
      </c>
      <c r="B97" s="96"/>
      <c r="C97" s="104">
        <v>44356</v>
      </c>
    </row>
    <row r="98" spans="1:3">
      <c r="A98" s="190" t="s">
        <v>1448</v>
      </c>
      <c r="B98" s="104">
        <v>10004</v>
      </c>
      <c r="C98" s="96"/>
    </row>
    <row r="99" spans="1:3">
      <c r="A99" s="15" t="s">
        <v>1176</v>
      </c>
      <c r="B99" s="96"/>
      <c r="C99" s="104">
        <v>5829</v>
      </c>
    </row>
    <row r="100" spans="1:3">
      <c r="A100" s="15" t="s">
        <v>664</v>
      </c>
      <c r="B100" s="96"/>
      <c r="C100" s="104">
        <v>11426</v>
      </c>
    </row>
    <row r="101" spans="1:3">
      <c r="A101" s="190" t="s">
        <v>1812</v>
      </c>
      <c r="B101" s="96"/>
      <c r="C101" s="104">
        <v>6068</v>
      </c>
    </row>
    <row r="102" spans="1:3">
      <c r="A102" s="190" t="s">
        <v>665</v>
      </c>
      <c r="B102" s="96"/>
      <c r="C102" s="104">
        <v>122667</v>
      </c>
    </row>
    <row r="103" spans="1:3">
      <c r="A103" s="190" t="s">
        <v>667</v>
      </c>
      <c r="B103" s="96"/>
      <c r="C103" s="104">
        <v>102853</v>
      </c>
    </row>
    <row r="104" spans="1:3">
      <c r="A104" s="190" t="s">
        <v>1813</v>
      </c>
      <c r="B104" s="96"/>
      <c r="C104" s="104">
        <v>6699</v>
      </c>
    </row>
    <row r="105" spans="1:3">
      <c r="A105" s="15" t="s">
        <v>1449</v>
      </c>
      <c r="B105" s="96"/>
      <c r="C105" s="104">
        <v>8781</v>
      </c>
    </row>
    <row r="106" spans="1:3">
      <c r="A106" s="190" t="s">
        <v>1450</v>
      </c>
      <c r="B106" s="96"/>
      <c r="C106" s="104">
        <v>100000</v>
      </c>
    </row>
    <row r="107" spans="1:3">
      <c r="A107" s="15" t="s">
        <v>670</v>
      </c>
      <c r="B107" s="96"/>
      <c r="C107" s="104">
        <v>204827</v>
      </c>
    </row>
    <row r="108" spans="1:3">
      <c r="A108" s="15" t="s">
        <v>1814</v>
      </c>
      <c r="B108" s="96"/>
      <c r="C108" s="104">
        <v>2423</v>
      </c>
    </row>
    <row r="109" spans="1:3">
      <c r="A109" s="15" t="s">
        <v>1452</v>
      </c>
      <c r="B109" s="104">
        <v>1780</v>
      </c>
      <c r="C109" s="96"/>
    </row>
    <row r="110" spans="1:3">
      <c r="A110" s="190" t="s">
        <v>672</v>
      </c>
      <c r="B110" s="96"/>
      <c r="C110" s="104">
        <v>16895</v>
      </c>
    </row>
    <row r="111" spans="1:3">
      <c r="A111" s="15" t="s">
        <v>673</v>
      </c>
      <c r="B111" s="96"/>
      <c r="C111" s="104">
        <v>8364</v>
      </c>
    </row>
    <row r="112" spans="1:3">
      <c r="A112" s="190" t="s">
        <v>1455</v>
      </c>
      <c r="B112" s="96"/>
      <c r="C112" s="104">
        <v>344382</v>
      </c>
    </row>
    <row r="113" spans="1:3">
      <c r="A113" s="15" t="s">
        <v>1815</v>
      </c>
      <c r="B113" s="96"/>
      <c r="C113" s="104">
        <v>200</v>
      </c>
    </row>
    <row r="114" spans="1:3">
      <c r="A114" s="15" t="s">
        <v>677</v>
      </c>
      <c r="B114" s="96"/>
      <c r="C114" s="104">
        <v>191554</v>
      </c>
    </row>
    <row r="115" spans="1:3">
      <c r="A115" s="190" t="s">
        <v>678</v>
      </c>
      <c r="B115" s="96"/>
      <c r="C115" s="104">
        <v>8174</v>
      </c>
    </row>
    <row r="116" spans="1:3">
      <c r="A116" s="190" t="s">
        <v>1816</v>
      </c>
      <c r="B116" s="104">
        <v>40105</v>
      </c>
      <c r="C116" s="96"/>
    </row>
    <row r="117" spans="1:3">
      <c r="A117" s="15" t="s">
        <v>679</v>
      </c>
      <c r="B117" s="96"/>
      <c r="C117" s="104">
        <v>42419</v>
      </c>
    </row>
    <row r="118" spans="1:3">
      <c r="A118" s="190" t="s">
        <v>1817</v>
      </c>
      <c r="B118" s="96"/>
      <c r="C118" s="104">
        <v>15978</v>
      </c>
    </row>
    <row r="119" spans="1:3">
      <c r="A119" s="190" t="s">
        <v>1027</v>
      </c>
      <c r="B119" s="96"/>
      <c r="C119" s="104">
        <v>9225</v>
      </c>
    </row>
    <row r="120" spans="1:3">
      <c r="A120" s="15" t="s">
        <v>681</v>
      </c>
      <c r="B120" s="96"/>
      <c r="C120" s="104">
        <v>2083</v>
      </c>
    </row>
    <row r="121" spans="1:3">
      <c r="A121" s="190" t="s">
        <v>1818</v>
      </c>
      <c r="B121" s="96"/>
      <c r="C121" s="104">
        <v>475</v>
      </c>
    </row>
    <row r="122" spans="1:3">
      <c r="A122" s="15" t="s">
        <v>1819</v>
      </c>
      <c r="B122" s="96"/>
      <c r="C122" s="104">
        <v>12346</v>
      </c>
    </row>
    <row r="123" spans="1:3">
      <c r="A123" s="190" t="s">
        <v>1820</v>
      </c>
      <c r="B123" s="96"/>
      <c r="C123" s="104">
        <v>800</v>
      </c>
    </row>
    <row r="124" spans="1:3">
      <c r="A124" s="190" t="s">
        <v>1277</v>
      </c>
      <c r="B124" s="96"/>
      <c r="C124" s="104">
        <v>13000</v>
      </c>
    </row>
    <row r="125" spans="1:3">
      <c r="A125" s="190" t="s">
        <v>1821</v>
      </c>
      <c r="B125" s="96"/>
      <c r="C125" s="104">
        <v>45900</v>
      </c>
    </row>
    <row r="126" spans="1:3">
      <c r="A126" s="190" t="s">
        <v>696</v>
      </c>
      <c r="B126" s="96"/>
      <c r="C126" s="104">
        <v>36295</v>
      </c>
    </row>
    <row r="127" spans="1:3">
      <c r="A127" s="190" t="s">
        <v>1822</v>
      </c>
      <c r="B127" s="104">
        <v>9250</v>
      </c>
      <c r="C127" s="96"/>
    </row>
    <row r="128" spans="1:3">
      <c r="A128" s="190" t="s">
        <v>1467</v>
      </c>
      <c r="B128" s="96"/>
      <c r="C128" s="104">
        <v>2090</v>
      </c>
    </row>
    <row r="129" spans="1:3">
      <c r="A129" s="190" t="s">
        <v>697</v>
      </c>
      <c r="B129" s="96"/>
      <c r="C129" s="104">
        <v>183864</v>
      </c>
    </row>
    <row r="130" spans="1:3">
      <c r="A130" s="190" t="s">
        <v>1823</v>
      </c>
      <c r="B130" s="104">
        <v>5250</v>
      </c>
      <c r="C130" s="96"/>
    </row>
    <row r="131" spans="1:3">
      <c r="A131" s="190" t="s">
        <v>699</v>
      </c>
      <c r="B131" s="96"/>
      <c r="C131" s="104">
        <v>3696</v>
      </c>
    </row>
    <row r="132" spans="1:3">
      <c r="A132" s="15" t="s">
        <v>700</v>
      </c>
      <c r="B132" s="96"/>
      <c r="C132" s="104">
        <v>272783</v>
      </c>
    </row>
    <row r="133" spans="1:3">
      <c r="A133" s="190" t="s">
        <v>1275</v>
      </c>
      <c r="B133" s="96"/>
      <c r="C133" s="104">
        <v>5500</v>
      </c>
    </row>
    <row r="134" spans="1:3">
      <c r="A134" s="190" t="s">
        <v>1461</v>
      </c>
      <c r="B134" s="96"/>
      <c r="C134" s="104">
        <v>147</v>
      </c>
    </row>
    <row r="135" spans="1:3">
      <c r="A135" s="248" t="s">
        <v>1274</v>
      </c>
      <c r="B135" s="108"/>
      <c r="C135" s="93">
        <v>2071671</v>
      </c>
    </row>
    <row r="136" spans="1:3">
      <c r="A136" s="15" t="s">
        <v>1824</v>
      </c>
      <c r="B136" s="96"/>
      <c r="C136" s="104">
        <v>326000</v>
      </c>
    </row>
    <row r="137" spans="1:3">
      <c r="A137" s="190" t="s">
        <v>1825</v>
      </c>
      <c r="B137" s="96"/>
      <c r="C137" s="104">
        <v>15462</v>
      </c>
    </row>
    <row r="138" spans="1:3">
      <c r="A138" s="15" t="s">
        <v>1826</v>
      </c>
      <c r="B138" s="96"/>
      <c r="C138" s="104">
        <v>8600</v>
      </c>
    </row>
    <row r="139" spans="1:3">
      <c r="A139" s="190" t="s">
        <v>1471</v>
      </c>
      <c r="B139" s="96"/>
      <c r="C139" s="104">
        <v>685</v>
      </c>
    </row>
    <row r="140" spans="1:3">
      <c r="A140" s="190" t="s">
        <v>709</v>
      </c>
      <c r="B140" s="96"/>
      <c r="C140" s="104">
        <v>31224</v>
      </c>
    </row>
    <row r="141" spans="1:3">
      <c r="A141" s="15" t="s">
        <v>1827</v>
      </c>
      <c r="B141" s="96"/>
      <c r="C141" s="104">
        <v>14100</v>
      </c>
    </row>
    <row r="142" spans="1:3">
      <c r="A142" s="15" t="s">
        <v>1474</v>
      </c>
      <c r="B142" s="96"/>
      <c r="C142" s="104">
        <v>7500</v>
      </c>
    </row>
    <row r="143" spans="1:3">
      <c r="A143" s="15" t="s">
        <v>1475</v>
      </c>
      <c r="B143" s="96"/>
      <c r="C143" s="104">
        <v>490060</v>
      </c>
    </row>
    <row r="144" spans="1:3">
      <c r="A144" s="15" t="s">
        <v>1828</v>
      </c>
      <c r="B144" s="96"/>
      <c r="C144" s="104">
        <v>64400</v>
      </c>
    </row>
    <row r="145" spans="1:3">
      <c r="A145" s="190" t="s">
        <v>1829</v>
      </c>
      <c r="B145" s="96"/>
      <c r="C145" s="104">
        <v>14300</v>
      </c>
    </row>
    <row r="146" spans="1:3">
      <c r="A146" s="190" t="s">
        <v>1830</v>
      </c>
      <c r="B146" s="96"/>
      <c r="C146" s="104">
        <v>30500</v>
      </c>
    </row>
    <row r="147" spans="1:3">
      <c r="A147" s="15" t="s">
        <v>711</v>
      </c>
      <c r="B147" s="96"/>
      <c r="C147" s="104">
        <v>10324</v>
      </c>
    </row>
    <row r="148" spans="1:3">
      <c r="A148" s="190" t="s">
        <v>1831</v>
      </c>
      <c r="B148" s="96"/>
      <c r="C148" s="104">
        <v>64741</v>
      </c>
    </row>
    <row r="149" spans="1:3">
      <c r="A149" s="15" t="s">
        <v>1832</v>
      </c>
      <c r="B149" s="96"/>
      <c r="C149" s="104">
        <v>36000</v>
      </c>
    </row>
    <row r="150" spans="1:3">
      <c r="A150" s="190" t="s">
        <v>1271</v>
      </c>
      <c r="B150" s="96"/>
      <c r="C150" s="104">
        <v>33800</v>
      </c>
    </row>
    <row r="151" spans="1:3">
      <c r="A151" s="190" t="s">
        <v>1833</v>
      </c>
      <c r="B151" s="96"/>
      <c r="C151" s="104">
        <v>50500</v>
      </c>
    </row>
    <row r="152" spans="1:3">
      <c r="A152" s="190" t="s">
        <v>1834</v>
      </c>
      <c r="B152" s="96"/>
      <c r="C152" s="104">
        <v>51500</v>
      </c>
    </row>
    <row r="153" spans="1:3">
      <c r="A153" s="190" t="s">
        <v>1835</v>
      </c>
      <c r="B153" s="96"/>
      <c r="C153" s="104">
        <v>244000</v>
      </c>
    </row>
    <row r="154" spans="1:3">
      <c r="A154" s="190" t="s">
        <v>1836</v>
      </c>
      <c r="B154" s="96"/>
      <c r="C154" s="104">
        <v>9635</v>
      </c>
    </row>
    <row r="155" spans="1:3">
      <c r="A155" s="190" t="s">
        <v>1837</v>
      </c>
      <c r="B155" s="96"/>
      <c r="C155" s="104">
        <v>100000</v>
      </c>
    </row>
    <row r="156" spans="1:3">
      <c r="A156" s="15" t="s">
        <v>717</v>
      </c>
      <c r="B156" s="96"/>
      <c r="C156" s="104">
        <v>187000</v>
      </c>
    </row>
    <row r="157" spans="1:3">
      <c r="A157" s="15" t="s">
        <v>718</v>
      </c>
      <c r="B157" s="96"/>
      <c r="C157" s="104">
        <v>37500</v>
      </c>
    </row>
    <row r="158" spans="1:3">
      <c r="A158" s="190" t="s">
        <v>1270</v>
      </c>
      <c r="B158" s="96"/>
      <c r="C158" s="104">
        <v>215200</v>
      </c>
    </row>
    <row r="159" spans="1:3">
      <c r="A159" s="190" t="s">
        <v>720</v>
      </c>
      <c r="B159" s="96"/>
      <c r="C159" s="104">
        <v>27040</v>
      </c>
    </row>
    <row r="160" spans="1:3">
      <c r="A160" s="190" t="s">
        <v>1838</v>
      </c>
      <c r="B160" s="96"/>
      <c r="C160" s="104">
        <v>1600</v>
      </c>
    </row>
    <row r="161" spans="1:5">
      <c r="A161" s="1" t="s">
        <v>39</v>
      </c>
      <c r="B161" s="105">
        <v>57034</v>
      </c>
      <c r="C161" s="109"/>
    </row>
    <row r="162" spans="1:5">
      <c r="A162" s="13" t="s">
        <v>1266</v>
      </c>
      <c r="B162" s="104">
        <v>57034</v>
      </c>
      <c r="C162" s="96"/>
    </row>
    <row r="163" spans="1:5">
      <c r="A163" s="1" t="s">
        <v>96</v>
      </c>
      <c r="B163" s="105">
        <v>25000</v>
      </c>
      <c r="C163" s="109"/>
    </row>
    <row r="164" spans="1:5">
      <c r="A164" s="14" t="s">
        <v>97</v>
      </c>
      <c r="B164" s="110">
        <v>25000</v>
      </c>
      <c r="C164" s="111"/>
    </row>
    <row r="165" spans="1:5">
      <c r="A165" s="15" t="s">
        <v>141</v>
      </c>
      <c r="B165" s="112">
        <v>25000</v>
      </c>
      <c r="C165" s="95"/>
    </row>
    <row r="166" spans="1:5">
      <c r="A166" s="1" t="s">
        <v>100</v>
      </c>
      <c r="B166" s="105">
        <v>1206520.6000000001</v>
      </c>
      <c r="C166" s="105">
        <v>203482839.44999999</v>
      </c>
      <c r="D166" s="100">
        <f>C166-B166</f>
        <v>202276318.84999999</v>
      </c>
      <c r="E166" s="100">
        <f>D166-'HO TB 17-18'!E264</f>
        <v>-4258787.0500000119</v>
      </c>
    </row>
    <row r="167" spans="1:5">
      <c r="A167" s="13" t="s">
        <v>823</v>
      </c>
      <c r="B167" s="96"/>
      <c r="C167" s="104">
        <v>2</v>
      </c>
    </row>
    <row r="168" spans="1:5">
      <c r="A168" s="13" t="s">
        <v>1503</v>
      </c>
      <c r="B168" s="104">
        <v>13064</v>
      </c>
      <c r="C168" s="96"/>
    </row>
    <row r="169" spans="1:5">
      <c r="A169" s="13" t="s">
        <v>1839</v>
      </c>
      <c r="B169" s="104">
        <v>41401</v>
      </c>
      <c r="C169" s="96"/>
    </row>
    <row r="170" spans="1:5">
      <c r="A170" s="13" t="s">
        <v>826</v>
      </c>
      <c r="B170" s="104">
        <v>646461.4</v>
      </c>
      <c r="C170" s="96"/>
    </row>
    <row r="171" spans="1:5">
      <c r="A171" s="13" t="s">
        <v>1505</v>
      </c>
      <c r="B171" s="104">
        <v>5875</v>
      </c>
      <c r="C171" s="96"/>
    </row>
    <row r="172" spans="1:5">
      <c r="A172" s="13" t="s">
        <v>833</v>
      </c>
      <c r="B172" s="104">
        <v>6924</v>
      </c>
      <c r="C172" s="96"/>
    </row>
    <row r="173" spans="1:5">
      <c r="A173" s="13" t="s">
        <v>1506</v>
      </c>
      <c r="B173" s="96"/>
      <c r="C173" s="104">
        <v>41010</v>
      </c>
    </row>
    <row r="174" spans="1:5">
      <c r="A174" s="13" t="s">
        <v>1840</v>
      </c>
      <c r="B174" s="104">
        <v>92412</v>
      </c>
      <c r="C174" s="96"/>
    </row>
    <row r="175" spans="1:5">
      <c r="A175" s="13" t="s">
        <v>1841</v>
      </c>
      <c r="B175" s="104">
        <v>141726</v>
      </c>
      <c r="C175" s="96"/>
    </row>
    <row r="176" spans="1:5">
      <c r="A176" s="13" t="s">
        <v>1516</v>
      </c>
      <c r="B176" s="96"/>
      <c r="C176" s="104">
        <v>60</v>
      </c>
    </row>
    <row r="177" spans="1:3">
      <c r="A177" s="13" t="s">
        <v>1234</v>
      </c>
      <c r="B177" s="104">
        <v>3752</v>
      </c>
      <c r="C177" s="96"/>
    </row>
    <row r="178" spans="1:3">
      <c r="A178" s="13" t="s">
        <v>1517</v>
      </c>
      <c r="B178" s="104">
        <v>62680</v>
      </c>
      <c r="C178" s="96"/>
    </row>
    <row r="179" spans="1:3">
      <c r="A179" s="13" t="s">
        <v>1240</v>
      </c>
      <c r="B179" s="104">
        <v>15054</v>
      </c>
      <c r="C179" s="96"/>
    </row>
    <row r="180" spans="1:3">
      <c r="A180" s="13" t="s">
        <v>856</v>
      </c>
      <c r="B180" s="96"/>
      <c r="C180" s="104">
        <v>1779544</v>
      </c>
    </row>
    <row r="181" spans="1:3">
      <c r="A181" s="13" t="s">
        <v>857</v>
      </c>
      <c r="B181" s="96"/>
      <c r="C181" s="104">
        <v>135692717</v>
      </c>
    </row>
    <row r="182" spans="1:3">
      <c r="A182" s="13" t="s">
        <v>858</v>
      </c>
      <c r="B182" s="96"/>
      <c r="C182" s="104">
        <v>65969506.450000003</v>
      </c>
    </row>
    <row r="183" spans="1:3">
      <c r="A183" s="13" t="s">
        <v>1528</v>
      </c>
      <c r="B183" s="104">
        <v>4862</v>
      </c>
      <c r="C183" s="96"/>
    </row>
    <row r="184" spans="1:3">
      <c r="A184" s="13" t="s">
        <v>1237</v>
      </c>
      <c r="B184" s="104">
        <v>69540</v>
      </c>
      <c r="C184" s="96"/>
    </row>
    <row r="185" spans="1:3">
      <c r="A185" s="13" t="s">
        <v>863</v>
      </c>
      <c r="B185" s="104">
        <v>6023</v>
      </c>
      <c r="C185" s="96"/>
    </row>
    <row r="186" spans="1:3">
      <c r="A186" s="13" t="s">
        <v>1089</v>
      </c>
      <c r="B186" s="104">
        <v>40029.199999999997</v>
      </c>
      <c r="C186" s="96"/>
    </row>
    <row r="187" spans="1:3">
      <c r="A187" s="13" t="s">
        <v>1236</v>
      </c>
      <c r="B187" s="104">
        <v>38444</v>
      </c>
      <c r="C187" s="96"/>
    </row>
    <row r="188" spans="1:3">
      <c r="A188" s="13" t="s">
        <v>1530</v>
      </c>
      <c r="B188" s="104">
        <v>18273</v>
      </c>
      <c r="C188" s="96"/>
    </row>
    <row r="189" spans="1:3">
      <c r="A189" s="1" t="s">
        <v>104</v>
      </c>
      <c r="B189" s="105">
        <v>8719064</v>
      </c>
      <c r="C189" s="109"/>
    </row>
    <row r="190" spans="1:3">
      <c r="A190" s="13" t="s">
        <v>115</v>
      </c>
      <c r="B190" s="104">
        <v>135500</v>
      </c>
      <c r="C190" s="96"/>
    </row>
    <row r="191" spans="1:3">
      <c r="A191" s="13" t="s">
        <v>116</v>
      </c>
      <c r="B191" s="104">
        <v>279510</v>
      </c>
      <c r="C191" s="96"/>
    </row>
    <row r="192" spans="1:3">
      <c r="A192" s="13" t="s">
        <v>117</v>
      </c>
      <c r="B192" s="104">
        <v>32000</v>
      </c>
      <c r="C192" s="96"/>
    </row>
    <row r="193" spans="1:3">
      <c r="A193" s="13" t="s">
        <v>118</v>
      </c>
      <c r="B193" s="104">
        <v>17000</v>
      </c>
      <c r="C193" s="96"/>
    </row>
    <row r="194" spans="1:3">
      <c r="A194" s="13" t="s">
        <v>119</v>
      </c>
      <c r="B194" s="104">
        <v>377663</v>
      </c>
      <c r="C194" s="96"/>
    </row>
    <row r="195" spans="1:3">
      <c r="A195" s="13" t="s">
        <v>120</v>
      </c>
      <c r="B195" s="104">
        <v>719060</v>
      </c>
      <c r="C195" s="96"/>
    </row>
    <row r="196" spans="1:3">
      <c r="A196" s="13" t="s">
        <v>1231</v>
      </c>
      <c r="B196" s="104">
        <v>10660</v>
      </c>
      <c r="C196" s="96"/>
    </row>
    <row r="197" spans="1:3">
      <c r="A197" s="13" t="s">
        <v>1230</v>
      </c>
      <c r="B197" s="104">
        <v>143985</v>
      </c>
      <c r="C197" s="96"/>
    </row>
    <row r="198" spans="1:3">
      <c r="A198" s="13" t="s">
        <v>1228</v>
      </c>
      <c r="B198" s="104">
        <v>45537</v>
      </c>
      <c r="C198" s="96"/>
    </row>
    <row r="199" spans="1:3">
      <c r="A199" s="13" t="s">
        <v>121</v>
      </c>
      <c r="B199" s="104">
        <v>473320</v>
      </c>
      <c r="C199" s="96"/>
    </row>
    <row r="200" spans="1:3">
      <c r="A200" s="13" t="s">
        <v>1226</v>
      </c>
      <c r="B200" s="104">
        <v>172599</v>
      </c>
      <c r="C200" s="96"/>
    </row>
    <row r="201" spans="1:3">
      <c r="A201" s="16" t="s">
        <v>112</v>
      </c>
      <c r="B201" s="104">
        <v>1161700</v>
      </c>
      <c r="C201" s="96"/>
    </row>
    <row r="202" spans="1:3">
      <c r="A202" s="16" t="s">
        <v>122</v>
      </c>
      <c r="B202" s="104">
        <v>1005100</v>
      </c>
      <c r="C202" s="96"/>
    </row>
    <row r="203" spans="1:3">
      <c r="A203" s="13" t="s">
        <v>123</v>
      </c>
      <c r="B203" s="104">
        <v>2922377</v>
      </c>
      <c r="C203" s="96"/>
    </row>
    <row r="204" spans="1:3">
      <c r="A204" s="16" t="s">
        <v>1842</v>
      </c>
      <c r="B204" s="104">
        <v>140135</v>
      </c>
      <c r="C204" s="96"/>
    </row>
    <row r="205" spans="1:3">
      <c r="A205" s="13" t="s">
        <v>124</v>
      </c>
      <c r="B205" s="104">
        <v>4245</v>
      </c>
      <c r="C205" s="96"/>
    </row>
    <row r="206" spans="1:3">
      <c r="A206" s="13" t="s">
        <v>1843</v>
      </c>
      <c r="B206" s="104">
        <v>1078673</v>
      </c>
      <c r="C206" s="96"/>
    </row>
    <row r="207" spans="1:3">
      <c r="A207" s="1" t="s">
        <v>160</v>
      </c>
      <c r="B207" s="105">
        <v>5571982</v>
      </c>
      <c r="C207" s="109"/>
    </row>
    <row r="208" spans="1:3">
      <c r="A208" s="14" t="s">
        <v>161</v>
      </c>
      <c r="B208" s="110">
        <v>5571982</v>
      </c>
      <c r="C208" s="111"/>
    </row>
    <row r="209" spans="1:3">
      <c r="A209" s="15" t="s">
        <v>1317</v>
      </c>
      <c r="B209" s="112">
        <v>1432661</v>
      </c>
      <c r="C209" s="95"/>
    </row>
    <row r="210" spans="1:3">
      <c r="A210" s="15" t="s">
        <v>173</v>
      </c>
      <c r="B210" s="112">
        <v>544994</v>
      </c>
      <c r="C210" s="95"/>
    </row>
    <row r="211" spans="1:3">
      <c r="A211" s="15" t="s">
        <v>174</v>
      </c>
      <c r="B211" s="112">
        <v>459499</v>
      </c>
      <c r="C211" s="95"/>
    </row>
    <row r="212" spans="1:3">
      <c r="A212" s="17" t="s">
        <v>1319</v>
      </c>
      <c r="B212" s="112">
        <v>74604</v>
      </c>
      <c r="C212" s="95"/>
    </row>
    <row r="213" spans="1:3">
      <c r="A213" s="15" t="s">
        <v>175</v>
      </c>
      <c r="B213" s="112">
        <v>2573328</v>
      </c>
      <c r="C213" s="95"/>
    </row>
    <row r="214" spans="1:3">
      <c r="A214" s="17" t="s">
        <v>176</v>
      </c>
      <c r="B214" s="112">
        <v>7000</v>
      </c>
      <c r="C214" s="95"/>
    </row>
    <row r="215" spans="1:3">
      <c r="A215" s="17" t="s">
        <v>177</v>
      </c>
      <c r="B215" s="112">
        <v>193592</v>
      </c>
      <c r="C215" s="95"/>
    </row>
    <row r="216" spans="1:3">
      <c r="A216" s="17" t="s">
        <v>1322</v>
      </c>
      <c r="B216" s="112">
        <v>183264</v>
      </c>
      <c r="C216" s="95"/>
    </row>
    <row r="217" spans="1:3">
      <c r="A217" s="17" t="s">
        <v>165</v>
      </c>
      <c r="B217" s="112">
        <v>103040</v>
      </c>
      <c r="C217" s="95"/>
    </row>
    <row r="218" spans="1:3">
      <c r="A218" s="1" t="s">
        <v>192</v>
      </c>
      <c r="B218" s="105">
        <v>30519</v>
      </c>
      <c r="C218" s="109"/>
    </row>
    <row r="219" spans="1:3">
      <c r="A219" s="13" t="s">
        <v>203</v>
      </c>
      <c r="B219" s="104">
        <v>30519</v>
      </c>
      <c r="C219" s="96"/>
    </row>
    <row r="220" spans="1:3">
      <c r="A220" s="2" t="s">
        <v>74</v>
      </c>
      <c r="B220" s="112">
        <v>201203933.38</v>
      </c>
      <c r="C220" s="95"/>
    </row>
    <row r="221" spans="1:3">
      <c r="A221" s="19" t="s">
        <v>75</v>
      </c>
      <c r="B221" s="103">
        <v>217145854.97999999</v>
      </c>
      <c r="C221" s="103">
        <v>217145854.97999999</v>
      </c>
    </row>
  </sheetData>
  <mergeCells count="6">
    <mergeCell ref="B6:C6"/>
    <mergeCell ref="A1:C1"/>
    <mergeCell ref="A2:C2"/>
    <mergeCell ref="A3:C3"/>
    <mergeCell ref="B4:C4"/>
    <mergeCell ref="B5:C5"/>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2:T34"/>
  <sheetViews>
    <sheetView topLeftCell="A4" workbookViewId="0">
      <selection activeCell="A15" sqref="A15"/>
    </sheetView>
  </sheetViews>
  <sheetFormatPr defaultColWidth="8.5546875" defaultRowHeight="12"/>
  <cols>
    <col min="1" max="1" width="20.44140625" style="584" bestFit="1" customWidth="1"/>
    <col min="2" max="2" width="26.5546875" style="584" customWidth="1"/>
    <col min="3" max="3" width="18" style="585" bestFit="1" customWidth="1"/>
    <col min="4" max="4" width="10.44140625" style="584" customWidth="1"/>
    <col min="5" max="5" width="11.44140625" style="585" bestFit="1" customWidth="1"/>
    <col min="6" max="6" width="14.44140625" style="584" bestFit="1" customWidth="1"/>
    <col min="7" max="7" width="8.5546875" style="584" customWidth="1"/>
    <col min="8" max="8" width="11.5546875" style="584" customWidth="1"/>
    <col min="9" max="9" width="13.44140625" style="584" customWidth="1"/>
    <col min="10" max="10" width="14.44140625" style="584" bestFit="1" customWidth="1"/>
    <col min="11" max="11" width="15" style="585" customWidth="1"/>
    <col min="12" max="14" width="14.5546875" style="585" customWidth="1"/>
    <col min="15" max="16" width="8.5546875" style="584"/>
    <col min="17" max="17" width="34.44140625" style="584" bestFit="1" customWidth="1"/>
    <col min="18" max="19" width="0" style="584" hidden="1" customWidth="1"/>
    <col min="20" max="16384" width="8.5546875" style="584"/>
  </cols>
  <sheetData>
    <row r="2" spans="1:20">
      <c r="A2" s="583"/>
    </row>
    <row r="3" spans="1:20">
      <c r="A3" s="3397" t="s">
        <v>2388</v>
      </c>
      <c r="B3" s="3397"/>
      <c r="C3" s="3397"/>
      <c r="D3" s="3397"/>
      <c r="E3" s="3397"/>
      <c r="F3" s="3397"/>
      <c r="G3" s="3397"/>
      <c r="H3" s="3397"/>
      <c r="I3" s="3397"/>
      <c r="J3" s="3397"/>
      <c r="K3" s="3397"/>
      <c r="L3" s="3397"/>
      <c r="M3" s="586"/>
      <c r="N3" s="586"/>
    </row>
    <row r="4" spans="1:20">
      <c r="A4" s="3398" t="s">
        <v>2393</v>
      </c>
      <c r="B4" s="3398"/>
      <c r="C4" s="3398"/>
      <c r="D4" s="3398"/>
      <c r="E4" s="3398"/>
      <c r="F4" s="3398"/>
      <c r="G4" s="3398"/>
      <c r="H4" s="3398"/>
      <c r="I4" s="3398"/>
      <c r="J4" s="3398"/>
      <c r="K4" s="3398"/>
      <c r="L4" s="3398"/>
      <c r="M4" s="587"/>
      <c r="N4" s="587"/>
    </row>
    <row r="5" spans="1:20">
      <c r="A5" s="588">
        <v>43555</v>
      </c>
      <c r="B5" s="589"/>
      <c r="C5" s="590"/>
      <c r="D5" s="589"/>
      <c r="E5" s="590"/>
      <c r="F5" s="591"/>
      <c r="G5" s="589"/>
      <c r="H5" s="589"/>
      <c r="I5" s="592"/>
      <c r="J5" s="593"/>
      <c r="K5" s="594"/>
      <c r="L5" s="595">
        <v>365</v>
      </c>
      <c r="M5" s="596"/>
      <c r="N5" s="596"/>
    </row>
    <row r="6" spans="1:20" ht="36">
      <c r="A6" s="597" t="s">
        <v>2370</v>
      </c>
      <c r="B6" s="597" t="s">
        <v>2371</v>
      </c>
      <c r="C6" s="598" t="s">
        <v>2372</v>
      </c>
      <c r="D6" s="597" t="s">
        <v>2373</v>
      </c>
      <c r="E6" s="599" t="s">
        <v>2374</v>
      </c>
      <c r="F6" s="600" t="s">
        <v>2375</v>
      </c>
      <c r="G6" s="597" t="s">
        <v>2376</v>
      </c>
      <c r="H6" s="597" t="s">
        <v>2377</v>
      </c>
      <c r="I6" s="600" t="s">
        <v>2392</v>
      </c>
      <c r="J6" s="600" t="s">
        <v>2391</v>
      </c>
      <c r="K6" s="601" t="s">
        <v>2390</v>
      </c>
      <c r="L6" s="601" t="s">
        <v>2378</v>
      </c>
      <c r="M6" s="602"/>
      <c r="N6" s="602"/>
    </row>
    <row r="7" spans="1:20">
      <c r="A7" s="603" t="s">
        <v>1131</v>
      </c>
      <c r="B7" s="593"/>
      <c r="C7" s="604"/>
      <c r="D7" s="593"/>
      <c r="E7" s="604"/>
      <c r="F7" s="593"/>
      <c r="G7" s="593"/>
      <c r="H7" s="619"/>
      <c r="I7" s="593"/>
      <c r="J7" s="622"/>
      <c r="K7" s="604"/>
      <c r="L7" s="604"/>
      <c r="M7" s="605"/>
      <c r="N7" s="605"/>
      <c r="S7" s="615"/>
      <c r="T7" s="615"/>
    </row>
    <row r="8" spans="1:20">
      <c r="A8" s="624">
        <v>43191</v>
      </c>
      <c r="B8" s="625" t="s">
        <v>2381</v>
      </c>
      <c r="C8" s="626">
        <v>186715.8</v>
      </c>
      <c r="D8" s="625">
        <v>3</v>
      </c>
      <c r="E8" s="626">
        <v>0</v>
      </c>
      <c r="F8" s="627">
        <f>+C8-E8</f>
        <v>186715.8</v>
      </c>
      <c r="G8" s="628">
        <f>+(F8/D8)/C8*100</f>
        <v>33.333333333333336</v>
      </c>
      <c r="H8" s="629">
        <f>+$A$5-A8</f>
        <v>364</v>
      </c>
      <c r="I8" s="627">
        <f>+(C8*G8*H8/$L$5)/100</f>
        <v>62068.083287671237</v>
      </c>
      <c r="J8" s="630">
        <f>+C8-I8</f>
        <v>124647.71671232875</v>
      </c>
      <c r="K8" s="604">
        <v>2732869</v>
      </c>
      <c r="L8" s="604">
        <f>+I8-K8</f>
        <v>-2670800.9167123288</v>
      </c>
      <c r="M8" s="605">
        <f>C8*G8/100</f>
        <v>62238.6</v>
      </c>
      <c r="N8" s="605"/>
      <c r="S8" s="615"/>
      <c r="T8" s="615"/>
    </row>
    <row r="9" spans="1:20">
      <c r="A9" s="606">
        <v>43218</v>
      </c>
      <c r="B9" s="593" t="s">
        <v>2381</v>
      </c>
      <c r="C9" s="604">
        <v>30000</v>
      </c>
      <c r="D9" s="593">
        <v>3</v>
      </c>
      <c r="E9" s="604">
        <f t="shared" ref="E9:E22" si="0">ROUND(+C9*0.05,1)</f>
        <v>1500</v>
      </c>
      <c r="F9" s="607">
        <f t="shared" ref="F9:F22" si="1">+C9-E9</f>
        <v>28500</v>
      </c>
      <c r="G9" s="608">
        <f t="shared" ref="G9:G22" si="2">+(F9/D9)/C9*100</f>
        <v>31.666666666666664</v>
      </c>
      <c r="H9" s="619">
        <f t="shared" ref="H9:H22" si="3">+$A$5-A9</f>
        <v>337</v>
      </c>
      <c r="I9" s="607">
        <f>+(F9*G9*H9/$L$5)/100</f>
        <v>8332.6712328767098</v>
      </c>
      <c r="J9" s="620">
        <f t="shared" ref="J9:J22" si="4">+C9-I9</f>
        <v>21667.32876712329</v>
      </c>
      <c r="K9" s="604"/>
      <c r="L9" s="604"/>
      <c r="M9" s="605"/>
      <c r="N9" s="605"/>
      <c r="S9" s="615"/>
      <c r="T9" s="615"/>
    </row>
    <row r="10" spans="1:20">
      <c r="A10" s="606">
        <v>43218</v>
      </c>
      <c r="B10" s="593" t="s">
        <v>2381</v>
      </c>
      <c r="C10" s="604">
        <v>5000</v>
      </c>
      <c r="D10" s="593">
        <v>3</v>
      </c>
      <c r="E10" s="604">
        <f t="shared" si="0"/>
        <v>250</v>
      </c>
      <c r="F10" s="607">
        <f t="shared" si="1"/>
        <v>4750</v>
      </c>
      <c r="G10" s="608">
        <f t="shared" si="2"/>
        <v>31.666666666666664</v>
      </c>
      <c r="H10" s="619">
        <f t="shared" si="3"/>
        <v>337</v>
      </c>
      <c r="I10" s="607">
        <f t="shared" ref="I10:I22" si="5">+(F10*G10*H10/$L$5)/100</f>
        <v>1388.7785388127854</v>
      </c>
      <c r="J10" s="620">
        <f t="shared" si="4"/>
        <v>3611.2214611872146</v>
      </c>
      <c r="K10" s="604"/>
      <c r="L10" s="604"/>
      <c r="M10" s="605"/>
      <c r="N10" s="605"/>
      <c r="S10" s="615"/>
      <c r="T10" s="615"/>
    </row>
    <row r="11" spans="1:20">
      <c r="A11" s="606">
        <v>43258</v>
      </c>
      <c r="B11" s="593" t="s">
        <v>2381</v>
      </c>
      <c r="C11" s="604">
        <v>62304</v>
      </c>
      <c r="D11" s="593">
        <v>3</v>
      </c>
      <c r="E11" s="604">
        <f t="shared" si="0"/>
        <v>3115.2</v>
      </c>
      <c r="F11" s="607">
        <f t="shared" si="1"/>
        <v>59188.800000000003</v>
      </c>
      <c r="G11" s="608">
        <f t="shared" si="2"/>
        <v>31.666666666666671</v>
      </c>
      <c r="H11" s="619">
        <f t="shared" si="3"/>
        <v>297</v>
      </c>
      <c r="I11" s="607">
        <f t="shared" si="5"/>
        <v>15251.251068493153</v>
      </c>
      <c r="J11" s="620">
        <f t="shared" si="4"/>
        <v>47052.748931506845</v>
      </c>
      <c r="K11" s="604"/>
      <c r="L11" s="604"/>
      <c r="M11" s="605"/>
      <c r="N11" s="605"/>
      <c r="S11" s="615"/>
      <c r="T11" s="615"/>
    </row>
    <row r="12" spans="1:20">
      <c r="A12" s="606">
        <v>43262</v>
      </c>
      <c r="B12" s="593" t="s">
        <v>2381</v>
      </c>
      <c r="C12" s="604">
        <v>15500</v>
      </c>
      <c r="D12" s="593">
        <v>3</v>
      </c>
      <c r="E12" s="604">
        <f t="shared" si="0"/>
        <v>775</v>
      </c>
      <c r="F12" s="607">
        <f t="shared" si="1"/>
        <v>14725</v>
      </c>
      <c r="G12" s="608">
        <f t="shared" si="2"/>
        <v>31.666666666666664</v>
      </c>
      <c r="H12" s="619">
        <f t="shared" si="3"/>
        <v>293</v>
      </c>
      <c r="I12" s="607">
        <f t="shared" si="5"/>
        <v>3743.1084474885843</v>
      </c>
      <c r="J12" s="620">
        <f t="shared" si="4"/>
        <v>11756.891552511415</v>
      </c>
      <c r="K12" s="604"/>
      <c r="L12" s="604"/>
      <c r="M12" s="605"/>
      <c r="N12" s="605"/>
      <c r="S12" s="615"/>
      <c r="T12" s="615"/>
    </row>
    <row r="13" spans="1:20">
      <c r="A13" s="606">
        <v>43263</v>
      </c>
      <c r="B13" s="593" t="s">
        <v>2381</v>
      </c>
      <c r="C13" s="604">
        <v>104200</v>
      </c>
      <c r="D13" s="593">
        <v>3</v>
      </c>
      <c r="E13" s="604">
        <f t="shared" si="0"/>
        <v>5210</v>
      </c>
      <c r="F13" s="607">
        <f t="shared" si="1"/>
        <v>98990</v>
      </c>
      <c r="G13" s="608">
        <f t="shared" si="2"/>
        <v>31.666666666666664</v>
      </c>
      <c r="H13" s="619">
        <f t="shared" si="3"/>
        <v>292</v>
      </c>
      <c r="I13" s="607">
        <f t="shared" si="5"/>
        <v>25077.466666666664</v>
      </c>
      <c r="J13" s="620">
        <f t="shared" si="4"/>
        <v>79122.53333333334</v>
      </c>
      <c r="K13" s="604"/>
      <c r="L13" s="604"/>
      <c r="M13" s="605"/>
      <c r="N13" s="605"/>
      <c r="S13" s="615"/>
      <c r="T13" s="615"/>
    </row>
    <row r="14" spans="1:20">
      <c r="A14" s="606">
        <v>43284</v>
      </c>
      <c r="B14" s="593" t="s">
        <v>2381</v>
      </c>
      <c r="C14" s="604">
        <v>79000</v>
      </c>
      <c r="D14" s="593">
        <v>3</v>
      </c>
      <c r="E14" s="604">
        <f t="shared" si="0"/>
        <v>3950</v>
      </c>
      <c r="F14" s="607">
        <f t="shared" si="1"/>
        <v>75050</v>
      </c>
      <c r="G14" s="608">
        <f t="shared" si="2"/>
        <v>31.666666666666671</v>
      </c>
      <c r="H14" s="619">
        <f t="shared" si="3"/>
        <v>271</v>
      </c>
      <c r="I14" s="607">
        <f t="shared" si="5"/>
        <v>17645.317351598173</v>
      </c>
      <c r="J14" s="620">
        <f t="shared" si="4"/>
        <v>61354.682648401824</v>
      </c>
      <c r="K14" s="604"/>
      <c r="L14" s="604"/>
      <c r="M14" s="605"/>
      <c r="N14" s="605"/>
      <c r="S14" s="615"/>
      <c r="T14" s="615"/>
    </row>
    <row r="15" spans="1:20">
      <c r="A15" s="606">
        <v>43298</v>
      </c>
      <c r="B15" s="593" t="s">
        <v>2381</v>
      </c>
      <c r="C15" s="604">
        <v>39490</v>
      </c>
      <c r="D15" s="593">
        <v>3</v>
      </c>
      <c r="E15" s="604">
        <f t="shared" si="0"/>
        <v>1974.5</v>
      </c>
      <c r="F15" s="607">
        <f t="shared" si="1"/>
        <v>37515.5</v>
      </c>
      <c r="G15" s="608">
        <f t="shared" si="2"/>
        <v>31.666666666666664</v>
      </c>
      <c r="H15" s="619">
        <f t="shared" si="3"/>
        <v>257</v>
      </c>
      <c r="I15" s="607">
        <f t="shared" si="5"/>
        <v>8364.757374429224</v>
      </c>
      <c r="J15" s="620">
        <f t="shared" si="4"/>
        <v>31125.242625570776</v>
      </c>
      <c r="K15" s="604"/>
      <c r="L15" s="604"/>
      <c r="M15" s="605"/>
      <c r="N15" s="605"/>
      <c r="S15" s="615"/>
      <c r="T15" s="615"/>
    </row>
    <row r="16" spans="1:20">
      <c r="A16" s="606">
        <v>43372</v>
      </c>
      <c r="B16" s="593" t="s">
        <v>2381</v>
      </c>
      <c r="C16" s="604">
        <v>94400</v>
      </c>
      <c r="D16" s="593">
        <v>3</v>
      </c>
      <c r="E16" s="604">
        <f t="shared" si="0"/>
        <v>4720</v>
      </c>
      <c r="F16" s="607">
        <f t="shared" si="1"/>
        <v>89680</v>
      </c>
      <c r="G16" s="608">
        <f t="shared" si="2"/>
        <v>31.666666666666664</v>
      </c>
      <c r="H16" s="619">
        <f t="shared" si="3"/>
        <v>183</v>
      </c>
      <c r="I16" s="607">
        <f t="shared" si="5"/>
        <v>14238.235616438356</v>
      </c>
      <c r="J16" s="620">
        <f t="shared" si="4"/>
        <v>80161.764383561647</v>
      </c>
      <c r="K16" s="604"/>
      <c r="L16" s="604"/>
      <c r="M16" s="605"/>
      <c r="N16" s="605"/>
      <c r="S16" s="615"/>
      <c r="T16" s="615"/>
    </row>
    <row r="17" spans="1:20">
      <c r="A17" s="606">
        <v>43372</v>
      </c>
      <c r="B17" s="593" t="s">
        <v>2381</v>
      </c>
      <c r="C17" s="604">
        <v>20000</v>
      </c>
      <c r="D17" s="593">
        <v>3</v>
      </c>
      <c r="E17" s="604">
        <f t="shared" si="0"/>
        <v>1000</v>
      </c>
      <c r="F17" s="607">
        <f t="shared" si="1"/>
        <v>19000</v>
      </c>
      <c r="G17" s="608">
        <f t="shared" si="2"/>
        <v>31.666666666666664</v>
      </c>
      <c r="H17" s="619">
        <f t="shared" si="3"/>
        <v>183</v>
      </c>
      <c r="I17" s="607">
        <f t="shared" si="5"/>
        <v>3016.5753424657532</v>
      </c>
      <c r="J17" s="620">
        <f t="shared" si="4"/>
        <v>16983.424657534248</v>
      </c>
      <c r="K17" s="604"/>
      <c r="L17" s="604"/>
      <c r="M17" s="605"/>
      <c r="N17" s="605"/>
      <c r="S17" s="615"/>
      <c r="T17" s="615"/>
    </row>
    <row r="18" spans="1:20">
      <c r="A18" s="606">
        <v>43434</v>
      </c>
      <c r="B18" s="593" t="s">
        <v>2381</v>
      </c>
      <c r="C18" s="604">
        <v>15694</v>
      </c>
      <c r="D18" s="593">
        <v>3</v>
      </c>
      <c r="E18" s="604">
        <f t="shared" si="0"/>
        <v>784.7</v>
      </c>
      <c r="F18" s="607">
        <f t="shared" si="1"/>
        <v>14909.3</v>
      </c>
      <c r="G18" s="608">
        <f t="shared" si="2"/>
        <v>31.666666666666664</v>
      </c>
      <c r="H18" s="619">
        <f t="shared" si="3"/>
        <v>121</v>
      </c>
      <c r="I18" s="607">
        <f t="shared" si="5"/>
        <v>1565.1361050228306</v>
      </c>
      <c r="J18" s="620">
        <f t="shared" si="4"/>
        <v>14128.86389497717</v>
      </c>
      <c r="K18" s="604"/>
      <c r="L18" s="604"/>
      <c r="M18" s="605"/>
      <c r="N18" s="605"/>
      <c r="S18" s="615"/>
      <c r="T18" s="615"/>
    </row>
    <row r="19" spans="1:20">
      <c r="A19" s="606">
        <v>43514</v>
      </c>
      <c r="B19" s="593" t="s">
        <v>2381</v>
      </c>
      <c r="C19" s="604">
        <v>132042</v>
      </c>
      <c r="D19" s="593">
        <v>3</v>
      </c>
      <c r="E19" s="604">
        <f t="shared" si="0"/>
        <v>6602.1</v>
      </c>
      <c r="F19" s="607">
        <f t="shared" si="1"/>
        <v>125439.9</v>
      </c>
      <c r="G19" s="608">
        <f t="shared" si="2"/>
        <v>31.666666666666664</v>
      </c>
      <c r="H19" s="619">
        <f t="shared" si="3"/>
        <v>41</v>
      </c>
      <c r="I19" s="607">
        <f t="shared" si="5"/>
        <v>4461.9946164383555</v>
      </c>
      <c r="J19" s="620">
        <f t="shared" si="4"/>
        <v>127580.00538356164</v>
      </c>
      <c r="K19" s="604"/>
      <c r="L19" s="604"/>
      <c r="M19" s="605"/>
      <c r="N19" s="605"/>
      <c r="S19" s="615"/>
      <c r="T19" s="615"/>
    </row>
    <row r="20" spans="1:20">
      <c r="A20" s="606">
        <v>43524</v>
      </c>
      <c r="B20" s="593" t="s">
        <v>2381</v>
      </c>
      <c r="C20" s="604">
        <v>3400</v>
      </c>
      <c r="D20" s="593">
        <v>3</v>
      </c>
      <c r="E20" s="604">
        <f t="shared" si="0"/>
        <v>170</v>
      </c>
      <c r="F20" s="607">
        <f t="shared" si="1"/>
        <v>3230</v>
      </c>
      <c r="G20" s="608">
        <f t="shared" si="2"/>
        <v>31.666666666666671</v>
      </c>
      <c r="H20" s="619">
        <f t="shared" si="3"/>
        <v>31</v>
      </c>
      <c r="I20" s="607">
        <f t="shared" si="5"/>
        <v>86.870776255707767</v>
      </c>
      <c r="J20" s="620">
        <f t="shared" si="4"/>
        <v>3313.1292237442922</v>
      </c>
      <c r="K20" s="604"/>
      <c r="L20" s="604"/>
      <c r="M20" s="605"/>
      <c r="N20" s="605"/>
      <c r="S20" s="615"/>
      <c r="T20" s="615"/>
    </row>
    <row r="21" spans="1:20">
      <c r="A21" s="606">
        <v>43526</v>
      </c>
      <c r="B21" s="593" t="s">
        <v>2381</v>
      </c>
      <c r="C21" s="604">
        <v>4000</v>
      </c>
      <c r="D21" s="593">
        <v>3</v>
      </c>
      <c r="E21" s="604">
        <f t="shared" si="0"/>
        <v>200</v>
      </c>
      <c r="F21" s="607">
        <f t="shared" si="1"/>
        <v>3800</v>
      </c>
      <c r="G21" s="608">
        <f t="shared" si="2"/>
        <v>31.666666666666671</v>
      </c>
      <c r="H21" s="619">
        <f t="shared" si="3"/>
        <v>29</v>
      </c>
      <c r="I21" s="607">
        <f t="shared" si="5"/>
        <v>95.607305936073075</v>
      </c>
      <c r="J21" s="620">
        <f t="shared" si="4"/>
        <v>3904.3926940639271</v>
      </c>
      <c r="K21" s="604"/>
      <c r="L21" s="604"/>
      <c r="M21" s="605"/>
      <c r="N21" s="605"/>
      <c r="S21" s="615"/>
      <c r="T21" s="615"/>
    </row>
    <row r="22" spans="1:20">
      <c r="A22" s="606">
        <v>43540</v>
      </c>
      <c r="B22" s="593" t="s">
        <v>2381</v>
      </c>
      <c r="C22" s="604">
        <v>8850</v>
      </c>
      <c r="D22" s="593">
        <v>3</v>
      </c>
      <c r="E22" s="604">
        <f t="shared" si="0"/>
        <v>442.5</v>
      </c>
      <c r="F22" s="607">
        <f t="shared" si="1"/>
        <v>8407.5</v>
      </c>
      <c r="G22" s="608">
        <f t="shared" si="2"/>
        <v>31.666666666666664</v>
      </c>
      <c r="H22" s="619">
        <f t="shared" si="3"/>
        <v>15</v>
      </c>
      <c r="I22" s="607">
        <f t="shared" si="5"/>
        <v>109.4126712328767</v>
      </c>
      <c r="J22" s="620">
        <f t="shared" si="4"/>
        <v>8740.5873287671238</v>
      </c>
      <c r="K22" s="604"/>
      <c r="L22" s="604"/>
      <c r="M22" s="605"/>
      <c r="N22" s="605"/>
      <c r="S22" s="615"/>
      <c r="T22" s="615"/>
    </row>
    <row r="23" spans="1:20">
      <c r="A23" s="606"/>
      <c r="B23" s="593"/>
      <c r="C23" s="604"/>
      <c r="D23" s="593"/>
      <c r="E23" s="604"/>
      <c r="F23" s="607"/>
      <c r="G23" s="608"/>
      <c r="H23" s="619"/>
      <c r="I23" s="607"/>
      <c r="J23" s="620"/>
      <c r="K23" s="604"/>
      <c r="L23" s="604"/>
      <c r="M23" s="605"/>
      <c r="N23" s="605"/>
      <c r="S23" s="615"/>
      <c r="T23" s="615"/>
    </row>
    <row r="24" spans="1:20" s="614" customFormat="1">
      <c r="A24" s="610"/>
      <c r="B24" s="610"/>
      <c r="C24" s="611">
        <f>SUM(C8:C23)</f>
        <v>800595.8</v>
      </c>
      <c r="D24" s="610"/>
      <c r="E24" s="611">
        <f>SUM(E8:E8)</f>
        <v>0</v>
      </c>
      <c r="F24" s="612">
        <f>SUM(F8:F23)</f>
        <v>769901.8</v>
      </c>
      <c r="G24" s="610"/>
      <c r="H24" s="621"/>
      <c r="I24" s="623">
        <f>SUM(I8:I23)</f>
        <v>165445.26640182646</v>
      </c>
      <c r="J24" s="623">
        <f>SUM(J8:J23)</f>
        <v>635150.53359817353</v>
      </c>
      <c r="K24" s="611">
        <f>SUM(K8:K8)</f>
        <v>2732869</v>
      </c>
      <c r="L24" s="611">
        <f>SUM(L8:L8)</f>
        <v>-2670800.9167123288</v>
      </c>
      <c r="M24" s="613"/>
      <c r="N24" s="613"/>
    </row>
    <row r="25" spans="1:20">
      <c r="A25" s="593"/>
      <c r="B25" s="593"/>
      <c r="C25" s="604"/>
      <c r="D25" s="593"/>
      <c r="E25" s="604"/>
      <c r="F25" s="593"/>
      <c r="G25" s="593"/>
      <c r="H25" s="619"/>
      <c r="I25" s="593"/>
      <c r="J25" s="622"/>
      <c r="K25" s="604"/>
      <c r="L25" s="604"/>
      <c r="M25" s="605"/>
      <c r="N25" s="605"/>
    </row>
    <row r="26" spans="1:20">
      <c r="A26" s="609"/>
      <c r="B26" s="609"/>
      <c r="C26" s="594"/>
      <c r="D26" s="609"/>
      <c r="E26" s="594"/>
      <c r="F26" s="609"/>
      <c r="G26" s="609"/>
      <c r="H26" s="609"/>
      <c r="I26" s="609"/>
      <c r="J26" s="609"/>
      <c r="K26" s="594"/>
      <c r="L26" s="594"/>
      <c r="M26" s="605"/>
      <c r="N26" s="605"/>
    </row>
    <row r="27" spans="1:20">
      <c r="A27" s="3264" t="s">
        <v>2387</v>
      </c>
      <c r="B27" s="3265"/>
      <c r="C27" s="616">
        <f>C24</f>
        <v>800595.8</v>
      </c>
      <c r="D27" s="617"/>
      <c r="E27" s="616">
        <f>E24</f>
        <v>0</v>
      </c>
      <c r="F27" s="616">
        <f>F24</f>
        <v>769901.8</v>
      </c>
      <c r="G27" s="617"/>
      <c r="H27" s="617"/>
      <c r="I27" s="616">
        <f>I24</f>
        <v>165445.26640182646</v>
      </c>
      <c r="J27" s="616">
        <f>J24</f>
        <v>635150.53359817353</v>
      </c>
      <c r="K27" s="616">
        <f>K24</f>
        <v>2732869</v>
      </c>
      <c r="L27" s="616">
        <f>L24</f>
        <v>-2670800.9167123288</v>
      </c>
      <c r="M27" s="605"/>
      <c r="N27" s="605"/>
    </row>
    <row r="28" spans="1:20">
      <c r="F28" s="618"/>
      <c r="I28" s="585"/>
      <c r="M28" s="605"/>
      <c r="N28" s="605"/>
    </row>
    <row r="29" spans="1:20" s="614" customFormat="1">
      <c r="A29" s="584"/>
      <c r="B29" s="618"/>
      <c r="C29" s="585"/>
      <c r="D29" s="618"/>
      <c r="E29" s="585"/>
      <c r="F29" s="584"/>
      <c r="G29" s="584"/>
      <c r="H29" s="584"/>
      <c r="I29" s="618"/>
      <c r="J29" s="584"/>
      <c r="K29" s="585"/>
      <c r="L29" s="585"/>
      <c r="M29" s="613"/>
      <c r="N29" s="613"/>
    </row>
    <row r="30" spans="1:20">
      <c r="B30" s="618"/>
      <c r="D30" s="618"/>
      <c r="M30" s="613"/>
      <c r="N30" s="613"/>
    </row>
    <row r="31" spans="1:20">
      <c r="B31" s="618"/>
      <c r="D31" s="618"/>
      <c r="M31" s="605"/>
      <c r="N31" s="605"/>
    </row>
    <row r="32" spans="1:20" s="614" customFormat="1">
      <c r="A32" s="584"/>
      <c r="B32" s="618"/>
      <c r="C32" s="585"/>
      <c r="D32" s="584"/>
      <c r="E32" s="585"/>
      <c r="F32" s="584"/>
      <c r="G32" s="584"/>
      <c r="H32" s="584"/>
      <c r="I32" s="584"/>
      <c r="J32" s="584"/>
      <c r="K32" s="585"/>
      <c r="L32" s="585"/>
      <c r="M32" s="613"/>
      <c r="N32" s="613"/>
    </row>
    <row r="33" spans="1:14">
      <c r="M33" s="605"/>
      <c r="N33" s="605"/>
    </row>
    <row r="34" spans="1:14" s="614" customFormat="1">
      <c r="A34" s="584"/>
      <c r="B34" s="584"/>
      <c r="C34" s="585"/>
      <c r="D34" s="584"/>
      <c r="E34" s="585"/>
      <c r="F34" s="584"/>
      <c r="G34" s="584"/>
      <c r="H34" s="584"/>
      <c r="I34" s="584"/>
      <c r="J34" s="584"/>
      <c r="K34" s="585"/>
      <c r="L34" s="585"/>
      <c r="M34" s="613"/>
      <c r="N34" s="613"/>
    </row>
  </sheetData>
  <mergeCells count="3">
    <mergeCell ref="A3:L3"/>
    <mergeCell ref="A4:L4"/>
    <mergeCell ref="A27:B27"/>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2:I753"/>
  <sheetViews>
    <sheetView topLeftCell="A680" workbookViewId="0">
      <selection activeCell="C694" sqref="C694"/>
    </sheetView>
  </sheetViews>
  <sheetFormatPr defaultRowHeight="14.4"/>
  <cols>
    <col min="1" max="1" width="54.44140625" bestFit="1" customWidth="1"/>
    <col min="2" max="2" width="15.44140625" bestFit="1" customWidth="1"/>
    <col min="3" max="4" width="14.44140625" bestFit="1" customWidth="1"/>
    <col min="5" max="5" width="16" bestFit="1" customWidth="1"/>
  </cols>
  <sheetData>
    <row r="2" spans="1:7" ht="15.6">
      <c r="A2" s="3243" t="s">
        <v>2364</v>
      </c>
      <c r="B2" s="3243"/>
      <c r="C2" s="3243"/>
      <c r="D2" s="467"/>
      <c r="E2" s="467"/>
    </row>
    <row r="3" spans="1:7" ht="15.6">
      <c r="A3" s="3243" t="s">
        <v>81</v>
      </c>
      <c r="B3" s="3243"/>
      <c r="C3" s="3243"/>
      <c r="D3" s="467"/>
      <c r="E3" s="467"/>
    </row>
    <row r="4" spans="1:7">
      <c r="A4" s="3244" t="s">
        <v>2177</v>
      </c>
      <c r="B4" s="3244"/>
      <c r="C4" s="3244"/>
      <c r="D4" s="467"/>
      <c r="E4" s="467"/>
    </row>
    <row r="5" spans="1:7">
      <c r="A5" s="3245" t="s">
        <v>82</v>
      </c>
      <c r="B5" s="3245"/>
      <c r="C5" s="3245"/>
      <c r="D5" s="3245"/>
      <c r="E5" s="3245"/>
    </row>
    <row r="6" spans="1:7">
      <c r="A6" s="3246" t="s">
        <v>1</v>
      </c>
      <c r="B6" s="3247"/>
      <c r="C6" s="3247"/>
      <c r="D6" s="3247"/>
      <c r="E6" s="3247"/>
    </row>
    <row r="7" spans="1:7">
      <c r="A7" s="3248" t="s">
        <v>82</v>
      </c>
      <c r="B7" s="3249"/>
      <c r="C7" s="3249"/>
      <c r="D7" s="3250"/>
      <c r="E7" s="500" t="s">
        <v>1333</v>
      </c>
    </row>
    <row r="8" spans="1:7">
      <c r="A8" s="3232" t="s">
        <v>82</v>
      </c>
      <c r="B8" s="3233"/>
      <c r="C8" s="3234"/>
      <c r="D8" s="468" t="s">
        <v>67</v>
      </c>
      <c r="E8" s="496" t="s">
        <v>1196</v>
      </c>
    </row>
    <row r="9" spans="1:7">
      <c r="A9" s="489" t="s">
        <v>84</v>
      </c>
      <c r="B9" s="3235">
        <v>7147460</v>
      </c>
      <c r="C9" s="3236"/>
      <c r="D9" s="3236"/>
      <c r="E9" s="3237"/>
    </row>
    <row r="10" spans="1:7">
      <c r="A10" s="497" t="s">
        <v>85</v>
      </c>
      <c r="B10" s="3238">
        <v>7147460</v>
      </c>
      <c r="C10" s="3239"/>
      <c r="D10" s="3239"/>
      <c r="E10" s="3240"/>
    </row>
    <row r="11" spans="1:7">
      <c r="A11" s="490" t="s">
        <v>86</v>
      </c>
      <c r="B11" s="501">
        <v>15937156.25</v>
      </c>
      <c r="C11" s="3241">
        <v>208056154.09999999</v>
      </c>
      <c r="D11" s="3242"/>
      <c r="E11" s="491">
        <v>816738.1</v>
      </c>
    </row>
    <row r="12" spans="1:7">
      <c r="A12" s="529" t="s">
        <v>87</v>
      </c>
      <c r="B12" s="532"/>
      <c r="C12" s="531">
        <v>30000</v>
      </c>
      <c r="D12" s="530"/>
      <c r="E12" s="647">
        <v>30000</v>
      </c>
    </row>
    <row r="13" spans="1:7">
      <c r="A13" s="534" t="s">
        <v>2365</v>
      </c>
      <c r="B13" s="480"/>
      <c r="C13" s="499">
        <v>30000</v>
      </c>
      <c r="D13" s="502"/>
      <c r="E13" s="492">
        <v>30000</v>
      </c>
    </row>
    <row r="14" spans="1:7">
      <c r="A14" s="469" t="s">
        <v>89</v>
      </c>
      <c r="B14" s="535">
        <v>7151174.1100000003</v>
      </c>
      <c r="C14" s="536">
        <v>178119328.09999999</v>
      </c>
      <c r="D14" s="536">
        <v>172104736.75</v>
      </c>
      <c r="E14" s="650">
        <v>1136582.7600000203</v>
      </c>
      <c r="F14" s="649"/>
      <c r="G14" s="649"/>
    </row>
    <row r="15" spans="1:7">
      <c r="A15" s="537" t="s">
        <v>946</v>
      </c>
      <c r="B15" s="535">
        <v>3593445.93</v>
      </c>
      <c r="C15" s="499">
        <v>44365684</v>
      </c>
      <c r="D15" s="499">
        <v>47283340</v>
      </c>
      <c r="E15" s="535">
        <v>6511101.9299999997</v>
      </c>
    </row>
    <row r="16" spans="1:7">
      <c r="A16" s="538" t="s">
        <v>557</v>
      </c>
      <c r="B16" s="473">
        <v>938288.93</v>
      </c>
      <c r="C16" s="472">
        <v>525000</v>
      </c>
      <c r="D16" s="472">
        <v>562000</v>
      </c>
      <c r="E16" s="473">
        <v>975288.93</v>
      </c>
      <c r="F16" s="515"/>
    </row>
    <row r="17" spans="1:9">
      <c r="A17" s="548" t="s">
        <v>2210</v>
      </c>
      <c r="B17" s="545"/>
      <c r="C17" s="544">
        <v>83200</v>
      </c>
      <c r="D17" s="544">
        <v>83200</v>
      </c>
      <c r="E17" s="545"/>
      <c r="G17" s="254"/>
    </row>
    <row r="18" spans="1:9" ht="16.2">
      <c r="A18" s="539" t="s">
        <v>2211</v>
      </c>
      <c r="B18" s="477"/>
      <c r="C18" s="475">
        <v>297450</v>
      </c>
      <c r="D18" s="475">
        <v>295175</v>
      </c>
      <c r="E18" s="484">
        <v>2275</v>
      </c>
      <c r="F18" s="581"/>
      <c r="G18" s="581"/>
      <c r="H18" s="222"/>
      <c r="I18" s="254"/>
    </row>
    <row r="19" spans="1:9">
      <c r="A19" s="542" t="s">
        <v>1889</v>
      </c>
      <c r="B19" s="543">
        <v>12154</v>
      </c>
      <c r="C19" s="544">
        <v>215141</v>
      </c>
      <c r="D19" s="544">
        <v>202987</v>
      </c>
      <c r="E19" s="545"/>
      <c r="G19" s="254"/>
      <c r="I19" s="515"/>
    </row>
    <row r="20" spans="1:9">
      <c r="A20" s="546" t="s">
        <v>1294</v>
      </c>
      <c r="B20" s="543">
        <v>8000</v>
      </c>
      <c r="C20" s="544">
        <v>8000</v>
      </c>
      <c r="D20" s="547"/>
      <c r="E20" s="545"/>
      <c r="G20" s="254"/>
    </row>
    <row r="21" spans="1:9" ht="16.2">
      <c r="A21" s="538" t="s">
        <v>1890</v>
      </c>
      <c r="B21" s="477"/>
      <c r="C21" s="475">
        <v>663248</v>
      </c>
      <c r="D21" s="475">
        <v>488248</v>
      </c>
      <c r="E21" s="484">
        <v>175000</v>
      </c>
      <c r="F21" s="581"/>
      <c r="G21" s="581"/>
      <c r="H21" s="222"/>
      <c r="I21" s="254"/>
    </row>
    <row r="22" spans="1:9">
      <c r="A22" s="542" t="s">
        <v>1891</v>
      </c>
      <c r="B22" s="545"/>
      <c r="C22" s="544">
        <v>28945</v>
      </c>
      <c r="D22" s="544">
        <v>28945</v>
      </c>
      <c r="E22" s="545"/>
      <c r="G22" s="254"/>
    </row>
    <row r="23" spans="1:9" ht="16.2">
      <c r="A23" s="538" t="s">
        <v>1892</v>
      </c>
      <c r="B23" s="474">
        <v>500045</v>
      </c>
      <c r="C23" s="472">
        <v>737726</v>
      </c>
      <c r="D23" s="472">
        <v>1230705</v>
      </c>
      <c r="E23" s="474">
        <v>7066</v>
      </c>
      <c r="F23" s="581"/>
      <c r="G23" s="581"/>
      <c r="H23" s="222"/>
      <c r="I23" s="254"/>
    </row>
    <row r="24" spans="1:9">
      <c r="A24" s="542" t="s">
        <v>1670</v>
      </c>
      <c r="B24" s="549"/>
      <c r="C24" s="550">
        <v>37800</v>
      </c>
      <c r="D24" s="550">
        <v>37800</v>
      </c>
      <c r="E24" s="549"/>
      <c r="G24" s="254"/>
    </row>
    <row r="25" spans="1:9">
      <c r="A25" s="538" t="s">
        <v>969</v>
      </c>
      <c r="B25" s="485">
        <v>144197</v>
      </c>
      <c r="C25" s="475">
        <v>234633</v>
      </c>
      <c r="D25" s="475">
        <v>319468</v>
      </c>
      <c r="E25" s="485">
        <v>229032</v>
      </c>
      <c r="F25" s="515"/>
    </row>
    <row r="26" spans="1:9">
      <c r="A26" s="538" t="s">
        <v>1381</v>
      </c>
      <c r="B26" s="485">
        <v>3845</v>
      </c>
      <c r="C26" s="475">
        <v>28650</v>
      </c>
      <c r="D26" s="475">
        <v>28650</v>
      </c>
      <c r="E26" s="485">
        <v>3845</v>
      </c>
      <c r="F26" s="515"/>
    </row>
    <row r="27" spans="1:9">
      <c r="A27" s="538" t="s">
        <v>1893</v>
      </c>
      <c r="B27" s="483">
        <v>100000</v>
      </c>
      <c r="C27" s="499">
        <v>770920</v>
      </c>
      <c r="D27" s="499">
        <v>1149320</v>
      </c>
      <c r="E27" s="535">
        <v>278400</v>
      </c>
      <c r="F27" s="581"/>
      <c r="G27" s="581"/>
      <c r="H27" s="254"/>
      <c r="I27" s="254"/>
    </row>
    <row r="28" spans="1:9" ht="16.2">
      <c r="A28" s="537" t="s">
        <v>563</v>
      </c>
      <c r="B28" s="485">
        <v>21700</v>
      </c>
      <c r="C28" s="475">
        <v>158200</v>
      </c>
      <c r="D28" s="475">
        <v>60000</v>
      </c>
      <c r="E28" s="484">
        <v>76500</v>
      </c>
      <c r="F28" s="581"/>
      <c r="G28" s="581"/>
      <c r="H28" s="222"/>
      <c r="I28" s="254"/>
    </row>
    <row r="29" spans="1:9">
      <c r="A29" s="542" t="s">
        <v>1894</v>
      </c>
      <c r="B29" s="545"/>
      <c r="C29" s="544">
        <v>6000</v>
      </c>
      <c r="D29" s="544">
        <v>6000</v>
      </c>
      <c r="E29" s="545"/>
      <c r="G29" s="254"/>
    </row>
    <row r="30" spans="1:9">
      <c r="A30" s="538" t="s">
        <v>1292</v>
      </c>
      <c r="B30" s="484">
        <v>525000</v>
      </c>
      <c r="C30" s="477"/>
      <c r="D30" s="477"/>
      <c r="E30" s="484">
        <v>525000</v>
      </c>
      <c r="F30" s="515"/>
    </row>
    <row r="31" spans="1:9">
      <c r="A31" s="539" t="s">
        <v>564</v>
      </c>
      <c r="B31" s="485">
        <v>300647</v>
      </c>
      <c r="C31" s="475">
        <v>3560790</v>
      </c>
      <c r="D31" s="475">
        <v>3780000</v>
      </c>
      <c r="E31" s="485">
        <v>519857</v>
      </c>
      <c r="F31" s="515"/>
    </row>
    <row r="32" spans="1:9">
      <c r="A32" s="542" t="s">
        <v>1896</v>
      </c>
      <c r="B32" s="545"/>
      <c r="C32" s="544">
        <v>21503</v>
      </c>
      <c r="D32" s="544">
        <v>21503</v>
      </c>
      <c r="E32" s="545"/>
      <c r="G32" s="254"/>
    </row>
    <row r="33" spans="1:9">
      <c r="A33" s="534" t="s">
        <v>565</v>
      </c>
      <c r="B33" s="485">
        <v>393093</v>
      </c>
      <c r="C33" s="475">
        <v>4572483</v>
      </c>
      <c r="D33" s="475">
        <v>4558076</v>
      </c>
      <c r="E33" s="485">
        <v>378686</v>
      </c>
      <c r="F33" s="515"/>
    </row>
    <row r="34" spans="1:9">
      <c r="A34" s="542" t="s">
        <v>2213</v>
      </c>
      <c r="B34" s="545"/>
      <c r="C34" s="544">
        <v>664627</v>
      </c>
      <c r="D34" s="544">
        <v>664627</v>
      </c>
      <c r="E34" s="545"/>
      <c r="G34" s="254"/>
    </row>
    <row r="35" spans="1:9">
      <c r="A35" s="534" t="s">
        <v>566</v>
      </c>
      <c r="B35" s="485">
        <v>9924</v>
      </c>
      <c r="C35" s="475">
        <v>59153</v>
      </c>
      <c r="D35" s="475">
        <v>62043</v>
      </c>
      <c r="E35" s="485">
        <v>12814</v>
      </c>
      <c r="F35" s="515"/>
    </row>
    <row r="36" spans="1:9">
      <c r="A36" s="534" t="s">
        <v>567</v>
      </c>
      <c r="B36" s="473">
        <v>107343</v>
      </c>
      <c r="C36" s="472">
        <v>627815</v>
      </c>
      <c r="D36" s="472">
        <v>628164</v>
      </c>
      <c r="E36" s="473">
        <v>107692</v>
      </c>
      <c r="F36" s="515"/>
    </row>
    <row r="37" spans="1:9">
      <c r="A37" s="542" t="s">
        <v>1897</v>
      </c>
      <c r="B37" s="545"/>
      <c r="C37" s="544">
        <v>24802</v>
      </c>
      <c r="D37" s="544">
        <v>24802</v>
      </c>
      <c r="E37" s="545"/>
      <c r="G37" s="254"/>
    </row>
    <row r="38" spans="1:9">
      <c r="A38" s="538" t="s">
        <v>569</v>
      </c>
      <c r="B38" s="485">
        <v>2196990</v>
      </c>
      <c r="C38" s="475">
        <v>29182871</v>
      </c>
      <c r="D38" s="475">
        <v>31443369</v>
      </c>
      <c r="E38" s="485">
        <v>4457488</v>
      </c>
      <c r="F38" s="515"/>
    </row>
    <row r="39" spans="1:9">
      <c r="A39" s="542" t="s">
        <v>2214</v>
      </c>
      <c r="B39" s="545"/>
      <c r="C39" s="544">
        <v>12000</v>
      </c>
      <c r="D39" s="544">
        <v>12000</v>
      </c>
      <c r="E39" s="545"/>
      <c r="G39" s="254"/>
    </row>
    <row r="40" spans="1:9">
      <c r="A40" s="538" t="s">
        <v>1383</v>
      </c>
      <c r="B40" s="485">
        <v>40260</v>
      </c>
      <c r="C40" s="475">
        <v>82760</v>
      </c>
      <c r="D40" s="475">
        <v>55905</v>
      </c>
      <c r="E40" s="485">
        <v>13405</v>
      </c>
      <c r="F40" s="515"/>
    </row>
    <row r="41" spans="1:9">
      <c r="A41" s="548" t="s">
        <v>1901</v>
      </c>
      <c r="B41" s="549"/>
      <c r="C41" s="550">
        <v>109500</v>
      </c>
      <c r="D41" s="550">
        <v>109500</v>
      </c>
      <c r="E41" s="549"/>
    </row>
    <row r="42" spans="1:9" ht="16.2">
      <c r="A42" s="538" t="s">
        <v>2215</v>
      </c>
      <c r="B42" s="470"/>
      <c r="C42" s="472">
        <v>10000</v>
      </c>
      <c r="D42" s="471"/>
      <c r="E42" s="474">
        <v>10000</v>
      </c>
      <c r="F42" s="581"/>
      <c r="G42" s="581"/>
      <c r="H42" s="222"/>
      <c r="I42" s="254"/>
    </row>
    <row r="43" spans="1:9">
      <c r="A43" s="548" t="s">
        <v>573</v>
      </c>
      <c r="B43" s="545"/>
      <c r="C43" s="544">
        <v>21476</v>
      </c>
      <c r="D43" s="544">
        <v>21476</v>
      </c>
      <c r="E43" s="545"/>
    </row>
    <row r="44" spans="1:9">
      <c r="A44" s="534" t="s">
        <v>68</v>
      </c>
      <c r="B44" s="473">
        <v>542049</v>
      </c>
      <c r="C44" s="472">
        <v>1620991</v>
      </c>
      <c r="D44" s="472">
        <v>1409377</v>
      </c>
      <c r="E44" s="473">
        <v>330435</v>
      </c>
      <c r="F44" s="515"/>
    </row>
    <row r="45" spans="1:9">
      <c r="A45" s="551" t="s">
        <v>90</v>
      </c>
      <c r="B45" s="552">
        <v>2922093.65</v>
      </c>
      <c r="C45" s="553">
        <v>50962737.399999999</v>
      </c>
      <c r="D45" s="553">
        <v>49837032.75</v>
      </c>
      <c r="E45" s="552">
        <v>1796389</v>
      </c>
    </row>
    <row r="46" spans="1:9">
      <c r="A46" s="538" t="s">
        <v>2224</v>
      </c>
      <c r="B46" s="470"/>
      <c r="C46" s="472">
        <v>86140</v>
      </c>
      <c r="D46" s="471"/>
      <c r="E46" s="505">
        <v>86140</v>
      </c>
      <c r="F46" s="254"/>
      <c r="G46" s="254"/>
      <c r="H46" s="254"/>
      <c r="I46" s="254"/>
    </row>
    <row r="47" spans="1:9">
      <c r="A47" s="546" t="s">
        <v>2225</v>
      </c>
      <c r="B47" s="545"/>
      <c r="C47" s="544">
        <v>96900</v>
      </c>
      <c r="D47" s="544">
        <v>96900</v>
      </c>
      <c r="E47" s="545"/>
    </row>
    <row r="48" spans="1:9">
      <c r="A48" s="538" t="s">
        <v>1289</v>
      </c>
      <c r="B48" s="473">
        <v>79379</v>
      </c>
      <c r="C48" s="472">
        <v>249823</v>
      </c>
      <c r="D48" s="472">
        <v>206134.75</v>
      </c>
      <c r="E48" s="473">
        <v>35690.75</v>
      </c>
    </row>
    <row r="49" spans="1:9">
      <c r="A49" s="546" t="s">
        <v>2226</v>
      </c>
      <c r="B49" s="545"/>
      <c r="C49" s="544">
        <v>274350</v>
      </c>
      <c r="D49" s="544">
        <v>274350</v>
      </c>
      <c r="E49" s="545"/>
    </row>
    <row r="50" spans="1:9">
      <c r="A50" s="542" t="s">
        <v>1385</v>
      </c>
      <c r="B50" s="543">
        <v>74222</v>
      </c>
      <c r="C50" s="544">
        <v>135287</v>
      </c>
      <c r="D50" s="544">
        <v>61065</v>
      </c>
      <c r="E50" s="545"/>
    </row>
    <row r="51" spans="1:9">
      <c r="A51" s="542" t="s">
        <v>2227</v>
      </c>
      <c r="B51" s="545"/>
      <c r="C51" s="544">
        <v>3800</v>
      </c>
      <c r="D51" s="544">
        <v>3800</v>
      </c>
      <c r="E51" s="545"/>
    </row>
    <row r="52" spans="1:9">
      <c r="A52" s="548" t="s">
        <v>2228</v>
      </c>
      <c r="B52" s="549"/>
      <c r="C52" s="550">
        <v>123310</v>
      </c>
      <c r="D52" s="550">
        <v>123310</v>
      </c>
      <c r="E52" s="549"/>
    </row>
    <row r="53" spans="1:9">
      <c r="A53" s="542" t="s">
        <v>2229</v>
      </c>
      <c r="B53" s="545"/>
      <c r="C53" s="544">
        <v>63060</v>
      </c>
      <c r="D53" s="544">
        <v>63060</v>
      </c>
      <c r="E53" s="545"/>
    </row>
    <row r="54" spans="1:9">
      <c r="A54" s="534" t="s">
        <v>1906</v>
      </c>
      <c r="B54" s="470"/>
      <c r="C54" s="472">
        <v>2246530</v>
      </c>
      <c r="D54" s="472">
        <v>2251657</v>
      </c>
      <c r="E54" s="473">
        <v>5127</v>
      </c>
      <c r="F54" s="254"/>
      <c r="G54" s="254"/>
      <c r="H54" s="254"/>
      <c r="I54" s="254"/>
    </row>
    <row r="55" spans="1:9">
      <c r="A55" s="542" t="s">
        <v>1907</v>
      </c>
      <c r="B55" s="556">
        <v>240000</v>
      </c>
      <c r="C55" s="550">
        <v>242903</v>
      </c>
      <c r="D55" s="550">
        <v>482903</v>
      </c>
      <c r="E55" s="549"/>
    </row>
    <row r="56" spans="1:9">
      <c r="A56" s="542" t="s">
        <v>1909</v>
      </c>
      <c r="B56" s="545"/>
      <c r="C56" s="544">
        <v>80073</v>
      </c>
      <c r="D56" s="544">
        <v>80073</v>
      </c>
      <c r="E56" s="545"/>
    </row>
    <row r="57" spans="1:9">
      <c r="A57" s="534" t="s">
        <v>2230</v>
      </c>
      <c r="B57" s="470"/>
      <c r="C57" s="472">
        <v>738759.8</v>
      </c>
      <c r="D57" s="472">
        <v>769405.8</v>
      </c>
      <c r="E57" s="473">
        <v>30646</v>
      </c>
      <c r="F57" s="254"/>
      <c r="G57" s="254"/>
      <c r="H57" s="254"/>
      <c r="I57" s="254"/>
    </row>
    <row r="58" spans="1:9">
      <c r="A58" s="548" t="s">
        <v>1910</v>
      </c>
      <c r="B58" s="556">
        <v>9399</v>
      </c>
      <c r="C58" s="549"/>
      <c r="D58" s="550">
        <v>9399</v>
      </c>
      <c r="E58" s="549"/>
    </row>
    <row r="59" spans="1:9">
      <c r="A59" s="538" t="s">
        <v>2231</v>
      </c>
      <c r="B59" s="470"/>
      <c r="C59" s="472">
        <v>6233137</v>
      </c>
      <c r="D59" s="472">
        <v>6295114</v>
      </c>
      <c r="E59" s="473">
        <v>61977</v>
      </c>
      <c r="F59" s="254"/>
      <c r="G59" s="254"/>
      <c r="H59" s="254"/>
      <c r="I59" s="254"/>
    </row>
    <row r="60" spans="1:9">
      <c r="A60" s="538" t="s">
        <v>1911</v>
      </c>
      <c r="B60" s="474">
        <v>7727</v>
      </c>
      <c r="C60" s="471"/>
      <c r="D60" s="471"/>
      <c r="E60" s="505">
        <v>7727</v>
      </c>
      <c r="F60" s="515"/>
    </row>
    <row r="61" spans="1:9">
      <c r="A61" s="548" t="s">
        <v>2232</v>
      </c>
      <c r="B61" s="549"/>
      <c r="C61" s="550">
        <v>36000</v>
      </c>
      <c r="D61" s="550">
        <v>36000</v>
      </c>
      <c r="E61" s="549"/>
    </row>
    <row r="62" spans="1:9">
      <c r="A62" s="538" t="s">
        <v>2233</v>
      </c>
      <c r="B62" s="470"/>
      <c r="C62" s="472">
        <v>2970</v>
      </c>
      <c r="D62" s="471"/>
      <c r="E62" s="505">
        <v>2970</v>
      </c>
      <c r="F62" s="254"/>
      <c r="G62" s="254"/>
      <c r="H62" s="254"/>
      <c r="I62" s="254"/>
    </row>
    <row r="63" spans="1:9">
      <c r="A63" s="538" t="s">
        <v>2234</v>
      </c>
      <c r="B63" s="470"/>
      <c r="C63" s="471"/>
      <c r="D63" s="472">
        <v>10030</v>
      </c>
      <c r="E63" s="473">
        <v>10030</v>
      </c>
      <c r="F63" s="254"/>
      <c r="G63" s="254"/>
      <c r="H63" s="254"/>
      <c r="I63" s="254"/>
    </row>
    <row r="64" spans="1:9">
      <c r="A64" s="538" t="s">
        <v>1390</v>
      </c>
      <c r="B64" s="473">
        <v>386073</v>
      </c>
      <c r="C64" s="472">
        <v>2927483</v>
      </c>
      <c r="D64" s="472">
        <v>2731160</v>
      </c>
      <c r="E64" s="473">
        <v>189750</v>
      </c>
    </row>
    <row r="65" spans="1:9">
      <c r="A65" s="538" t="s">
        <v>1391</v>
      </c>
      <c r="B65" s="473">
        <v>7610</v>
      </c>
      <c r="C65" s="472">
        <v>1756923</v>
      </c>
      <c r="D65" s="472">
        <v>2009932</v>
      </c>
      <c r="E65" s="473">
        <v>260619</v>
      </c>
    </row>
    <row r="66" spans="1:9">
      <c r="A66" s="542" t="s">
        <v>2235</v>
      </c>
      <c r="B66" s="545"/>
      <c r="C66" s="544">
        <v>110690</v>
      </c>
      <c r="D66" s="544">
        <v>110690</v>
      </c>
      <c r="E66" s="545"/>
    </row>
    <row r="67" spans="1:9">
      <c r="A67" s="538" t="s">
        <v>1788</v>
      </c>
      <c r="B67" s="474">
        <v>37250</v>
      </c>
      <c r="C67" s="471"/>
      <c r="D67" s="471"/>
      <c r="E67" s="505">
        <v>37250</v>
      </c>
      <c r="F67" s="515"/>
    </row>
    <row r="68" spans="1:9">
      <c r="A68" s="542" t="s">
        <v>1912</v>
      </c>
      <c r="B68" s="543">
        <v>23128</v>
      </c>
      <c r="C68" s="544">
        <v>50386</v>
      </c>
      <c r="D68" s="544">
        <v>27258</v>
      </c>
      <c r="E68" s="545"/>
    </row>
    <row r="69" spans="1:9">
      <c r="A69" s="534" t="s">
        <v>1678</v>
      </c>
      <c r="B69" s="470"/>
      <c r="C69" s="472">
        <v>112164</v>
      </c>
      <c r="D69" s="472">
        <v>139895</v>
      </c>
      <c r="E69" s="473">
        <v>27731</v>
      </c>
      <c r="F69" s="254"/>
      <c r="G69" s="254"/>
      <c r="H69" s="254"/>
      <c r="I69" s="254"/>
    </row>
    <row r="70" spans="1:9">
      <c r="A70" s="542" t="s">
        <v>1913</v>
      </c>
      <c r="B70" s="545"/>
      <c r="C70" s="544">
        <v>67200</v>
      </c>
      <c r="D70" s="544">
        <v>67200</v>
      </c>
      <c r="E70" s="545"/>
    </row>
    <row r="71" spans="1:9">
      <c r="A71" s="538" t="s">
        <v>578</v>
      </c>
      <c r="B71" s="473">
        <v>107676</v>
      </c>
      <c r="C71" s="470"/>
      <c r="D71" s="470"/>
      <c r="E71" s="473">
        <v>107676</v>
      </c>
    </row>
    <row r="72" spans="1:9">
      <c r="A72" s="540" t="s">
        <v>1789</v>
      </c>
      <c r="B72" s="502"/>
      <c r="C72" s="481">
        <v>46039</v>
      </c>
      <c r="D72" s="481">
        <v>46039</v>
      </c>
      <c r="E72" s="502"/>
    </row>
    <row r="73" spans="1:9">
      <c r="A73" s="538" t="s">
        <v>1790</v>
      </c>
      <c r="B73" s="484">
        <v>31100</v>
      </c>
      <c r="C73" s="475">
        <v>1187700</v>
      </c>
      <c r="D73" s="475">
        <v>1524650</v>
      </c>
      <c r="E73" s="485">
        <v>305850</v>
      </c>
      <c r="F73" s="254"/>
      <c r="G73" s="254"/>
      <c r="H73" s="254"/>
      <c r="I73" s="254"/>
    </row>
    <row r="74" spans="1:9">
      <c r="A74" s="542" t="s">
        <v>1791</v>
      </c>
      <c r="B74" s="545"/>
      <c r="C74" s="544">
        <v>75000</v>
      </c>
      <c r="D74" s="544">
        <v>75000</v>
      </c>
      <c r="E74" s="545"/>
    </row>
    <row r="75" spans="1:9">
      <c r="A75" s="542" t="s">
        <v>2236</v>
      </c>
      <c r="B75" s="545"/>
      <c r="C75" s="544">
        <v>51920</v>
      </c>
      <c r="D75" s="544">
        <v>51920</v>
      </c>
      <c r="E75" s="545"/>
    </row>
    <row r="76" spans="1:9">
      <c r="A76" s="542" t="s">
        <v>1915</v>
      </c>
      <c r="B76" s="545"/>
      <c r="C76" s="544">
        <v>327295</v>
      </c>
      <c r="D76" s="544">
        <v>327295</v>
      </c>
      <c r="E76" s="545"/>
    </row>
    <row r="77" spans="1:9">
      <c r="A77" s="542" t="s">
        <v>1679</v>
      </c>
      <c r="B77" s="557">
        <v>28642</v>
      </c>
      <c r="C77" s="544">
        <v>29202.6</v>
      </c>
      <c r="D77" s="544">
        <v>57844.6</v>
      </c>
      <c r="E77" s="545"/>
    </row>
    <row r="78" spans="1:9">
      <c r="A78" s="548" t="s">
        <v>1916</v>
      </c>
      <c r="B78" s="545"/>
      <c r="C78" s="544">
        <v>72240</v>
      </c>
      <c r="D78" s="544">
        <v>72240</v>
      </c>
      <c r="E78" s="545"/>
    </row>
    <row r="79" spans="1:9">
      <c r="A79" s="534" t="s">
        <v>579</v>
      </c>
      <c r="B79" s="473">
        <v>46263</v>
      </c>
      <c r="C79" s="472">
        <v>245379</v>
      </c>
      <c r="D79" s="472">
        <v>233235</v>
      </c>
      <c r="E79" s="473">
        <v>34119</v>
      </c>
    </row>
    <row r="80" spans="1:9">
      <c r="A80" s="542" t="s">
        <v>580</v>
      </c>
      <c r="B80" s="545"/>
      <c r="C80" s="544">
        <v>20768</v>
      </c>
      <c r="D80" s="544">
        <v>20768</v>
      </c>
      <c r="E80" s="545"/>
    </row>
    <row r="81" spans="1:9">
      <c r="A81" s="540" t="s">
        <v>1917</v>
      </c>
      <c r="B81" s="535">
        <v>187186</v>
      </c>
      <c r="C81" s="481">
        <v>1954931</v>
      </c>
      <c r="D81" s="481">
        <v>1767745</v>
      </c>
      <c r="E81" s="502"/>
    </row>
    <row r="82" spans="1:9">
      <c r="A82" s="538" t="s">
        <v>1793</v>
      </c>
      <c r="B82" s="473">
        <v>81788</v>
      </c>
      <c r="C82" s="472">
        <v>25000</v>
      </c>
      <c r="D82" s="471"/>
      <c r="E82" s="473">
        <v>56788</v>
      </c>
    </row>
    <row r="83" spans="1:9">
      <c r="A83" s="542" t="s">
        <v>581</v>
      </c>
      <c r="B83" s="545"/>
      <c r="C83" s="544">
        <v>31612</v>
      </c>
      <c r="D83" s="544">
        <v>31612</v>
      </c>
      <c r="E83" s="545"/>
    </row>
    <row r="84" spans="1:9">
      <c r="A84" s="542" t="s">
        <v>1395</v>
      </c>
      <c r="B84" s="545"/>
      <c r="C84" s="544">
        <v>50268</v>
      </c>
      <c r="D84" s="544">
        <v>50268</v>
      </c>
      <c r="E84" s="545"/>
    </row>
    <row r="85" spans="1:9">
      <c r="A85" s="534" t="s">
        <v>2237</v>
      </c>
      <c r="B85" s="470"/>
      <c r="C85" s="472">
        <v>147720</v>
      </c>
      <c r="D85" s="472">
        <v>132720</v>
      </c>
      <c r="E85" s="505">
        <v>15000</v>
      </c>
      <c r="F85" s="254"/>
      <c r="G85" s="254"/>
      <c r="H85" s="254"/>
      <c r="I85" s="254"/>
    </row>
    <row r="86" spans="1:9">
      <c r="A86" s="542" t="s">
        <v>2238</v>
      </c>
      <c r="B86" s="545"/>
      <c r="C86" s="544">
        <v>27225</v>
      </c>
      <c r="D86" s="544">
        <v>27225</v>
      </c>
      <c r="E86" s="545"/>
    </row>
    <row r="87" spans="1:9">
      <c r="A87" s="534" t="s">
        <v>2239</v>
      </c>
      <c r="B87" s="470"/>
      <c r="C87" s="472">
        <v>2245429</v>
      </c>
      <c r="D87" s="472">
        <v>2230055</v>
      </c>
      <c r="E87" s="505">
        <v>15374</v>
      </c>
      <c r="F87" s="254"/>
      <c r="G87" s="254"/>
      <c r="H87" s="254"/>
      <c r="I87" s="254"/>
    </row>
    <row r="88" spans="1:9">
      <c r="A88" s="534" t="s">
        <v>259</v>
      </c>
      <c r="B88" s="473">
        <v>754278.5</v>
      </c>
      <c r="C88" s="472">
        <v>1226877</v>
      </c>
      <c r="D88" s="472">
        <v>986049</v>
      </c>
      <c r="E88" s="473">
        <v>513450.5</v>
      </c>
    </row>
    <row r="89" spans="1:9">
      <c r="A89" s="538" t="s">
        <v>1920</v>
      </c>
      <c r="B89" s="473">
        <v>300</v>
      </c>
      <c r="C89" s="471"/>
      <c r="D89" s="471"/>
      <c r="E89" s="473">
        <v>300</v>
      </c>
    </row>
    <row r="90" spans="1:9">
      <c r="A90" s="548" t="s">
        <v>582</v>
      </c>
      <c r="B90" s="545"/>
      <c r="C90" s="544">
        <v>35400</v>
      </c>
      <c r="D90" s="544">
        <v>35400</v>
      </c>
      <c r="E90" s="545"/>
    </row>
    <row r="91" spans="1:9">
      <c r="A91" s="542" t="s">
        <v>2240</v>
      </c>
      <c r="B91" s="545"/>
      <c r="C91" s="544">
        <v>96996</v>
      </c>
      <c r="D91" s="544">
        <v>96996</v>
      </c>
      <c r="E91" s="545"/>
    </row>
    <row r="92" spans="1:9">
      <c r="A92" s="538" t="s">
        <v>2241</v>
      </c>
      <c r="B92" s="470"/>
      <c r="C92" s="472">
        <v>162250</v>
      </c>
      <c r="D92" s="472">
        <v>160303</v>
      </c>
      <c r="E92" s="505">
        <v>1947</v>
      </c>
      <c r="F92" s="254"/>
      <c r="G92" s="254"/>
      <c r="H92" s="254"/>
      <c r="I92" s="254"/>
    </row>
    <row r="93" spans="1:9">
      <c r="A93" s="548" t="s">
        <v>1923</v>
      </c>
      <c r="B93" s="545"/>
      <c r="C93" s="544">
        <v>13200</v>
      </c>
      <c r="D93" s="544">
        <v>13200</v>
      </c>
      <c r="E93" s="545"/>
    </row>
    <row r="94" spans="1:9">
      <c r="A94" s="548" t="s">
        <v>2242</v>
      </c>
      <c r="B94" s="545"/>
      <c r="C94" s="544">
        <v>78192</v>
      </c>
      <c r="D94" s="544">
        <v>78192</v>
      </c>
      <c r="E94" s="545"/>
    </row>
    <row r="95" spans="1:9">
      <c r="A95" s="542" t="s">
        <v>1925</v>
      </c>
      <c r="B95" s="545"/>
      <c r="C95" s="544">
        <v>9440</v>
      </c>
      <c r="D95" s="544">
        <v>9440</v>
      </c>
      <c r="E95" s="545"/>
    </row>
    <row r="96" spans="1:9">
      <c r="A96" s="542" t="s">
        <v>2243</v>
      </c>
      <c r="B96" s="545"/>
      <c r="C96" s="544">
        <v>311762</v>
      </c>
      <c r="D96" s="544">
        <v>311762</v>
      </c>
      <c r="E96" s="545"/>
    </row>
    <row r="97" spans="1:9">
      <c r="A97" s="538" t="s">
        <v>2244</v>
      </c>
      <c r="B97" s="470"/>
      <c r="C97" s="472">
        <v>234800</v>
      </c>
      <c r="D97" s="471"/>
      <c r="E97" s="505">
        <v>234800</v>
      </c>
      <c r="F97" s="254"/>
      <c r="G97" s="254"/>
      <c r="H97" s="254"/>
      <c r="I97" s="254"/>
    </row>
    <row r="98" spans="1:9">
      <c r="A98" s="538" t="s">
        <v>1927</v>
      </c>
      <c r="B98" s="470"/>
      <c r="C98" s="472">
        <v>85704</v>
      </c>
      <c r="D98" s="472">
        <v>162604</v>
      </c>
      <c r="E98" s="473">
        <v>76900</v>
      </c>
      <c r="F98" s="254"/>
      <c r="G98" s="254"/>
      <c r="H98" s="254"/>
      <c r="I98" s="254"/>
    </row>
    <row r="99" spans="1:9">
      <c r="A99" s="538" t="s">
        <v>1928</v>
      </c>
      <c r="B99" s="473">
        <v>79364</v>
      </c>
      <c r="C99" s="472">
        <v>604998</v>
      </c>
      <c r="D99" s="472">
        <v>526554</v>
      </c>
      <c r="E99" s="473">
        <v>920</v>
      </c>
      <c r="F99" s="254"/>
      <c r="G99" s="254"/>
      <c r="H99" s="254"/>
      <c r="I99" s="254"/>
    </row>
    <row r="100" spans="1:9">
      <c r="A100" s="542" t="s">
        <v>2245</v>
      </c>
      <c r="B100" s="545"/>
      <c r="C100" s="544">
        <v>320500</v>
      </c>
      <c r="D100" s="544">
        <v>320500</v>
      </c>
      <c r="E100" s="545"/>
    </row>
    <row r="101" spans="1:9">
      <c r="A101" s="538" t="s">
        <v>2106</v>
      </c>
      <c r="B101" s="473">
        <v>3245</v>
      </c>
      <c r="C101" s="472">
        <v>23010</v>
      </c>
      <c r="D101" s="471"/>
      <c r="E101" s="505">
        <v>19765</v>
      </c>
      <c r="F101" s="254"/>
      <c r="G101" s="254"/>
      <c r="H101" s="254"/>
      <c r="I101" s="254"/>
    </row>
    <row r="102" spans="1:9">
      <c r="A102" s="542" t="s">
        <v>2246</v>
      </c>
      <c r="B102" s="545"/>
      <c r="C102" s="544">
        <v>9027</v>
      </c>
      <c r="D102" s="544">
        <v>9027</v>
      </c>
      <c r="E102" s="545"/>
    </row>
    <row r="103" spans="1:9">
      <c r="A103" s="542" t="s">
        <v>2247</v>
      </c>
      <c r="B103" s="545"/>
      <c r="C103" s="544">
        <v>32568</v>
      </c>
      <c r="D103" s="544">
        <v>32568</v>
      </c>
      <c r="E103" s="545"/>
    </row>
    <row r="104" spans="1:9">
      <c r="A104" s="548" t="s">
        <v>1686</v>
      </c>
      <c r="B104" s="545"/>
      <c r="C104" s="544">
        <v>1480274</v>
      </c>
      <c r="D104" s="544">
        <v>1480274</v>
      </c>
      <c r="E104" s="545"/>
    </row>
    <row r="105" spans="1:9">
      <c r="A105" s="548" t="s">
        <v>2248</v>
      </c>
      <c r="B105" s="545"/>
      <c r="C105" s="544">
        <v>136998</v>
      </c>
      <c r="D105" s="544">
        <v>136998</v>
      </c>
      <c r="E105" s="545"/>
    </row>
    <row r="106" spans="1:9">
      <c r="A106" s="546" t="s">
        <v>2249</v>
      </c>
      <c r="B106" s="545"/>
      <c r="C106" s="544">
        <v>40250</v>
      </c>
      <c r="D106" s="544">
        <v>40250</v>
      </c>
      <c r="E106" s="545"/>
    </row>
    <row r="107" spans="1:9">
      <c r="A107" s="539" t="s">
        <v>1402</v>
      </c>
      <c r="B107" s="470"/>
      <c r="C107" s="472">
        <v>262358</v>
      </c>
      <c r="D107" s="471"/>
      <c r="E107" s="505">
        <v>262358</v>
      </c>
      <c r="F107" s="254"/>
      <c r="G107" s="254"/>
      <c r="H107" s="254"/>
      <c r="I107" s="254"/>
    </row>
    <row r="108" spans="1:9">
      <c r="A108" s="538" t="s">
        <v>2250</v>
      </c>
      <c r="B108" s="470"/>
      <c r="C108" s="472">
        <v>75000</v>
      </c>
      <c r="D108" s="472">
        <v>74480</v>
      </c>
      <c r="E108" s="505">
        <v>520</v>
      </c>
      <c r="F108" s="254"/>
      <c r="G108" s="254"/>
      <c r="H108" s="254"/>
      <c r="I108" s="254"/>
    </row>
    <row r="109" spans="1:9">
      <c r="A109" s="542" t="s">
        <v>2251</v>
      </c>
      <c r="B109" s="545"/>
      <c r="C109" s="544">
        <v>1306</v>
      </c>
      <c r="D109" s="544">
        <v>1306</v>
      </c>
      <c r="E109" s="545"/>
    </row>
    <row r="110" spans="1:9">
      <c r="A110" s="538" t="s">
        <v>2252</v>
      </c>
      <c r="B110" s="470"/>
      <c r="C110" s="472">
        <v>10000</v>
      </c>
      <c r="D110" s="471"/>
      <c r="E110" s="505">
        <v>10000</v>
      </c>
      <c r="F110" s="254"/>
      <c r="G110" s="254"/>
      <c r="H110" s="254"/>
      <c r="I110" s="254"/>
    </row>
    <row r="111" spans="1:9">
      <c r="A111" s="548" t="s">
        <v>2253</v>
      </c>
      <c r="B111" s="545"/>
      <c r="C111" s="544">
        <v>137175</v>
      </c>
      <c r="D111" s="544">
        <v>137175</v>
      </c>
      <c r="E111" s="545"/>
    </row>
    <row r="112" spans="1:9">
      <c r="A112" s="534" t="s">
        <v>1933</v>
      </c>
      <c r="B112" s="474">
        <v>2200</v>
      </c>
      <c r="C112" s="472">
        <v>130000</v>
      </c>
      <c r="D112" s="472">
        <v>120840</v>
      </c>
      <c r="E112" s="505">
        <v>11360</v>
      </c>
      <c r="F112" s="515"/>
    </row>
    <row r="113" spans="1:9">
      <c r="A113" s="534" t="s">
        <v>1934</v>
      </c>
      <c r="B113" s="470"/>
      <c r="C113" s="472">
        <v>547579</v>
      </c>
      <c r="D113" s="472">
        <v>420080</v>
      </c>
      <c r="E113" s="505">
        <v>127499</v>
      </c>
      <c r="F113" s="254"/>
      <c r="G113" s="254"/>
      <c r="H113" s="254"/>
      <c r="I113" s="254"/>
    </row>
    <row r="114" spans="1:9">
      <c r="A114" s="538" t="s">
        <v>258</v>
      </c>
      <c r="B114" s="485">
        <v>196558</v>
      </c>
      <c r="C114" s="475">
        <v>253800</v>
      </c>
      <c r="D114" s="475">
        <v>253800</v>
      </c>
      <c r="E114" s="485">
        <v>196558</v>
      </c>
    </row>
    <row r="115" spans="1:9">
      <c r="A115" s="534" t="s">
        <v>1936</v>
      </c>
      <c r="B115" s="473">
        <v>3200</v>
      </c>
      <c r="C115" s="471"/>
      <c r="D115" s="471"/>
      <c r="E115" s="473">
        <v>3200</v>
      </c>
    </row>
    <row r="116" spans="1:9">
      <c r="A116" s="542" t="s">
        <v>592</v>
      </c>
      <c r="B116" s="545"/>
      <c r="C116" s="544">
        <v>7450</v>
      </c>
      <c r="D116" s="544">
        <v>7450</v>
      </c>
      <c r="E116" s="545"/>
    </row>
    <row r="117" spans="1:9">
      <c r="A117" s="542" t="s">
        <v>1796</v>
      </c>
      <c r="B117" s="545"/>
      <c r="C117" s="544">
        <v>8534</v>
      </c>
      <c r="D117" s="544">
        <v>8534</v>
      </c>
      <c r="E117" s="545"/>
    </row>
    <row r="118" spans="1:9">
      <c r="A118" s="534" t="s">
        <v>2254</v>
      </c>
      <c r="B118" s="470"/>
      <c r="C118" s="472">
        <v>313644</v>
      </c>
      <c r="D118" s="472">
        <v>627288</v>
      </c>
      <c r="E118" s="473">
        <v>313644</v>
      </c>
      <c r="F118" s="254"/>
      <c r="G118" s="254"/>
      <c r="H118" s="254"/>
      <c r="I118" s="254"/>
    </row>
    <row r="119" spans="1:9">
      <c r="A119" s="538" t="s">
        <v>1691</v>
      </c>
      <c r="B119" s="473">
        <v>58399</v>
      </c>
      <c r="C119" s="471"/>
      <c r="D119" s="471"/>
      <c r="E119" s="473">
        <v>58399</v>
      </c>
      <c r="F119" s="254"/>
      <c r="G119" s="254"/>
      <c r="H119" s="254"/>
      <c r="I119" s="254"/>
    </row>
    <row r="120" spans="1:9">
      <c r="A120" s="542" t="s">
        <v>2255</v>
      </c>
      <c r="B120" s="545"/>
      <c r="C120" s="544">
        <v>113516</v>
      </c>
      <c r="D120" s="544">
        <v>113516</v>
      </c>
      <c r="E120" s="545"/>
    </row>
    <row r="121" spans="1:9">
      <c r="A121" s="542" t="s">
        <v>2256</v>
      </c>
      <c r="B121" s="545"/>
      <c r="C121" s="544">
        <v>123900</v>
      </c>
      <c r="D121" s="544">
        <v>123900</v>
      </c>
      <c r="E121" s="545"/>
    </row>
    <row r="122" spans="1:9">
      <c r="A122" s="534" t="s">
        <v>1940</v>
      </c>
      <c r="B122" s="485">
        <v>15495</v>
      </c>
      <c r="C122" s="475">
        <v>10145</v>
      </c>
      <c r="D122" s="477"/>
      <c r="E122" s="485">
        <v>5350</v>
      </c>
      <c r="F122" s="254"/>
      <c r="G122" s="254"/>
      <c r="H122" s="254"/>
      <c r="I122" s="254"/>
    </row>
    <row r="123" spans="1:9">
      <c r="A123" s="538" t="s">
        <v>1941</v>
      </c>
      <c r="B123" s="470"/>
      <c r="C123" s="472">
        <v>53319</v>
      </c>
      <c r="D123" s="472">
        <v>107386.7</v>
      </c>
      <c r="E123" s="473">
        <v>54067.7</v>
      </c>
      <c r="F123" s="254"/>
      <c r="G123" s="254"/>
      <c r="H123" s="254"/>
      <c r="I123" s="254"/>
    </row>
    <row r="124" spans="1:9">
      <c r="A124" s="538" t="s">
        <v>1407</v>
      </c>
      <c r="B124" s="470"/>
      <c r="C124" s="472">
        <v>20341</v>
      </c>
      <c r="D124" s="472">
        <v>11759.4</v>
      </c>
      <c r="E124" s="505">
        <v>8581.6</v>
      </c>
      <c r="F124" s="254"/>
      <c r="G124" s="254"/>
      <c r="H124" s="254"/>
      <c r="I124" s="254"/>
    </row>
    <row r="125" spans="1:9">
      <c r="A125" s="534" t="s">
        <v>1942</v>
      </c>
      <c r="B125" s="470"/>
      <c r="C125" s="472">
        <v>3142954</v>
      </c>
      <c r="D125" s="472">
        <v>3138306</v>
      </c>
      <c r="E125" s="505">
        <v>4648</v>
      </c>
      <c r="F125" s="254"/>
      <c r="G125" s="254"/>
      <c r="H125" s="254"/>
      <c r="I125" s="254"/>
    </row>
    <row r="126" spans="1:9">
      <c r="A126" s="538" t="s">
        <v>1943</v>
      </c>
      <c r="B126" s="470"/>
      <c r="C126" s="472">
        <v>186335</v>
      </c>
      <c r="D126" s="472">
        <v>178039</v>
      </c>
      <c r="E126" s="505">
        <v>8296</v>
      </c>
      <c r="F126" s="254"/>
      <c r="G126" s="254"/>
      <c r="H126" s="254"/>
      <c r="I126" s="254"/>
    </row>
    <row r="127" spans="1:9">
      <c r="A127" s="538" t="s">
        <v>989</v>
      </c>
      <c r="B127" s="470"/>
      <c r="C127" s="472">
        <v>307224</v>
      </c>
      <c r="D127" s="472">
        <v>76800</v>
      </c>
      <c r="E127" s="505">
        <v>230424</v>
      </c>
      <c r="F127" s="254"/>
      <c r="G127" s="254"/>
      <c r="H127" s="254"/>
      <c r="I127" s="254"/>
    </row>
    <row r="128" spans="1:9">
      <c r="A128" s="538" t="s">
        <v>1944</v>
      </c>
      <c r="B128" s="473">
        <v>30444</v>
      </c>
      <c r="C128" s="472">
        <v>49118</v>
      </c>
      <c r="D128" s="472">
        <v>20798</v>
      </c>
      <c r="E128" s="473">
        <v>2124</v>
      </c>
    </row>
    <row r="129" spans="1:9">
      <c r="A129" s="534" t="s">
        <v>2257</v>
      </c>
      <c r="B129" s="470"/>
      <c r="C129" s="471"/>
      <c r="D129" s="472">
        <v>31122</v>
      </c>
      <c r="E129" s="473">
        <v>31122</v>
      </c>
      <c r="F129" s="254"/>
      <c r="G129" s="254"/>
      <c r="H129" s="254"/>
      <c r="I129" s="254"/>
    </row>
    <row r="130" spans="1:9">
      <c r="A130" s="539" t="s">
        <v>2258</v>
      </c>
      <c r="B130" s="470"/>
      <c r="C130" s="472">
        <v>33597</v>
      </c>
      <c r="D130" s="472">
        <v>33597</v>
      </c>
      <c r="E130" s="470"/>
    </row>
    <row r="131" spans="1:9">
      <c r="A131" s="534" t="s">
        <v>1945</v>
      </c>
      <c r="B131" s="473">
        <v>57328</v>
      </c>
      <c r="C131" s="471"/>
      <c r="D131" s="471"/>
      <c r="E131" s="473">
        <v>57328</v>
      </c>
      <c r="F131" s="254"/>
      <c r="G131" s="254"/>
      <c r="H131" s="254"/>
      <c r="I131" s="254"/>
    </row>
    <row r="132" spans="1:9">
      <c r="A132" s="534" t="s">
        <v>2259</v>
      </c>
      <c r="B132" s="470"/>
      <c r="C132" s="472">
        <v>59596</v>
      </c>
      <c r="D132" s="472">
        <v>59596</v>
      </c>
      <c r="E132" s="470"/>
    </row>
    <row r="133" spans="1:9">
      <c r="A133" s="538" t="s">
        <v>1693</v>
      </c>
      <c r="B133" s="484">
        <v>6867.18</v>
      </c>
      <c r="C133" s="475">
        <v>1095567</v>
      </c>
      <c r="D133" s="475">
        <v>1279073</v>
      </c>
      <c r="E133" s="645">
        <v>176638.82</v>
      </c>
      <c r="F133" s="515"/>
    </row>
    <row r="134" spans="1:9">
      <c r="A134" s="542" t="s">
        <v>2260</v>
      </c>
      <c r="B134" s="545"/>
      <c r="C134" s="544">
        <v>63602</v>
      </c>
      <c r="D134" s="544">
        <v>63602</v>
      </c>
      <c r="E134" s="545"/>
    </row>
    <row r="135" spans="1:9">
      <c r="A135" s="538" t="s">
        <v>1946</v>
      </c>
      <c r="B135" s="474">
        <v>7000</v>
      </c>
      <c r="C135" s="471"/>
      <c r="D135" s="471"/>
      <c r="E135" s="505">
        <v>7000</v>
      </c>
      <c r="F135" s="515"/>
    </row>
    <row r="136" spans="1:9">
      <c r="A136" s="538" t="s">
        <v>596</v>
      </c>
      <c r="B136" s="473">
        <v>11875</v>
      </c>
      <c r="C136" s="472">
        <v>89686</v>
      </c>
      <c r="D136" s="472">
        <v>151185</v>
      </c>
      <c r="E136" s="473">
        <v>73374</v>
      </c>
    </row>
    <row r="137" spans="1:9">
      <c r="A137" s="542" t="s">
        <v>1947</v>
      </c>
      <c r="B137" s="543">
        <v>293</v>
      </c>
      <c r="C137" s="544">
        <v>98226</v>
      </c>
      <c r="D137" s="544">
        <v>97933</v>
      </c>
      <c r="E137" s="545"/>
    </row>
    <row r="138" spans="1:9">
      <c r="A138" s="542" t="s">
        <v>2261</v>
      </c>
      <c r="B138" s="545"/>
      <c r="C138" s="544">
        <v>54000</v>
      </c>
      <c r="D138" s="544">
        <v>54000</v>
      </c>
      <c r="E138" s="545"/>
    </row>
    <row r="139" spans="1:9">
      <c r="A139" s="542" t="s">
        <v>1950</v>
      </c>
      <c r="B139" s="545"/>
      <c r="C139" s="544">
        <v>11800</v>
      </c>
      <c r="D139" s="544">
        <v>11800</v>
      </c>
      <c r="E139" s="545"/>
    </row>
    <row r="140" spans="1:9">
      <c r="A140" s="538" t="s">
        <v>600</v>
      </c>
      <c r="B140" s="474">
        <v>105236</v>
      </c>
      <c r="C140" s="471"/>
      <c r="D140" s="471"/>
      <c r="E140" s="505">
        <v>105236</v>
      </c>
      <c r="F140" s="254"/>
      <c r="G140" s="254"/>
      <c r="H140" s="254"/>
      <c r="I140" s="254"/>
    </row>
    <row r="141" spans="1:9">
      <c r="A141" s="548" t="s">
        <v>2262</v>
      </c>
      <c r="B141" s="545"/>
      <c r="C141" s="544">
        <v>99710</v>
      </c>
      <c r="D141" s="544">
        <v>99710</v>
      </c>
      <c r="E141" s="545"/>
    </row>
    <row r="142" spans="1:9">
      <c r="A142" s="542" t="s">
        <v>992</v>
      </c>
      <c r="B142" s="545"/>
      <c r="C142" s="544">
        <v>69000</v>
      </c>
      <c r="D142" s="544">
        <v>69000</v>
      </c>
      <c r="E142" s="545"/>
    </row>
    <row r="143" spans="1:9">
      <c r="A143" s="542" t="s">
        <v>2263</v>
      </c>
      <c r="B143" s="545"/>
      <c r="C143" s="544">
        <v>111537</v>
      </c>
      <c r="D143" s="544">
        <v>111537</v>
      </c>
      <c r="E143" s="545"/>
    </row>
    <row r="144" spans="1:9">
      <c r="A144" s="538" t="s">
        <v>2264</v>
      </c>
      <c r="B144" s="470"/>
      <c r="C144" s="472">
        <v>243670</v>
      </c>
      <c r="D144" s="472">
        <v>171100</v>
      </c>
      <c r="E144" s="505">
        <v>72570</v>
      </c>
      <c r="F144" s="254"/>
      <c r="G144" s="254"/>
      <c r="H144" s="254"/>
      <c r="I144" s="254"/>
    </row>
    <row r="145" spans="1:9">
      <c r="A145" s="534" t="s">
        <v>1953</v>
      </c>
      <c r="B145" s="470"/>
      <c r="C145" s="472">
        <v>647850</v>
      </c>
      <c r="D145" s="472">
        <v>548160</v>
      </c>
      <c r="E145" s="505">
        <v>99690</v>
      </c>
      <c r="F145" s="254"/>
      <c r="G145" s="254"/>
      <c r="H145" s="254"/>
      <c r="I145" s="254"/>
    </row>
    <row r="146" spans="1:9">
      <c r="A146" s="538" t="s">
        <v>1954</v>
      </c>
      <c r="B146" s="473">
        <v>8860</v>
      </c>
      <c r="C146" s="472">
        <v>142720</v>
      </c>
      <c r="D146" s="472">
        <v>125150</v>
      </c>
      <c r="E146" s="505">
        <v>8710</v>
      </c>
      <c r="F146" s="254"/>
      <c r="G146" s="254"/>
      <c r="H146" s="254"/>
      <c r="I146" s="254"/>
    </row>
    <row r="147" spans="1:9">
      <c r="A147" s="538" t="s">
        <v>2265</v>
      </c>
      <c r="B147" s="470"/>
      <c r="C147" s="472">
        <v>344400</v>
      </c>
      <c r="D147" s="472">
        <v>382200</v>
      </c>
      <c r="E147" s="473">
        <v>37800</v>
      </c>
      <c r="F147" s="254"/>
      <c r="G147" s="254"/>
      <c r="H147" s="254"/>
      <c r="I147" s="254"/>
    </row>
    <row r="148" spans="1:9">
      <c r="A148" s="538" t="s">
        <v>603</v>
      </c>
      <c r="B148" s="473">
        <v>1959</v>
      </c>
      <c r="C148" s="472">
        <v>252906</v>
      </c>
      <c r="D148" s="472">
        <v>10151</v>
      </c>
      <c r="E148" s="505">
        <v>240796</v>
      </c>
      <c r="F148" s="254"/>
      <c r="G148" s="254"/>
      <c r="H148" s="254"/>
      <c r="I148" s="254"/>
    </row>
    <row r="149" spans="1:9">
      <c r="A149" s="538" t="s">
        <v>1412</v>
      </c>
      <c r="B149" s="470"/>
      <c r="C149" s="472">
        <v>303653</v>
      </c>
      <c r="D149" s="472">
        <v>303653</v>
      </c>
      <c r="E149" s="470"/>
    </row>
    <row r="150" spans="1:9">
      <c r="A150" s="538" t="s">
        <v>2266</v>
      </c>
      <c r="B150" s="470"/>
      <c r="C150" s="472">
        <v>97500</v>
      </c>
      <c r="D150" s="472">
        <v>97500</v>
      </c>
      <c r="E150" s="470"/>
    </row>
    <row r="151" spans="1:9">
      <c r="A151" s="538" t="s">
        <v>604</v>
      </c>
      <c r="B151" s="473">
        <v>5030</v>
      </c>
      <c r="C151" s="472">
        <v>226720</v>
      </c>
      <c r="D151" s="472">
        <v>227210</v>
      </c>
      <c r="E151" s="473">
        <v>5520</v>
      </c>
    </row>
    <row r="152" spans="1:9">
      <c r="A152" s="538" t="s">
        <v>1955</v>
      </c>
      <c r="B152" s="470"/>
      <c r="C152" s="472">
        <v>497392</v>
      </c>
      <c r="D152" s="472">
        <v>496650</v>
      </c>
      <c r="E152" s="505">
        <v>742</v>
      </c>
      <c r="F152" s="254"/>
      <c r="G152" s="254"/>
      <c r="H152" s="254"/>
      <c r="I152" s="254"/>
    </row>
    <row r="153" spans="1:9">
      <c r="A153" s="538" t="s">
        <v>1413</v>
      </c>
      <c r="B153" s="473">
        <v>11211</v>
      </c>
      <c r="C153" s="472">
        <v>601210</v>
      </c>
      <c r="D153" s="472">
        <v>590000</v>
      </c>
      <c r="E153" s="473">
        <v>1</v>
      </c>
      <c r="F153" s="254"/>
      <c r="G153" s="254"/>
      <c r="H153" s="254"/>
      <c r="I153" s="254"/>
    </row>
    <row r="154" spans="1:9">
      <c r="A154" s="538" t="s">
        <v>1959</v>
      </c>
      <c r="B154" s="474">
        <v>84550</v>
      </c>
      <c r="C154" s="472">
        <v>190133</v>
      </c>
      <c r="D154" s="472">
        <v>274684</v>
      </c>
      <c r="E154" s="473">
        <v>1</v>
      </c>
      <c r="F154" s="254"/>
      <c r="G154" s="254"/>
      <c r="H154" s="254"/>
      <c r="I154" s="254"/>
    </row>
    <row r="155" spans="1:9">
      <c r="A155" s="538" t="s">
        <v>2267</v>
      </c>
      <c r="B155" s="477"/>
      <c r="C155" s="475">
        <v>310639</v>
      </c>
      <c r="D155" s="477"/>
      <c r="E155" s="355">
        <v>310639</v>
      </c>
      <c r="F155" s="254"/>
      <c r="G155" s="254"/>
      <c r="H155" s="254"/>
      <c r="I155" s="254"/>
    </row>
    <row r="156" spans="1:9">
      <c r="A156" s="542" t="s">
        <v>2268</v>
      </c>
      <c r="B156" s="545"/>
      <c r="C156" s="544">
        <v>1374600</v>
      </c>
      <c r="D156" s="544">
        <v>1374600</v>
      </c>
      <c r="E156" s="545"/>
    </row>
    <row r="157" spans="1:9">
      <c r="A157" s="538" t="s">
        <v>1961</v>
      </c>
      <c r="B157" s="485">
        <v>861.15</v>
      </c>
      <c r="C157" s="477"/>
      <c r="D157" s="477"/>
      <c r="E157" s="485">
        <v>861.15</v>
      </c>
    </row>
    <row r="158" spans="1:9">
      <c r="A158" s="539" t="s">
        <v>606</v>
      </c>
      <c r="B158" s="485">
        <v>151411</v>
      </c>
      <c r="C158" s="475">
        <v>760049</v>
      </c>
      <c r="D158" s="475">
        <v>924039</v>
      </c>
      <c r="E158" s="485">
        <v>315401</v>
      </c>
    </row>
    <row r="159" spans="1:9">
      <c r="A159" s="534" t="s">
        <v>1962</v>
      </c>
      <c r="B159" s="470"/>
      <c r="C159" s="472">
        <v>498764</v>
      </c>
      <c r="D159" s="472">
        <v>498762</v>
      </c>
      <c r="E159" s="505">
        <v>2</v>
      </c>
      <c r="F159" s="254"/>
      <c r="G159" s="254"/>
      <c r="H159" s="254"/>
      <c r="I159" s="254"/>
    </row>
    <row r="160" spans="1:9">
      <c r="A160" s="534" t="s">
        <v>2269</v>
      </c>
      <c r="B160" s="470"/>
      <c r="C160" s="472">
        <v>291165</v>
      </c>
      <c r="D160" s="472">
        <v>302493</v>
      </c>
      <c r="E160" s="473">
        <v>11328</v>
      </c>
      <c r="F160" s="254"/>
      <c r="G160" s="254"/>
      <c r="H160" s="254"/>
      <c r="I160" s="254"/>
    </row>
    <row r="161" spans="1:9">
      <c r="A161" s="538" t="s">
        <v>1414</v>
      </c>
      <c r="B161" s="470"/>
      <c r="C161" s="472">
        <v>747500</v>
      </c>
      <c r="D161" s="472">
        <v>595000</v>
      </c>
      <c r="E161" s="505">
        <v>152500</v>
      </c>
      <c r="F161" s="254"/>
      <c r="G161" s="254"/>
      <c r="H161" s="254"/>
      <c r="I161" s="254"/>
    </row>
    <row r="162" spans="1:9">
      <c r="A162" s="538" t="s">
        <v>1964</v>
      </c>
      <c r="B162" s="473">
        <v>12390</v>
      </c>
      <c r="C162" s="472">
        <v>165300</v>
      </c>
      <c r="D162" s="472">
        <v>169312.3</v>
      </c>
      <c r="E162" s="473">
        <v>16402.3</v>
      </c>
      <c r="F162" s="254"/>
      <c r="G162" s="254"/>
      <c r="H162" s="254"/>
      <c r="I162" s="254"/>
    </row>
    <row r="163" spans="1:9">
      <c r="A163" s="538" t="s">
        <v>2270</v>
      </c>
      <c r="B163" s="470"/>
      <c r="C163" s="472">
        <v>929840</v>
      </c>
      <c r="D163" s="472">
        <v>508698</v>
      </c>
      <c r="E163" s="505">
        <v>421142</v>
      </c>
      <c r="F163" s="254"/>
      <c r="G163" s="254"/>
      <c r="H163" s="254"/>
      <c r="I163" s="254"/>
    </row>
    <row r="164" spans="1:9">
      <c r="A164" s="534" t="s">
        <v>1804</v>
      </c>
      <c r="B164" s="473">
        <v>45363</v>
      </c>
      <c r="C164" s="472">
        <v>82438</v>
      </c>
      <c r="D164" s="472">
        <v>81898</v>
      </c>
      <c r="E164" s="473">
        <v>44823</v>
      </c>
      <c r="F164" s="254"/>
      <c r="G164" s="254"/>
      <c r="H164" s="254"/>
      <c r="I164" s="254"/>
    </row>
    <row r="165" spans="1:9">
      <c r="A165" s="542" t="s">
        <v>1965</v>
      </c>
      <c r="B165" s="545"/>
      <c r="C165" s="544">
        <v>83554</v>
      </c>
      <c r="D165" s="544">
        <v>83554</v>
      </c>
      <c r="E165" s="545"/>
    </row>
    <row r="166" spans="1:9">
      <c r="A166" s="548" t="s">
        <v>1966</v>
      </c>
      <c r="B166" s="543">
        <v>15486</v>
      </c>
      <c r="C166" s="544">
        <v>749536</v>
      </c>
      <c r="D166" s="544">
        <v>734050</v>
      </c>
      <c r="E166" s="545"/>
    </row>
    <row r="167" spans="1:9">
      <c r="A167" s="548" t="s">
        <v>1968</v>
      </c>
      <c r="B167" s="543">
        <v>89369.8</v>
      </c>
      <c r="C167" s="544">
        <v>135213</v>
      </c>
      <c r="D167" s="544">
        <v>45843.199999999997</v>
      </c>
      <c r="E167" s="545"/>
    </row>
    <row r="168" spans="1:9">
      <c r="A168" s="548" t="s">
        <v>2271</v>
      </c>
      <c r="B168" s="545"/>
      <c r="C168" s="544">
        <v>168000</v>
      </c>
      <c r="D168" s="544">
        <v>168000</v>
      </c>
      <c r="E168" s="545"/>
    </row>
    <row r="169" spans="1:9">
      <c r="A169" s="542" t="s">
        <v>2272</v>
      </c>
      <c r="B169" s="545"/>
      <c r="C169" s="544">
        <v>53400</v>
      </c>
      <c r="D169" s="544">
        <v>53400</v>
      </c>
      <c r="E169" s="545"/>
    </row>
    <row r="170" spans="1:9">
      <c r="A170" s="542" t="s">
        <v>2273</v>
      </c>
      <c r="B170" s="545"/>
      <c r="C170" s="544">
        <v>43005</v>
      </c>
      <c r="D170" s="544">
        <v>43005</v>
      </c>
      <c r="E170" s="545"/>
    </row>
    <row r="171" spans="1:9">
      <c r="A171" s="538" t="s">
        <v>1290</v>
      </c>
      <c r="B171" s="473">
        <v>197988</v>
      </c>
      <c r="C171" s="472">
        <v>1543238</v>
      </c>
      <c r="D171" s="472">
        <v>1562396</v>
      </c>
      <c r="E171" s="473">
        <v>217146</v>
      </c>
    </row>
    <row r="172" spans="1:9">
      <c r="A172" s="538" t="s">
        <v>1969</v>
      </c>
      <c r="B172" s="473">
        <v>174004</v>
      </c>
      <c r="C172" s="472">
        <v>512971</v>
      </c>
      <c r="D172" s="472">
        <v>335327</v>
      </c>
      <c r="E172" s="505">
        <v>3640</v>
      </c>
      <c r="F172" s="254"/>
      <c r="G172" s="254"/>
      <c r="H172" s="254"/>
      <c r="I172" s="254"/>
    </row>
    <row r="173" spans="1:9">
      <c r="A173" s="538" t="s">
        <v>1792</v>
      </c>
      <c r="B173" s="470"/>
      <c r="C173" s="472">
        <v>180121</v>
      </c>
      <c r="D173" s="472">
        <v>180119</v>
      </c>
      <c r="E173" s="505">
        <v>2</v>
      </c>
      <c r="F173" s="254"/>
      <c r="G173" s="254"/>
      <c r="H173" s="254"/>
      <c r="I173" s="254"/>
    </row>
    <row r="174" spans="1:9">
      <c r="A174" s="538" t="s">
        <v>257</v>
      </c>
      <c r="B174" s="485">
        <v>468104.5</v>
      </c>
      <c r="C174" s="475">
        <v>2520376</v>
      </c>
      <c r="D174" s="475">
        <v>2808453</v>
      </c>
      <c r="E174" s="485">
        <v>756181.5</v>
      </c>
    </row>
    <row r="175" spans="1:9">
      <c r="A175" s="534" t="s">
        <v>586</v>
      </c>
      <c r="B175" s="474">
        <v>1175</v>
      </c>
      <c r="C175" s="472">
        <v>53267</v>
      </c>
      <c r="D175" s="472">
        <v>24074</v>
      </c>
      <c r="E175" s="505">
        <v>30368</v>
      </c>
      <c r="F175" s="515"/>
    </row>
    <row r="176" spans="1:9">
      <c r="A176" s="542" t="s">
        <v>2274</v>
      </c>
      <c r="B176" s="545"/>
      <c r="C176" s="544">
        <v>49980</v>
      </c>
      <c r="D176" s="544">
        <v>49980</v>
      </c>
      <c r="E176" s="545"/>
    </row>
    <row r="177" spans="1:9">
      <c r="A177" s="469" t="s">
        <v>587</v>
      </c>
      <c r="B177" s="485">
        <v>58898.879999999997</v>
      </c>
      <c r="C177" s="477"/>
      <c r="D177" s="477"/>
      <c r="E177" s="485">
        <v>58898.879999999997</v>
      </c>
    </row>
    <row r="178" spans="1:9">
      <c r="A178" s="534" t="s">
        <v>1795</v>
      </c>
      <c r="B178" s="473">
        <v>20810</v>
      </c>
      <c r="C178" s="472">
        <v>953950</v>
      </c>
      <c r="D178" s="472">
        <v>1121456</v>
      </c>
      <c r="E178" s="473">
        <v>188316</v>
      </c>
    </row>
    <row r="179" spans="1:9">
      <c r="A179" s="538" t="s">
        <v>2275</v>
      </c>
      <c r="B179" s="473">
        <v>57356</v>
      </c>
      <c r="C179" s="472">
        <v>378574</v>
      </c>
      <c r="D179" s="472">
        <v>342469</v>
      </c>
      <c r="E179" s="473">
        <v>21251</v>
      </c>
      <c r="F179" s="254"/>
      <c r="G179" s="254"/>
      <c r="H179" s="254"/>
      <c r="I179" s="254"/>
    </row>
    <row r="180" spans="1:9">
      <c r="A180" s="548" t="s">
        <v>2276</v>
      </c>
      <c r="B180" s="545"/>
      <c r="C180" s="544">
        <v>108000</v>
      </c>
      <c r="D180" s="544">
        <v>108000</v>
      </c>
      <c r="E180" s="545"/>
    </row>
    <row r="181" spans="1:9">
      <c r="A181" s="548" t="s">
        <v>599</v>
      </c>
      <c r="B181" s="543">
        <v>5700</v>
      </c>
      <c r="C181" s="544">
        <v>5700</v>
      </c>
      <c r="D181" s="547"/>
      <c r="E181" s="545"/>
    </row>
    <row r="182" spans="1:9">
      <c r="A182" s="534" t="s">
        <v>1801</v>
      </c>
      <c r="B182" s="470"/>
      <c r="C182" s="472">
        <v>163046</v>
      </c>
      <c r="D182" s="472">
        <v>185038</v>
      </c>
      <c r="E182" s="473">
        <v>21992</v>
      </c>
    </row>
    <row r="183" spans="1:9">
      <c r="A183" s="542" t="s">
        <v>2277</v>
      </c>
      <c r="B183" s="545"/>
      <c r="C183" s="544">
        <v>33338</v>
      </c>
      <c r="D183" s="544">
        <v>33338</v>
      </c>
      <c r="E183" s="545"/>
    </row>
    <row r="184" spans="1:9">
      <c r="A184" s="538" t="s">
        <v>1418</v>
      </c>
      <c r="B184" s="474">
        <v>45667</v>
      </c>
      <c r="C184" s="471"/>
      <c r="D184" s="471"/>
      <c r="E184" s="505">
        <v>45667</v>
      </c>
      <c r="F184" s="515"/>
    </row>
    <row r="185" spans="1:9">
      <c r="A185" s="538" t="s">
        <v>609</v>
      </c>
      <c r="B185" s="470"/>
      <c r="C185" s="472">
        <v>9137</v>
      </c>
      <c r="D185" s="472">
        <v>3587</v>
      </c>
      <c r="E185" s="505">
        <v>5550</v>
      </c>
      <c r="F185" s="254"/>
      <c r="G185" s="254"/>
      <c r="H185" s="254"/>
      <c r="I185" s="254"/>
    </row>
    <row r="186" spans="1:9">
      <c r="A186" s="558" t="s">
        <v>945</v>
      </c>
      <c r="B186" s="559">
        <v>1700986.87</v>
      </c>
      <c r="C186" s="553">
        <v>52567669.700000003</v>
      </c>
      <c r="D186" s="553">
        <v>48161046</v>
      </c>
      <c r="E186" s="559">
        <v>6107610.5700000003</v>
      </c>
      <c r="F186" s="254"/>
      <c r="G186" s="254"/>
      <c r="H186" s="254"/>
      <c r="I186" s="254"/>
    </row>
    <row r="187" spans="1:9">
      <c r="A187" s="538" t="s">
        <v>2278</v>
      </c>
      <c r="B187" s="477"/>
      <c r="C187" s="475">
        <v>833792</v>
      </c>
      <c r="D187" s="475">
        <v>858993</v>
      </c>
      <c r="E187" s="485">
        <v>25201</v>
      </c>
      <c r="F187" s="254"/>
      <c r="G187" s="254"/>
      <c r="H187" s="254"/>
      <c r="I187" s="254"/>
    </row>
    <row r="188" spans="1:9">
      <c r="A188" s="534" t="s">
        <v>1420</v>
      </c>
      <c r="B188" s="470"/>
      <c r="C188" s="472">
        <v>22000</v>
      </c>
      <c r="D188" s="471"/>
      <c r="E188" s="505">
        <v>22000</v>
      </c>
      <c r="F188" s="254"/>
      <c r="G188" s="254"/>
      <c r="H188" s="254"/>
      <c r="I188" s="254"/>
    </row>
    <row r="189" spans="1:9">
      <c r="A189" s="534" t="s">
        <v>1421</v>
      </c>
      <c r="B189" s="474">
        <v>80376</v>
      </c>
      <c r="C189" s="472">
        <v>481440</v>
      </c>
      <c r="D189" s="472">
        <v>557534</v>
      </c>
      <c r="E189" s="505">
        <v>4282</v>
      </c>
      <c r="F189" s="515"/>
    </row>
    <row r="190" spans="1:9">
      <c r="A190" s="538" t="s">
        <v>1805</v>
      </c>
      <c r="B190" s="485">
        <v>26927</v>
      </c>
      <c r="C190" s="477"/>
      <c r="D190" s="477"/>
      <c r="E190" s="485">
        <v>26927</v>
      </c>
    </row>
    <row r="191" spans="1:9">
      <c r="A191" s="538" t="s">
        <v>1700</v>
      </c>
      <c r="B191" s="474">
        <v>115613</v>
      </c>
      <c r="C191" s="472">
        <v>1922385</v>
      </c>
      <c r="D191" s="472">
        <v>1986508</v>
      </c>
      <c r="E191" s="505">
        <v>51490</v>
      </c>
      <c r="F191" s="515"/>
    </row>
    <row r="192" spans="1:9">
      <c r="A192" s="538" t="s">
        <v>2279</v>
      </c>
      <c r="B192" s="477"/>
      <c r="C192" s="475">
        <v>128200</v>
      </c>
      <c r="D192" s="475">
        <v>128150</v>
      </c>
      <c r="E192" s="355">
        <v>50</v>
      </c>
      <c r="F192" s="254"/>
      <c r="G192" s="254"/>
      <c r="H192" s="254"/>
      <c r="I192" s="254"/>
    </row>
    <row r="193" spans="1:9">
      <c r="A193" s="538" t="s">
        <v>2280</v>
      </c>
      <c r="B193" s="470"/>
      <c r="C193" s="471"/>
      <c r="D193" s="472">
        <v>3500</v>
      </c>
      <c r="E193" s="473">
        <v>3500</v>
      </c>
      <c r="F193" s="254"/>
      <c r="G193" s="254"/>
      <c r="H193" s="254"/>
      <c r="I193" s="254"/>
    </row>
    <row r="194" spans="1:9">
      <c r="A194" s="538" t="s">
        <v>2281</v>
      </c>
      <c r="B194" s="477"/>
      <c r="C194" s="475">
        <v>95000</v>
      </c>
      <c r="D194" s="475">
        <v>98700</v>
      </c>
      <c r="E194" s="485">
        <v>3700</v>
      </c>
      <c r="F194" s="254"/>
      <c r="G194" s="254"/>
      <c r="H194" s="254"/>
      <c r="I194" s="254"/>
    </row>
    <row r="195" spans="1:9">
      <c r="A195" s="538" t="s">
        <v>617</v>
      </c>
      <c r="B195" s="474">
        <v>252828</v>
      </c>
      <c r="C195" s="471"/>
      <c r="D195" s="471"/>
      <c r="E195" s="505">
        <v>252828</v>
      </c>
      <c r="F195" s="515"/>
    </row>
    <row r="196" spans="1:9">
      <c r="A196" s="538" t="s">
        <v>1423</v>
      </c>
      <c r="B196" s="473">
        <v>28377</v>
      </c>
      <c r="C196" s="471"/>
      <c r="D196" s="471"/>
      <c r="E196" s="473">
        <v>28377</v>
      </c>
    </row>
    <row r="197" spans="1:9">
      <c r="A197" s="534" t="s">
        <v>2282</v>
      </c>
      <c r="B197" s="470"/>
      <c r="C197" s="472">
        <v>3600</v>
      </c>
      <c r="D197" s="472">
        <v>5546</v>
      </c>
      <c r="E197" s="473">
        <v>1946</v>
      </c>
      <c r="F197" s="254"/>
      <c r="G197" s="254"/>
      <c r="H197" s="254"/>
      <c r="I197" s="254"/>
    </row>
    <row r="198" spans="1:9">
      <c r="A198" s="534" t="s">
        <v>618</v>
      </c>
      <c r="B198" s="485">
        <v>12448</v>
      </c>
      <c r="C198" s="475">
        <v>54495</v>
      </c>
      <c r="D198" s="475">
        <v>14900</v>
      </c>
      <c r="E198" s="355">
        <v>27147</v>
      </c>
      <c r="F198" s="254"/>
      <c r="G198" s="254"/>
      <c r="H198" s="254"/>
      <c r="I198" s="254"/>
    </row>
    <row r="199" spans="1:9">
      <c r="A199" s="561" t="s">
        <v>1428</v>
      </c>
      <c r="B199" s="562"/>
      <c r="C199" s="563">
        <v>98734</v>
      </c>
      <c r="D199" s="563">
        <v>98734</v>
      </c>
      <c r="E199" s="562"/>
    </row>
    <row r="200" spans="1:9">
      <c r="A200" s="534" t="s">
        <v>621</v>
      </c>
      <c r="B200" s="485">
        <v>65063</v>
      </c>
      <c r="C200" s="477"/>
      <c r="D200" s="477"/>
      <c r="E200" s="485">
        <v>65063</v>
      </c>
    </row>
    <row r="201" spans="1:9">
      <c r="A201" s="534" t="s">
        <v>623</v>
      </c>
      <c r="B201" s="470"/>
      <c r="C201" s="472">
        <v>2500</v>
      </c>
      <c r="D201" s="471"/>
      <c r="E201" s="505">
        <v>2500</v>
      </c>
      <c r="F201" s="254"/>
      <c r="G201" s="254"/>
      <c r="H201" s="254"/>
      <c r="I201" s="254"/>
    </row>
    <row r="202" spans="1:9">
      <c r="A202" s="538" t="s">
        <v>2283</v>
      </c>
      <c r="B202" s="470"/>
      <c r="C202" s="471"/>
      <c r="D202" s="472">
        <v>11500</v>
      </c>
      <c r="E202" s="473">
        <v>11500</v>
      </c>
      <c r="F202" s="254"/>
      <c r="G202" s="254"/>
      <c r="H202" s="254"/>
      <c r="I202" s="254"/>
    </row>
    <row r="203" spans="1:9">
      <c r="A203" s="538" t="s">
        <v>2284</v>
      </c>
      <c r="B203" s="470"/>
      <c r="C203" s="472">
        <v>8184</v>
      </c>
      <c r="D203" s="471"/>
      <c r="E203" s="505">
        <v>8184</v>
      </c>
      <c r="F203" s="254"/>
      <c r="G203" s="254"/>
      <c r="H203" s="254"/>
      <c r="I203" s="254"/>
    </row>
    <row r="204" spans="1:9">
      <c r="A204" s="538" t="s">
        <v>2285</v>
      </c>
      <c r="B204" s="470"/>
      <c r="C204" s="472">
        <v>1850</v>
      </c>
      <c r="D204" s="471"/>
      <c r="E204" s="505">
        <v>1850</v>
      </c>
      <c r="F204" s="254"/>
      <c r="G204" s="254"/>
      <c r="H204" s="254"/>
      <c r="I204" s="254"/>
    </row>
    <row r="205" spans="1:9">
      <c r="A205" s="538" t="s">
        <v>1972</v>
      </c>
      <c r="B205" s="474">
        <v>6260</v>
      </c>
      <c r="C205" s="472">
        <v>1027350</v>
      </c>
      <c r="D205" s="472">
        <v>1099750</v>
      </c>
      <c r="E205" s="473">
        <v>66140</v>
      </c>
      <c r="F205" s="254"/>
      <c r="G205" s="254"/>
      <c r="H205" s="254"/>
      <c r="I205" s="254"/>
    </row>
    <row r="206" spans="1:9">
      <c r="A206" s="538" t="s">
        <v>627</v>
      </c>
      <c r="B206" s="474">
        <v>4760</v>
      </c>
      <c r="C206" s="472">
        <v>317036</v>
      </c>
      <c r="D206" s="472">
        <v>312550</v>
      </c>
      <c r="E206" s="505">
        <v>9246</v>
      </c>
      <c r="F206" s="515"/>
    </row>
    <row r="207" spans="1:9">
      <c r="A207" s="564" t="s">
        <v>2286</v>
      </c>
      <c r="B207" s="562"/>
      <c r="C207" s="563">
        <v>119000</v>
      </c>
      <c r="D207" s="563">
        <v>119000</v>
      </c>
      <c r="E207" s="562"/>
    </row>
    <row r="208" spans="1:9">
      <c r="A208" s="539" t="s">
        <v>1701</v>
      </c>
      <c r="B208" s="474">
        <v>405106.3</v>
      </c>
      <c r="C208" s="472">
        <v>1118228.7</v>
      </c>
      <c r="D208" s="472">
        <v>1509335</v>
      </c>
      <c r="E208" s="505">
        <v>14000</v>
      </c>
      <c r="F208" s="515"/>
    </row>
    <row r="209" spans="1:9">
      <c r="A209" s="534" t="s">
        <v>1281</v>
      </c>
      <c r="B209" s="485">
        <v>5785</v>
      </c>
      <c r="C209" s="475">
        <v>7500</v>
      </c>
      <c r="D209" s="475">
        <v>7500</v>
      </c>
      <c r="E209" s="485">
        <v>5785</v>
      </c>
    </row>
    <row r="210" spans="1:9">
      <c r="A210" s="538" t="s">
        <v>1973</v>
      </c>
      <c r="B210" s="535">
        <v>3114</v>
      </c>
      <c r="C210" s="499">
        <v>199555</v>
      </c>
      <c r="D210" s="499">
        <v>195453</v>
      </c>
      <c r="E210" s="356">
        <v>988</v>
      </c>
      <c r="F210" s="254"/>
      <c r="G210" s="254"/>
      <c r="H210" s="254"/>
      <c r="I210" s="254"/>
    </row>
    <row r="211" spans="1:9">
      <c r="A211" s="538" t="s">
        <v>2287</v>
      </c>
      <c r="B211" s="470"/>
      <c r="C211" s="472">
        <v>163786</v>
      </c>
      <c r="D211" s="471"/>
      <c r="E211" s="505">
        <v>163786</v>
      </c>
      <c r="F211" s="254"/>
      <c r="G211" s="254"/>
      <c r="H211" s="254"/>
      <c r="I211" s="254"/>
    </row>
    <row r="212" spans="1:9">
      <c r="A212" s="539" t="s">
        <v>2288</v>
      </c>
      <c r="B212" s="470"/>
      <c r="C212" s="472">
        <v>2650000</v>
      </c>
      <c r="D212" s="471"/>
      <c r="E212" s="505">
        <v>2650000</v>
      </c>
      <c r="F212" s="254"/>
      <c r="G212" s="254"/>
      <c r="H212" s="254"/>
      <c r="I212" s="254"/>
    </row>
    <row r="213" spans="1:9">
      <c r="A213" s="538" t="s">
        <v>632</v>
      </c>
      <c r="B213" s="474">
        <v>5480</v>
      </c>
      <c r="C213" s="472">
        <v>805151</v>
      </c>
      <c r="D213" s="472">
        <v>767225</v>
      </c>
      <c r="E213" s="505">
        <v>43406</v>
      </c>
      <c r="F213" s="254"/>
      <c r="G213" s="254"/>
      <c r="H213" s="254"/>
      <c r="I213" s="254"/>
    </row>
    <row r="214" spans="1:9">
      <c r="A214" s="538" t="s">
        <v>1702</v>
      </c>
      <c r="B214" s="484">
        <v>191700</v>
      </c>
      <c r="C214" s="475">
        <v>5500</v>
      </c>
      <c r="D214" s="475">
        <v>190000</v>
      </c>
      <c r="E214" s="355">
        <v>7200</v>
      </c>
      <c r="F214" s="254"/>
      <c r="G214" s="254"/>
      <c r="H214" s="254"/>
      <c r="I214" s="254"/>
    </row>
    <row r="215" spans="1:9">
      <c r="A215" s="567" t="s">
        <v>2289</v>
      </c>
      <c r="B215" s="565"/>
      <c r="C215" s="566">
        <v>649000</v>
      </c>
      <c r="D215" s="566">
        <v>649000</v>
      </c>
      <c r="E215" s="565"/>
    </row>
    <row r="216" spans="1:9">
      <c r="A216" s="538" t="s">
        <v>2290</v>
      </c>
      <c r="B216" s="477"/>
      <c r="C216" s="475">
        <v>60260</v>
      </c>
      <c r="D216" s="475">
        <v>60450</v>
      </c>
      <c r="E216" s="485">
        <v>190</v>
      </c>
      <c r="F216" s="254"/>
      <c r="G216" s="254"/>
      <c r="H216" s="254"/>
      <c r="I216" s="254"/>
    </row>
    <row r="217" spans="1:9">
      <c r="A217" s="538" t="s">
        <v>1280</v>
      </c>
      <c r="B217" s="502"/>
      <c r="C217" s="499">
        <v>27341</v>
      </c>
      <c r="D217" s="499">
        <v>28716</v>
      </c>
      <c r="E217" s="535">
        <v>1375</v>
      </c>
      <c r="F217" s="254"/>
      <c r="G217" s="254"/>
      <c r="H217" s="254"/>
      <c r="I217" s="254"/>
    </row>
    <row r="218" spans="1:9">
      <c r="A218" s="534" t="s">
        <v>1011</v>
      </c>
      <c r="B218" s="473">
        <v>28778</v>
      </c>
      <c r="C218" s="472">
        <v>249200</v>
      </c>
      <c r="D218" s="472">
        <v>275800</v>
      </c>
      <c r="E218" s="473">
        <v>55378</v>
      </c>
    </row>
    <row r="219" spans="1:9">
      <c r="A219" s="534" t="s">
        <v>2291</v>
      </c>
      <c r="B219" s="470"/>
      <c r="C219" s="472">
        <v>3500</v>
      </c>
      <c r="D219" s="471"/>
      <c r="E219" s="505">
        <v>3500</v>
      </c>
      <c r="F219" s="254"/>
      <c r="G219" s="254"/>
      <c r="H219" s="254"/>
      <c r="I219" s="254"/>
    </row>
    <row r="220" spans="1:9">
      <c r="A220" s="538" t="s">
        <v>2292</v>
      </c>
      <c r="B220" s="477"/>
      <c r="C220" s="475">
        <v>102808</v>
      </c>
      <c r="D220" s="475">
        <v>107808</v>
      </c>
      <c r="E220" s="485">
        <v>5000</v>
      </c>
      <c r="F220" s="254"/>
      <c r="G220" s="254"/>
      <c r="H220" s="254"/>
      <c r="I220" s="254"/>
    </row>
    <row r="221" spans="1:9">
      <c r="A221" s="538" t="s">
        <v>2293</v>
      </c>
      <c r="B221" s="502"/>
      <c r="C221" s="499">
        <v>419500</v>
      </c>
      <c r="D221" s="499">
        <v>534395</v>
      </c>
      <c r="E221" s="535">
        <v>114895</v>
      </c>
      <c r="F221" s="254"/>
      <c r="G221" s="254"/>
      <c r="H221" s="254"/>
      <c r="I221" s="254"/>
    </row>
    <row r="222" spans="1:9">
      <c r="A222" s="534" t="s">
        <v>635</v>
      </c>
      <c r="B222" s="485">
        <v>28091</v>
      </c>
      <c r="C222" s="475">
        <v>79941</v>
      </c>
      <c r="D222" s="475">
        <v>63534</v>
      </c>
      <c r="E222" s="485">
        <v>11684</v>
      </c>
    </row>
    <row r="223" spans="1:9">
      <c r="A223" s="564" t="s">
        <v>2294</v>
      </c>
      <c r="B223" s="565"/>
      <c r="C223" s="566">
        <v>157500</v>
      </c>
      <c r="D223" s="566">
        <v>157500</v>
      </c>
      <c r="E223" s="565"/>
    </row>
    <row r="224" spans="1:9">
      <c r="A224" s="538" t="s">
        <v>637</v>
      </c>
      <c r="B224" s="485">
        <v>8965</v>
      </c>
      <c r="C224" s="475">
        <v>57897</v>
      </c>
      <c r="D224" s="475">
        <v>41956</v>
      </c>
      <c r="E224" s="355">
        <v>6976</v>
      </c>
      <c r="F224" s="254"/>
      <c r="G224" s="254"/>
      <c r="H224" s="254"/>
      <c r="I224" s="254"/>
    </row>
    <row r="225" spans="1:9">
      <c r="A225" s="538" t="s">
        <v>1440</v>
      </c>
      <c r="B225" s="484">
        <v>16590</v>
      </c>
      <c r="C225" s="477"/>
      <c r="D225" s="477"/>
      <c r="E225" s="355">
        <v>16590</v>
      </c>
      <c r="F225" s="254"/>
      <c r="G225" s="254"/>
      <c r="H225" s="254"/>
      <c r="I225" s="254"/>
    </row>
    <row r="226" spans="1:9">
      <c r="A226" s="534" t="s">
        <v>1976</v>
      </c>
      <c r="B226" s="473">
        <v>2857</v>
      </c>
      <c r="C226" s="472">
        <v>114870</v>
      </c>
      <c r="D226" s="472">
        <v>120005</v>
      </c>
      <c r="E226" s="473">
        <v>7992</v>
      </c>
    </row>
    <row r="227" spans="1:9">
      <c r="A227" s="538" t="s">
        <v>1977</v>
      </c>
      <c r="B227" s="484">
        <v>292419</v>
      </c>
      <c r="C227" s="475">
        <v>2867071</v>
      </c>
      <c r="D227" s="475">
        <v>3255593</v>
      </c>
      <c r="E227" s="485">
        <v>96103</v>
      </c>
      <c r="F227" s="254"/>
      <c r="G227" s="254"/>
      <c r="H227" s="254"/>
      <c r="I227" s="254"/>
    </row>
    <row r="228" spans="1:9">
      <c r="A228" s="538" t="s">
        <v>645</v>
      </c>
      <c r="B228" s="470"/>
      <c r="C228" s="472">
        <v>1173163</v>
      </c>
      <c r="D228" s="472">
        <v>1146287</v>
      </c>
      <c r="E228" s="505">
        <v>26876</v>
      </c>
      <c r="F228" s="254"/>
      <c r="G228" s="254"/>
      <c r="H228" s="254"/>
      <c r="I228" s="254"/>
    </row>
    <row r="229" spans="1:9">
      <c r="A229" s="538" t="s">
        <v>646</v>
      </c>
      <c r="B229" s="473">
        <v>7808</v>
      </c>
      <c r="C229" s="471"/>
      <c r="D229" s="471"/>
      <c r="E229" s="473">
        <v>7808</v>
      </c>
    </row>
    <row r="230" spans="1:9">
      <c r="A230" s="538" t="s">
        <v>649</v>
      </c>
      <c r="B230" s="485">
        <v>18445</v>
      </c>
      <c r="C230" s="475">
        <v>170565</v>
      </c>
      <c r="D230" s="475">
        <v>227022</v>
      </c>
      <c r="E230" s="485">
        <v>74902</v>
      </c>
    </row>
    <row r="231" spans="1:9">
      <c r="A231" s="538" t="s">
        <v>2295</v>
      </c>
      <c r="B231" s="470"/>
      <c r="C231" s="472">
        <v>1171168</v>
      </c>
      <c r="D231" s="472">
        <v>1182470</v>
      </c>
      <c r="E231" s="473">
        <v>11302</v>
      </c>
      <c r="F231" s="254"/>
      <c r="G231" s="254"/>
      <c r="H231" s="254"/>
      <c r="I231" s="254"/>
    </row>
    <row r="232" spans="1:9">
      <c r="A232" s="538" t="s">
        <v>1442</v>
      </c>
      <c r="B232" s="477"/>
      <c r="C232" s="475">
        <v>2420</v>
      </c>
      <c r="D232" s="477"/>
      <c r="E232" s="355">
        <v>2420</v>
      </c>
      <c r="F232" s="254"/>
      <c r="G232" s="254"/>
      <c r="H232" s="254"/>
      <c r="I232" s="254"/>
    </row>
    <row r="233" spans="1:9">
      <c r="A233" s="538" t="s">
        <v>1017</v>
      </c>
      <c r="B233" s="473">
        <v>34896</v>
      </c>
      <c r="C233" s="472">
        <v>298960</v>
      </c>
      <c r="D233" s="472">
        <v>319233</v>
      </c>
      <c r="E233" s="473">
        <v>55169</v>
      </c>
    </row>
    <row r="234" spans="1:9">
      <c r="A234" s="538" t="s">
        <v>1703</v>
      </c>
      <c r="B234" s="474">
        <v>99949</v>
      </c>
      <c r="C234" s="472">
        <v>3113747</v>
      </c>
      <c r="D234" s="472">
        <v>2946986</v>
      </c>
      <c r="E234" s="505">
        <v>266710</v>
      </c>
      <c r="F234" s="515"/>
    </row>
    <row r="235" spans="1:9">
      <c r="A235" s="538" t="s">
        <v>2296</v>
      </c>
      <c r="B235" s="470"/>
      <c r="C235" s="472">
        <v>4300</v>
      </c>
      <c r="D235" s="472">
        <v>4900</v>
      </c>
      <c r="E235" s="473">
        <v>600</v>
      </c>
      <c r="F235" s="254"/>
      <c r="G235" s="254"/>
      <c r="H235" s="254"/>
      <c r="I235" s="254"/>
    </row>
    <row r="236" spans="1:9">
      <c r="A236" s="534" t="s">
        <v>2297</v>
      </c>
      <c r="B236" s="477"/>
      <c r="C236" s="475">
        <v>6000</v>
      </c>
      <c r="D236" s="477"/>
      <c r="E236" s="355">
        <v>6000</v>
      </c>
      <c r="F236" s="254"/>
      <c r="G236" s="254"/>
      <c r="H236" s="254"/>
      <c r="I236" s="254"/>
    </row>
    <row r="237" spans="1:9">
      <c r="A237" s="564" t="s">
        <v>1978</v>
      </c>
      <c r="B237" s="568">
        <v>7897</v>
      </c>
      <c r="C237" s="563">
        <v>7897</v>
      </c>
      <c r="D237" s="569"/>
      <c r="E237" s="562"/>
    </row>
    <row r="238" spans="1:9">
      <c r="A238" s="538" t="s">
        <v>1445</v>
      </c>
      <c r="B238" s="485">
        <v>6330</v>
      </c>
      <c r="C238" s="477"/>
      <c r="D238" s="477"/>
      <c r="E238" s="485">
        <v>6330</v>
      </c>
    </row>
    <row r="239" spans="1:9">
      <c r="A239" s="534" t="s">
        <v>1705</v>
      </c>
      <c r="B239" s="473">
        <v>13426</v>
      </c>
      <c r="C239" s="471"/>
      <c r="D239" s="471"/>
      <c r="E239" s="473">
        <v>13426</v>
      </c>
    </row>
    <row r="240" spans="1:9">
      <c r="A240" s="538" t="s">
        <v>2298</v>
      </c>
      <c r="B240" s="470"/>
      <c r="C240" s="472">
        <v>124400</v>
      </c>
      <c r="D240" s="471"/>
      <c r="E240" s="505">
        <v>124400</v>
      </c>
      <c r="F240" s="254"/>
      <c r="G240" s="254"/>
      <c r="H240" s="254"/>
      <c r="I240" s="254"/>
    </row>
    <row r="241" spans="1:9">
      <c r="A241" s="538" t="s">
        <v>1980</v>
      </c>
      <c r="B241" s="474">
        <v>26469</v>
      </c>
      <c r="C241" s="472">
        <v>10450</v>
      </c>
      <c r="D241" s="472">
        <v>41055</v>
      </c>
      <c r="E241" s="473">
        <v>4136</v>
      </c>
      <c r="F241" s="254"/>
      <c r="G241" s="254"/>
      <c r="H241" s="254"/>
      <c r="I241" s="254"/>
    </row>
    <row r="242" spans="1:9">
      <c r="A242" s="538" t="s">
        <v>661</v>
      </c>
      <c r="B242" s="470"/>
      <c r="C242" s="472">
        <v>6500</v>
      </c>
      <c r="D242" s="471"/>
      <c r="E242" s="505">
        <v>6500</v>
      </c>
      <c r="F242" s="254"/>
      <c r="G242" s="254"/>
      <c r="H242" s="254"/>
      <c r="I242" s="254"/>
    </row>
    <row r="243" spans="1:9">
      <c r="A243" s="538" t="s">
        <v>2299</v>
      </c>
      <c r="B243" s="477"/>
      <c r="C243" s="475">
        <v>120000</v>
      </c>
      <c r="D243" s="475">
        <v>131192</v>
      </c>
      <c r="E243" s="485">
        <v>11192</v>
      </c>
      <c r="F243" s="254"/>
      <c r="G243" s="254"/>
      <c r="H243" s="254"/>
      <c r="I243" s="254"/>
    </row>
    <row r="244" spans="1:9">
      <c r="A244" s="538" t="s">
        <v>665</v>
      </c>
      <c r="B244" s="473">
        <v>33942</v>
      </c>
      <c r="C244" s="471"/>
      <c r="D244" s="471"/>
      <c r="E244" s="473">
        <v>33942</v>
      </c>
    </row>
    <row r="245" spans="1:9">
      <c r="A245" s="538" t="s">
        <v>1706</v>
      </c>
      <c r="B245" s="474">
        <v>95383.5</v>
      </c>
      <c r="C245" s="472">
        <v>3872820</v>
      </c>
      <c r="D245" s="472">
        <v>2557248</v>
      </c>
      <c r="E245" s="505">
        <v>1410955.5</v>
      </c>
      <c r="F245" s="515"/>
    </row>
    <row r="246" spans="1:9">
      <c r="A246" s="561" t="s">
        <v>2300</v>
      </c>
      <c r="B246" s="570"/>
      <c r="C246" s="571">
        <v>13500</v>
      </c>
      <c r="D246" s="571">
        <v>13500</v>
      </c>
      <c r="E246" s="570"/>
    </row>
    <row r="247" spans="1:9">
      <c r="A247" s="538" t="s">
        <v>667</v>
      </c>
      <c r="B247" s="535">
        <v>16718</v>
      </c>
      <c r="C247" s="499">
        <v>142660</v>
      </c>
      <c r="D247" s="499">
        <v>184251</v>
      </c>
      <c r="E247" s="535">
        <v>58309</v>
      </c>
    </row>
    <row r="248" spans="1:9">
      <c r="A248" s="534" t="s">
        <v>1982</v>
      </c>
      <c r="B248" s="484">
        <v>268460</v>
      </c>
      <c r="C248" s="475">
        <v>1337900</v>
      </c>
      <c r="D248" s="475">
        <v>1581810</v>
      </c>
      <c r="E248" s="355">
        <v>24550</v>
      </c>
      <c r="F248" s="515"/>
    </row>
    <row r="249" spans="1:9">
      <c r="A249" s="538" t="s">
        <v>1983</v>
      </c>
      <c r="B249" s="535">
        <v>20954</v>
      </c>
      <c r="C249" s="499">
        <v>770803</v>
      </c>
      <c r="D249" s="499">
        <v>716861</v>
      </c>
      <c r="E249" s="356">
        <v>32988</v>
      </c>
      <c r="F249" s="254"/>
      <c r="G249" s="254"/>
      <c r="H249" s="254"/>
      <c r="I249" s="254"/>
    </row>
    <row r="250" spans="1:9">
      <c r="A250" s="534" t="s">
        <v>1449</v>
      </c>
      <c r="B250" s="535">
        <v>12539</v>
      </c>
      <c r="C250" s="499">
        <v>167078</v>
      </c>
      <c r="D250" s="499">
        <v>167973</v>
      </c>
      <c r="E250" s="535">
        <v>13434</v>
      </c>
    </row>
    <row r="251" spans="1:9">
      <c r="A251" s="538" t="s">
        <v>669</v>
      </c>
      <c r="B251" s="474">
        <v>21514</v>
      </c>
      <c r="C251" s="472">
        <v>589890</v>
      </c>
      <c r="D251" s="472">
        <v>558848</v>
      </c>
      <c r="E251" s="505">
        <v>52556</v>
      </c>
      <c r="F251" s="515"/>
    </row>
    <row r="252" spans="1:9">
      <c r="A252" s="538" t="s">
        <v>1450</v>
      </c>
      <c r="B252" s="470"/>
      <c r="C252" s="472">
        <v>1387</v>
      </c>
      <c r="D252" s="471"/>
      <c r="E252" s="505">
        <v>1387</v>
      </c>
      <c r="F252" s="254"/>
      <c r="G252" s="254"/>
      <c r="H252" s="254"/>
      <c r="I252" s="254"/>
    </row>
    <row r="253" spans="1:9">
      <c r="A253" s="534" t="s">
        <v>670</v>
      </c>
      <c r="B253" s="485">
        <v>75441</v>
      </c>
      <c r="C253" s="475">
        <v>509550</v>
      </c>
      <c r="D253" s="475">
        <v>373470</v>
      </c>
      <c r="E253" s="355">
        <v>60639</v>
      </c>
      <c r="F253" s="254"/>
      <c r="G253" s="254"/>
      <c r="H253" s="254"/>
      <c r="I253" s="254"/>
    </row>
    <row r="254" spans="1:9">
      <c r="A254" s="538" t="s">
        <v>2301</v>
      </c>
      <c r="B254" s="470"/>
      <c r="C254" s="472">
        <v>2491217</v>
      </c>
      <c r="D254" s="472">
        <v>2502424</v>
      </c>
      <c r="E254" s="473">
        <v>11207</v>
      </c>
      <c r="F254" s="254"/>
      <c r="G254" s="254"/>
      <c r="H254" s="254"/>
      <c r="I254" s="254"/>
    </row>
    <row r="255" spans="1:9">
      <c r="A255" s="538" t="s">
        <v>2302</v>
      </c>
      <c r="B255" s="477"/>
      <c r="C255" s="475">
        <v>13</v>
      </c>
      <c r="D255" s="477"/>
      <c r="E255" s="355">
        <v>13</v>
      </c>
      <c r="F255" s="254"/>
      <c r="G255" s="254"/>
      <c r="H255" s="254"/>
      <c r="I255" s="254"/>
    </row>
    <row r="256" spans="1:9">
      <c r="A256" s="538" t="s">
        <v>1279</v>
      </c>
      <c r="B256" s="474">
        <v>234568</v>
      </c>
      <c r="C256" s="472">
        <v>30000</v>
      </c>
      <c r="D256" s="471"/>
      <c r="E256" s="505">
        <v>264568</v>
      </c>
      <c r="F256" s="515"/>
    </row>
    <row r="257" spans="1:9">
      <c r="A257" s="538" t="s">
        <v>2303</v>
      </c>
      <c r="B257" s="470"/>
      <c r="C257" s="472">
        <v>45530</v>
      </c>
      <c r="D257" s="471"/>
      <c r="E257" s="505">
        <v>45530</v>
      </c>
      <c r="F257" s="254"/>
      <c r="G257" s="254"/>
      <c r="H257" s="254"/>
      <c r="I257" s="254"/>
    </row>
    <row r="258" spans="1:9">
      <c r="A258" s="564" t="s">
        <v>1985</v>
      </c>
      <c r="B258" s="568">
        <v>328459</v>
      </c>
      <c r="C258" s="563">
        <v>328459</v>
      </c>
      <c r="D258" s="569"/>
      <c r="E258" s="562"/>
    </row>
    <row r="259" spans="1:9">
      <c r="A259" s="534" t="s">
        <v>2304</v>
      </c>
      <c r="B259" s="470"/>
      <c r="C259" s="472">
        <v>3500</v>
      </c>
      <c r="D259" s="472">
        <v>3827</v>
      </c>
      <c r="E259" s="473">
        <v>327</v>
      </c>
      <c r="F259" s="254"/>
      <c r="G259" s="254"/>
      <c r="H259" s="254"/>
      <c r="I259" s="254"/>
    </row>
    <row r="260" spans="1:9">
      <c r="A260" s="538" t="s">
        <v>671</v>
      </c>
      <c r="B260" s="470"/>
      <c r="C260" s="472">
        <v>10000</v>
      </c>
      <c r="D260" s="471"/>
      <c r="E260" s="505">
        <v>10000</v>
      </c>
      <c r="F260" s="254"/>
      <c r="G260" s="254"/>
      <c r="H260" s="254"/>
      <c r="I260" s="254"/>
    </row>
    <row r="261" spans="1:9">
      <c r="A261" s="538" t="s">
        <v>1986</v>
      </c>
      <c r="B261" s="474">
        <v>44550</v>
      </c>
      <c r="C261" s="472">
        <v>835100</v>
      </c>
      <c r="D261" s="472">
        <v>899347</v>
      </c>
      <c r="E261" s="473">
        <v>19697</v>
      </c>
      <c r="F261" s="254"/>
      <c r="G261" s="254"/>
      <c r="H261" s="254"/>
      <c r="I261" s="254"/>
    </row>
    <row r="262" spans="1:9">
      <c r="A262" s="538" t="s">
        <v>1025</v>
      </c>
      <c r="B262" s="484">
        <v>218178</v>
      </c>
      <c r="C262" s="475">
        <v>2296960</v>
      </c>
      <c r="D262" s="475">
        <v>2470453</v>
      </c>
      <c r="E262" s="355">
        <v>44685</v>
      </c>
      <c r="F262" s="515"/>
    </row>
    <row r="263" spans="1:9">
      <c r="A263" s="539" t="s">
        <v>1987</v>
      </c>
      <c r="B263" s="474">
        <v>119700</v>
      </c>
      <c r="C263" s="472">
        <v>232500</v>
      </c>
      <c r="D263" s="472">
        <v>283330</v>
      </c>
      <c r="E263" s="505">
        <v>68870</v>
      </c>
      <c r="F263" s="515"/>
    </row>
    <row r="264" spans="1:9">
      <c r="A264" s="538" t="s">
        <v>1455</v>
      </c>
      <c r="B264" s="474">
        <v>6564</v>
      </c>
      <c r="C264" s="472">
        <v>608905</v>
      </c>
      <c r="D264" s="472">
        <v>571118</v>
      </c>
      <c r="E264" s="505">
        <v>44351</v>
      </c>
      <c r="F264" s="515"/>
    </row>
    <row r="265" spans="1:9">
      <c r="A265" s="538" t="s">
        <v>2305</v>
      </c>
      <c r="B265" s="477"/>
      <c r="C265" s="475">
        <v>8950</v>
      </c>
      <c r="D265" s="475">
        <v>8950</v>
      </c>
      <c r="E265" s="477"/>
    </row>
    <row r="266" spans="1:9">
      <c r="A266" s="534" t="s">
        <v>677</v>
      </c>
      <c r="B266" s="483">
        <v>37934</v>
      </c>
      <c r="C266" s="499">
        <v>516502</v>
      </c>
      <c r="D266" s="499">
        <v>500349</v>
      </c>
      <c r="E266" s="356">
        <v>54087</v>
      </c>
      <c r="F266" s="515"/>
    </row>
    <row r="267" spans="1:9">
      <c r="A267" s="534" t="s">
        <v>2306</v>
      </c>
      <c r="B267" s="470"/>
      <c r="C267" s="472">
        <v>1850</v>
      </c>
      <c r="D267" s="472">
        <v>5000</v>
      </c>
      <c r="E267" s="473">
        <v>3150</v>
      </c>
      <c r="F267" s="254"/>
      <c r="G267" s="254"/>
      <c r="H267" s="254"/>
      <c r="I267" s="254"/>
    </row>
    <row r="268" spans="1:9">
      <c r="A268" s="538" t="s">
        <v>1816</v>
      </c>
      <c r="B268" s="474">
        <v>34313</v>
      </c>
      <c r="C268" s="472">
        <v>254979</v>
      </c>
      <c r="D268" s="472">
        <v>267112</v>
      </c>
      <c r="E268" s="505">
        <v>22180</v>
      </c>
      <c r="F268" s="515"/>
    </row>
    <row r="269" spans="1:9">
      <c r="A269" s="538" t="s">
        <v>2307</v>
      </c>
      <c r="B269" s="470"/>
      <c r="C269" s="472">
        <v>9435</v>
      </c>
      <c r="D269" s="472">
        <v>73550</v>
      </c>
      <c r="E269" s="473">
        <v>64115</v>
      </c>
      <c r="F269" s="254"/>
      <c r="G269" s="254"/>
      <c r="H269" s="254"/>
      <c r="I269" s="254"/>
    </row>
    <row r="270" spans="1:9">
      <c r="A270" s="538" t="s">
        <v>1027</v>
      </c>
      <c r="B270" s="485">
        <v>9225</v>
      </c>
      <c r="C270" s="477"/>
      <c r="D270" s="477"/>
      <c r="E270" s="485">
        <v>9225</v>
      </c>
    </row>
    <row r="271" spans="1:9">
      <c r="A271" s="538" t="s">
        <v>2308</v>
      </c>
      <c r="B271" s="470"/>
      <c r="C271" s="472">
        <v>4011822</v>
      </c>
      <c r="D271" s="472">
        <v>4011822</v>
      </c>
      <c r="E271" s="470"/>
    </row>
    <row r="272" spans="1:9">
      <c r="A272" s="564" t="s">
        <v>1988</v>
      </c>
      <c r="B272" s="572">
        <v>27302</v>
      </c>
      <c r="C272" s="571">
        <v>27302</v>
      </c>
      <c r="D272" s="570"/>
      <c r="E272" s="570"/>
    </row>
    <row r="273" spans="1:9">
      <c r="A273" s="538" t="s">
        <v>1712</v>
      </c>
      <c r="B273" s="474">
        <v>198116</v>
      </c>
      <c r="C273" s="472">
        <v>1340985</v>
      </c>
      <c r="D273" s="472">
        <v>1476711</v>
      </c>
      <c r="E273" s="505">
        <v>62390</v>
      </c>
      <c r="F273" s="515"/>
    </row>
    <row r="274" spans="1:9">
      <c r="A274" s="538" t="s">
        <v>2309</v>
      </c>
      <c r="B274" s="477"/>
      <c r="C274" s="475">
        <v>87000</v>
      </c>
      <c r="D274" s="475">
        <v>87150</v>
      </c>
      <c r="E274" s="485">
        <v>150</v>
      </c>
      <c r="F274" s="254"/>
      <c r="G274" s="254"/>
      <c r="H274" s="254"/>
      <c r="I274" s="254"/>
    </row>
    <row r="275" spans="1:9">
      <c r="A275" s="534" t="s">
        <v>685</v>
      </c>
      <c r="B275" s="484">
        <v>265000</v>
      </c>
      <c r="C275" s="475">
        <v>25000</v>
      </c>
      <c r="D275" s="477"/>
      <c r="E275" s="355">
        <v>290000</v>
      </c>
      <c r="F275" s="515"/>
    </row>
    <row r="276" spans="1:9">
      <c r="A276" s="538" t="s">
        <v>2310</v>
      </c>
      <c r="B276" s="502"/>
      <c r="C276" s="499">
        <v>400000</v>
      </c>
      <c r="D276" s="502"/>
      <c r="E276" s="356">
        <v>400000</v>
      </c>
      <c r="F276" s="254"/>
      <c r="G276" s="254"/>
      <c r="H276" s="254"/>
      <c r="I276" s="254"/>
    </row>
    <row r="277" spans="1:9">
      <c r="A277" s="534" t="s">
        <v>1819</v>
      </c>
      <c r="B277" s="477"/>
      <c r="C277" s="477"/>
      <c r="D277" s="475">
        <v>6465</v>
      </c>
      <c r="E277" s="485">
        <v>6465</v>
      </c>
      <c r="F277" s="254"/>
      <c r="G277" s="254"/>
      <c r="H277" s="254"/>
      <c r="I277" s="254"/>
    </row>
    <row r="278" spans="1:9">
      <c r="A278" s="538" t="s">
        <v>2311</v>
      </c>
      <c r="B278" s="470"/>
      <c r="C278" s="472">
        <v>2000000</v>
      </c>
      <c r="D278" s="472">
        <v>2330441</v>
      </c>
      <c r="E278" s="473">
        <v>330441</v>
      </c>
      <c r="F278" s="254"/>
      <c r="G278" s="254"/>
      <c r="H278" s="254"/>
      <c r="I278" s="254"/>
    </row>
    <row r="279" spans="1:9">
      <c r="A279" s="564" t="s">
        <v>1990</v>
      </c>
      <c r="B279" s="573">
        <v>92384</v>
      </c>
      <c r="C279" s="571">
        <v>828731</v>
      </c>
      <c r="D279" s="571">
        <v>921115</v>
      </c>
      <c r="E279" s="570"/>
    </row>
    <row r="280" spans="1:9">
      <c r="A280" s="534" t="s">
        <v>1029</v>
      </c>
      <c r="B280" s="470"/>
      <c r="C280" s="472">
        <v>9100</v>
      </c>
      <c r="D280" s="472">
        <v>9399</v>
      </c>
      <c r="E280" s="473">
        <v>299</v>
      </c>
      <c r="F280" s="254"/>
      <c r="G280" s="254"/>
      <c r="H280" s="254"/>
      <c r="I280" s="254"/>
    </row>
    <row r="281" spans="1:9">
      <c r="A281" s="538" t="s">
        <v>2312</v>
      </c>
      <c r="B281" s="477"/>
      <c r="C281" s="475">
        <v>22500</v>
      </c>
      <c r="D281" s="475">
        <v>22715</v>
      </c>
      <c r="E281" s="485">
        <v>215</v>
      </c>
      <c r="F281" s="254"/>
      <c r="G281" s="254"/>
      <c r="H281" s="254"/>
      <c r="I281" s="254"/>
    </row>
    <row r="282" spans="1:9">
      <c r="A282" s="538" t="s">
        <v>2313</v>
      </c>
      <c r="B282" s="470"/>
      <c r="C282" s="472">
        <v>329543</v>
      </c>
      <c r="D282" s="472">
        <v>296543</v>
      </c>
      <c r="E282" s="505">
        <v>33000</v>
      </c>
      <c r="F282" s="254"/>
      <c r="G282" s="254"/>
      <c r="H282" s="254"/>
      <c r="I282" s="254"/>
    </row>
    <row r="283" spans="1:9">
      <c r="A283" s="538" t="s">
        <v>1031</v>
      </c>
      <c r="B283" s="473">
        <v>207531</v>
      </c>
      <c r="C283" s="472">
        <v>5440322</v>
      </c>
      <c r="D283" s="472">
        <v>3996038</v>
      </c>
      <c r="E283" s="505">
        <v>1236753</v>
      </c>
      <c r="F283" s="254"/>
      <c r="G283" s="254"/>
      <c r="H283" s="254"/>
      <c r="I283" s="254"/>
    </row>
    <row r="284" spans="1:9">
      <c r="A284" s="534" t="s">
        <v>1991</v>
      </c>
      <c r="B284" s="474">
        <v>12545</v>
      </c>
      <c r="C284" s="503">
        <v>1144156</v>
      </c>
      <c r="D284" s="503">
        <v>1180283</v>
      </c>
      <c r="E284" s="473">
        <v>23582</v>
      </c>
      <c r="F284" s="254"/>
      <c r="G284" s="254"/>
      <c r="H284" s="254"/>
      <c r="I284" s="254"/>
    </row>
    <row r="285" spans="1:9">
      <c r="A285" s="540" t="s">
        <v>2314</v>
      </c>
      <c r="B285" s="502"/>
      <c r="C285" s="481">
        <v>52000</v>
      </c>
      <c r="D285" s="481">
        <v>64300</v>
      </c>
      <c r="E285" s="535">
        <v>12300</v>
      </c>
      <c r="F285" s="254"/>
      <c r="G285" s="254"/>
      <c r="H285" s="254"/>
      <c r="I285" s="254"/>
    </row>
    <row r="286" spans="1:9">
      <c r="A286" s="538" t="s">
        <v>696</v>
      </c>
      <c r="B286" s="485">
        <v>11035</v>
      </c>
      <c r="C286" s="477"/>
      <c r="D286" s="477"/>
      <c r="E286" s="485">
        <v>11035</v>
      </c>
      <c r="F286" s="254"/>
      <c r="G286" s="254"/>
      <c r="H286" s="254"/>
      <c r="I286" s="254"/>
    </row>
    <row r="287" spans="1:9">
      <c r="A287" s="538" t="s">
        <v>1992</v>
      </c>
      <c r="B287" s="473">
        <v>1600</v>
      </c>
      <c r="C287" s="471"/>
      <c r="D287" s="471"/>
      <c r="E287" s="473">
        <v>1600</v>
      </c>
      <c r="F287" s="254"/>
      <c r="G287" s="254"/>
      <c r="H287" s="254"/>
      <c r="I287" s="254"/>
    </row>
    <row r="288" spans="1:9">
      <c r="A288" s="538" t="s">
        <v>2315</v>
      </c>
      <c r="B288" s="470"/>
      <c r="C288" s="503">
        <v>20000</v>
      </c>
      <c r="D288" s="470"/>
      <c r="E288" s="505">
        <v>20000</v>
      </c>
      <c r="F288" s="254"/>
      <c r="G288" s="254"/>
      <c r="H288" s="254"/>
      <c r="I288" s="254"/>
    </row>
    <row r="289" spans="1:9">
      <c r="A289" s="540" t="s">
        <v>2316</v>
      </c>
      <c r="B289" s="502"/>
      <c r="C289" s="481">
        <v>2800</v>
      </c>
      <c r="D289" s="487"/>
      <c r="E289" s="356">
        <v>2800</v>
      </c>
      <c r="F289" s="254"/>
      <c r="G289" s="254"/>
      <c r="H289" s="254"/>
      <c r="I289" s="254"/>
    </row>
    <row r="290" spans="1:9">
      <c r="A290" s="534" t="s">
        <v>700</v>
      </c>
      <c r="B290" s="473">
        <v>42983</v>
      </c>
      <c r="C290" s="471"/>
      <c r="D290" s="471"/>
      <c r="E290" s="473">
        <v>42983</v>
      </c>
      <c r="F290" s="254"/>
      <c r="G290" s="254"/>
      <c r="H290" s="254"/>
      <c r="I290" s="254"/>
    </row>
    <row r="291" spans="1:9">
      <c r="A291" s="538" t="s">
        <v>1993</v>
      </c>
      <c r="B291" s="473">
        <v>3800</v>
      </c>
      <c r="C291" s="471"/>
      <c r="D291" s="471"/>
      <c r="E291" s="473">
        <v>3800</v>
      </c>
      <c r="F291" s="254"/>
      <c r="G291" s="254"/>
      <c r="H291" s="254"/>
      <c r="I291" s="254"/>
    </row>
    <row r="292" spans="1:9">
      <c r="A292" s="538" t="s">
        <v>1032</v>
      </c>
      <c r="B292" s="473">
        <v>316617.93</v>
      </c>
      <c r="C292" s="471"/>
      <c r="D292" s="471"/>
      <c r="E292" s="473">
        <v>316617.93</v>
      </c>
      <c r="F292" s="254"/>
      <c r="G292" s="254"/>
      <c r="H292" s="254"/>
      <c r="I292" s="254"/>
    </row>
    <row r="293" spans="1:9">
      <c r="A293" s="534" t="s">
        <v>1994</v>
      </c>
      <c r="B293" s="473">
        <v>5574</v>
      </c>
      <c r="C293" s="472">
        <v>25000</v>
      </c>
      <c r="D293" s="471"/>
      <c r="E293" s="505">
        <v>19426</v>
      </c>
      <c r="F293" s="254"/>
      <c r="G293" s="254"/>
      <c r="H293" s="254"/>
      <c r="I293" s="254"/>
    </row>
    <row r="294" spans="1:9">
      <c r="A294" s="534" t="s">
        <v>650</v>
      </c>
      <c r="B294" s="473">
        <v>135879</v>
      </c>
      <c r="C294" s="472">
        <v>104433</v>
      </c>
      <c r="D294" s="472">
        <v>115264</v>
      </c>
      <c r="E294" s="473">
        <v>146710</v>
      </c>
    </row>
    <row r="295" spans="1:9">
      <c r="A295" s="534" t="s">
        <v>656</v>
      </c>
      <c r="B295" s="474">
        <v>55979</v>
      </c>
      <c r="C295" s="471"/>
      <c r="D295" s="472">
        <v>43300</v>
      </c>
      <c r="E295" s="505">
        <v>12679</v>
      </c>
      <c r="F295" s="515"/>
    </row>
    <row r="296" spans="1:9">
      <c r="A296" s="534" t="s">
        <v>1176</v>
      </c>
      <c r="B296" s="473">
        <v>11194</v>
      </c>
      <c r="C296" s="471"/>
      <c r="D296" s="471"/>
      <c r="E296" s="473">
        <v>11194</v>
      </c>
    </row>
    <row r="297" spans="1:9">
      <c r="A297" s="534" t="s">
        <v>2317</v>
      </c>
      <c r="B297" s="474">
        <v>13577</v>
      </c>
      <c r="C297" s="472">
        <v>94078</v>
      </c>
      <c r="D297" s="472">
        <v>109325</v>
      </c>
      <c r="E297" s="473">
        <v>1670</v>
      </c>
      <c r="F297" s="254"/>
      <c r="G297" s="254"/>
      <c r="H297" s="254"/>
      <c r="I297" s="254"/>
    </row>
    <row r="298" spans="1:9">
      <c r="A298" s="534" t="s">
        <v>1464</v>
      </c>
      <c r="B298" s="473">
        <v>1200</v>
      </c>
      <c r="C298" s="471"/>
      <c r="D298" s="471"/>
      <c r="E298" s="473">
        <v>1200</v>
      </c>
    </row>
    <row r="299" spans="1:9">
      <c r="A299" s="534" t="s">
        <v>1037</v>
      </c>
      <c r="B299" s="474">
        <v>2947</v>
      </c>
      <c r="C299" s="472">
        <v>165445</v>
      </c>
      <c r="D299" s="472">
        <v>132205</v>
      </c>
      <c r="E299" s="505">
        <v>36187</v>
      </c>
      <c r="F299" s="515"/>
    </row>
    <row r="300" spans="1:9">
      <c r="A300" s="538" t="s">
        <v>695</v>
      </c>
      <c r="B300" s="470"/>
      <c r="C300" s="472">
        <v>6700</v>
      </c>
      <c r="D300" s="472">
        <v>8000</v>
      </c>
      <c r="E300" s="473">
        <v>1300</v>
      </c>
      <c r="F300" s="254"/>
      <c r="G300" s="254"/>
      <c r="H300" s="254"/>
      <c r="I300" s="254"/>
    </row>
    <row r="301" spans="1:9">
      <c r="A301" s="538" t="s">
        <v>1467</v>
      </c>
      <c r="B301" s="473">
        <v>2090</v>
      </c>
      <c r="C301" s="471"/>
      <c r="D301" s="471"/>
      <c r="E301" s="473">
        <v>2090</v>
      </c>
    </row>
    <row r="302" spans="1:9">
      <c r="A302" s="538" t="s">
        <v>697</v>
      </c>
      <c r="B302" s="474">
        <v>45015</v>
      </c>
      <c r="C302" s="472">
        <v>287520</v>
      </c>
      <c r="D302" s="472">
        <v>351769</v>
      </c>
      <c r="E302" s="473">
        <v>19234</v>
      </c>
      <c r="F302" s="254"/>
      <c r="G302" s="254"/>
      <c r="H302" s="254"/>
      <c r="I302" s="254"/>
    </row>
    <row r="303" spans="1:9">
      <c r="A303" s="551" t="s">
        <v>944</v>
      </c>
      <c r="B303" s="552">
        <v>2336621.4</v>
      </c>
      <c r="C303" s="553">
        <v>30223237</v>
      </c>
      <c r="D303" s="553">
        <v>26823318</v>
      </c>
      <c r="E303" s="559">
        <v>1063297.6000000001</v>
      </c>
    </row>
    <row r="304" spans="1:9">
      <c r="A304" s="560" t="s">
        <v>2318</v>
      </c>
      <c r="B304" s="554"/>
      <c r="C304" s="555">
        <v>933970</v>
      </c>
      <c r="D304" s="555">
        <v>933970</v>
      </c>
      <c r="E304" s="554"/>
    </row>
    <row r="305" spans="1:9">
      <c r="A305" s="560" t="s">
        <v>2319</v>
      </c>
      <c r="B305" s="554"/>
      <c r="C305" s="555">
        <v>141400</v>
      </c>
      <c r="D305" s="555">
        <v>141400</v>
      </c>
      <c r="E305" s="554"/>
    </row>
    <row r="306" spans="1:9">
      <c r="A306" s="574" t="s">
        <v>1996</v>
      </c>
      <c r="B306" s="575">
        <v>89170</v>
      </c>
      <c r="C306" s="555">
        <v>89170</v>
      </c>
      <c r="D306" s="576"/>
      <c r="E306" s="554"/>
    </row>
    <row r="307" spans="1:9">
      <c r="A307" s="538" t="s">
        <v>1997</v>
      </c>
      <c r="B307" s="470"/>
      <c r="C307" s="472">
        <v>3500</v>
      </c>
      <c r="D307" s="471"/>
      <c r="E307" s="505">
        <v>3500</v>
      </c>
      <c r="F307" s="254"/>
      <c r="G307" s="254"/>
      <c r="H307" s="254"/>
      <c r="I307" s="254"/>
    </row>
    <row r="308" spans="1:9">
      <c r="A308" s="538" t="s">
        <v>2320</v>
      </c>
      <c r="B308" s="470"/>
      <c r="C308" s="472">
        <v>16500</v>
      </c>
      <c r="D308" s="472">
        <v>102000</v>
      </c>
      <c r="E308" s="473">
        <v>85500</v>
      </c>
      <c r="F308" s="254"/>
      <c r="G308" s="254"/>
      <c r="H308" s="254"/>
      <c r="I308" s="254"/>
    </row>
    <row r="309" spans="1:9">
      <c r="A309" s="537" t="s">
        <v>1716</v>
      </c>
      <c r="B309" s="470"/>
      <c r="C309" s="472">
        <v>207066</v>
      </c>
      <c r="D309" s="472">
        <v>162040</v>
      </c>
      <c r="E309" s="505">
        <v>45026</v>
      </c>
      <c r="F309" s="254"/>
      <c r="G309" s="254"/>
      <c r="H309" s="254"/>
      <c r="I309" s="254"/>
    </row>
    <row r="310" spans="1:9">
      <c r="A310" s="538" t="s">
        <v>2321</v>
      </c>
      <c r="B310" s="473">
        <v>669065</v>
      </c>
      <c r="C310" s="472">
        <v>2672285</v>
      </c>
      <c r="D310" s="472">
        <v>2054895</v>
      </c>
      <c r="E310" s="473">
        <v>51675</v>
      </c>
      <c r="F310" s="254"/>
      <c r="G310" s="254"/>
      <c r="H310" s="254"/>
      <c r="I310" s="254"/>
    </row>
    <row r="311" spans="1:9">
      <c r="A311" s="538" t="s">
        <v>1999</v>
      </c>
      <c r="B311" s="470"/>
      <c r="C311" s="472">
        <v>656000</v>
      </c>
      <c r="D311" s="472">
        <v>731000</v>
      </c>
      <c r="E311" s="473">
        <v>75000</v>
      </c>
      <c r="F311" s="254"/>
      <c r="G311" s="254"/>
      <c r="H311" s="254"/>
      <c r="I311" s="254"/>
    </row>
    <row r="312" spans="1:9">
      <c r="A312" s="538" t="s">
        <v>2322</v>
      </c>
      <c r="B312" s="470"/>
      <c r="C312" s="503">
        <v>600000</v>
      </c>
      <c r="D312" s="503">
        <v>664016</v>
      </c>
      <c r="E312" s="473">
        <v>64016</v>
      </c>
      <c r="F312" s="254"/>
      <c r="G312" s="254"/>
      <c r="H312" s="254"/>
      <c r="I312" s="254"/>
    </row>
    <row r="313" spans="1:9">
      <c r="A313" s="540" t="s">
        <v>707</v>
      </c>
      <c r="B313" s="535">
        <v>293640.2</v>
      </c>
      <c r="C313" s="481">
        <v>3068640</v>
      </c>
      <c r="D313" s="481">
        <v>3282450</v>
      </c>
      <c r="E313" s="535">
        <v>507450.2</v>
      </c>
    </row>
    <row r="314" spans="1:9">
      <c r="A314" s="190" t="s">
        <v>1717</v>
      </c>
      <c r="B314" s="263">
        <v>973949.2</v>
      </c>
      <c r="C314" s="112">
        <v>1450000</v>
      </c>
      <c r="D314" s="112">
        <v>523902</v>
      </c>
      <c r="E314" s="263">
        <v>47851.199999999997</v>
      </c>
    </row>
    <row r="315" spans="1:9">
      <c r="A315" s="574" t="s">
        <v>2323</v>
      </c>
      <c r="B315" s="554"/>
      <c r="C315" s="555">
        <v>183150</v>
      </c>
      <c r="D315" s="555">
        <v>183150</v>
      </c>
      <c r="E315" s="554"/>
    </row>
    <row r="316" spans="1:9">
      <c r="A316" s="191" t="s">
        <v>2324</v>
      </c>
      <c r="B316" s="96"/>
      <c r="C316" s="104">
        <v>654987</v>
      </c>
      <c r="D316" s="104">
        <v>648124</v>
      </c>
      <c r="E316" s="505">
        <v>6863</v>
      </c>
      <c r="F316" s="254"/>
      <c r="G316" s="254"/>
      <c r="H316" s="254"/>
      <c r="I316" s="254"/>
    </row>
    <row r="317" spans="1:9">
      <c r="A317" s="541" t="s">
        <v>2325</v>
      </c>
      <c r="B317" s="113"/>
      <c r="C317" s="201">
        <v>14740533</v>
      </c>
      <c r="D317" s="201">
        <v>12716406</v>
      </c>
      <c r="E317" s="356">
        <v>2024127</v>
      </c>
      <c r="F317" s="254"/>
      <c r="G317" s="254"/>
      <c r="H317" s="254"/>
      <c r="I317" s="254"/>
    </row>
    <row r="318" spans="1:9">
      <c r="A318" s="190" t="s">
        <v>709</v>
      </c>
      <c r="B318" s="263">
        <v>52224</v>
      </c>
      <c r="C318" s="95"/>
      <c r="D318" s="95"/>
      <c r="E318" s="263">
        <v>52224</v>
      </c>
    </row>
    <row r="319" spans="1:9">
      <c r="A319" s="574" t="s">
        <v>2326</v>
      </c>
      <c r="B319" s="554"/>
      <c r="C319" s="555">
        <v>160300</v>
      </c>
      <c r="D319" s="555">
        <v>160300</v>
      </c>
      <c r="E319" s="554"/>
    </row>
    <row r="320" spans="1:9">
      <c r="A320" s="574" t="s">
        <v>2327</v>
      </c>
      <c r="B320" s="554"/>
      <c r="C320" s="555">
        <v>161979</v>
      </c>
      <c r="D320" s="555">
        <v>161979</v>
      </c>
      <c r="E320" s="554"/>
    </row>
    <row r="321" spans="1:9">
      <c r="A321" s="15" t="s">
        <v>1475</v>
      </c>
      <c r="B321" s="263">
        <v>45200</v>
      </c>
      <c r="C321" s="112">
        <v>471900</v>
      </c>
      <c r="D321" s="112">
        <v>659370</v>
      </c>
      <c r="E321" s="263">
        <v>232670</v>
      </c>
    </row>
    <row r="322" spans="1:9">
      <c r="A322" s="191" t="s">
        <v>2328</v>
      </c>
      <c r="B322" s="96"/>
      <c r="C322" s="112">
        <v>990000</v>
      </c>
      <c r="D322" s="95"/>
      <c r="E322" s="505">
        <v>990000</v>
      </c>
      <c r="F322" s="254"/>
      <c r="G322" s="254"/>
      <c r="H322" s="254"/>
      <c r="I322" s="254"/>
    </row>
    <row r="323" spans="1:9">
      <c r="A323" s="190" t="s">
        <v>2329</v>
      </c>
      <c r="B323" s="96"/>
      <c r="C323" s="112">
        <v>50858</v>
      </c>
      <c r="D323" s="95"/>
      <c r="E323" s="505">
        <v>50858</v>
      </c>
      <c r="F323" s="254"/>
      <c r="G323" s="254"/>
      <c r="H323" s="254"/>
      <c r="I323" s="254"/>
    </row>
    <row r="324" spans="1:9">
      <c r="A324" s="190" t="s">
        <v>1831</v>
      </c>
      <c r="B324" s="263">
        <v>5241</v>
      </c>
      <c r="C324" s="95"/>
      <c r="D324" s="95"/>
      <c r="E324" s="263">
        <v>5241</v>
      </c>
    </row>
    <row r="325" spans="1:9">
      <c r="A325" s="190" t="s">
        <v>2330</v>
      </c>
      <c r="B325" s="96"/>
      <c r="C325" s="112">
        <v>60500</v>
      </c>
      <c r="D325" s="112">
        <v>121000</v>
      </c>
      <c r="E325" s="263">
        <v>60500</v>
      </c>
      <c r="F325" s="254"/>
      <c r="G325" s="254"/>
      <c r="H325" s="254"/>
      <c r="I325" s="254"/>
    </row>
    <row r="326" spans="1:9">
      <c r="A326" s="190" t="s">
        <v>2331</v>
      </c>
      <c r="B326" s="96"/>
      <c r="C326" s="112">
        <v>45725</v>
      </c>
      <c r="D326" s="112">
        <v>82644</v>
      </c>
      <c r="E326" s="263">
        <v>36919</v>
      </c>
      <c r="F326" s="254"/>
      <c r="G326" s="254"/>
      <c r="H326" s="254"/>
      <c r="I326" s="254"/>
    </row>
    <row r="327" spans="1:9">
      <c r="A327" s="574" t="s">
        <v>2332</v>
      </c>
      <c r="B327" s="554"/>
      <c r="C327" s="555">
        <v>98700</v>
      </c>
      <c r="D327" s="555">
        <v>98700</v>
      </c>
      <c r="E327" s="554"/>
    </row>
    <row r="328" spans="1:9">
      <c r="A328" s="190" t="s">
        <v>1834</v>
      </c>
      <c r="B328" s="263">
        <v>4042</v>
      </c>
      <c r="C328" s="112">
        <v>266294</v>
      </c>
      <c r="D328" s="112">
        <v>266294</v>
      </c>
      <c r="E328" s="263">
        <v>4042</v>
      </c>
    </row>
    <row r="329" spans="1:9">
      <c r="A329" s="190" t="s">
        <v>1835</v>
      </c>
      <c r="B329" s="96"/>
      <c r="C329" s="95"/>
      <c r="D329" s="112">
        <v>110000</v>
      </c>
      <c r="E329" s="263">
        <v>110000</v>
      </c>
      <c r="F329" s="254"/>
      <c r="G329" s="254"/>
      <c r="H329" s="254"/>
      <c r="I329" s="254"/>
    </row>
    <row r="330" spans="1:9">
      <c r="A330" s="190" t="s">
        <v>2333</v>
      </c>
      <c r="B330" s="96"/>
      <c r="C330" s="95"/>
      <c r="D330" s="112">
        <v>506466</v>
      </c>
      <c r="E330" s="263">
        <v>506466</v>
      </c>
      <c r="F330" s="254"/>
      <c r="G330" s="254"/>
      <c r="H330" s="254"/>
      <c r="I330" s="254"/>
    </row>
    <row r="331" spans="1:9">
      <c r="A331" s="190" t="s">
        <v>2334</v>
      </c>
      <c r="B331" s="96"/>
      <c r="C331" s="112">
        <v>765000</v>
      </c>
      <c r="D331" s="112">
        <v>859190</v>
      </c>
      <c r="E331" s="263">
        <v>94190</v>
      </c>
      <c r="F331" s="254"/>
      <c r="G331" s="254"/>
      <c r="H331" s="254"/>
      <c r="I331" s="254"/>
    </row>
    <row r="332" spans="1:9">
      <c r="A332" s="574" t="s">
        <v>2335</v>
      </c>
      <c r="B332" s="554"/>
      <c r="C332" s="555">
        <v>71598</v>
      </c>
      <c r="D332" s="555">
        <v>71598</v>
      </c>
      <c r="E332" s="554"/>
    </row>
    <row r="333" spans="1:9">
      <c r="A333" s="15" t="s">
        <v>2336</v>
      </c>
      <c r="B333" s="96"/>
      <c r="C333" s="95"/>
      <c r="D333" s="112">
        <v>14400</v>
      </c>
      <c r="E333" s="263">
        <v>14400</v>
      </c>
      <c r="F333" s="254"/>
      <c r="G333" s="254"/>
      <c r="H333" s="254"/>
      <c r="I333" s="254"/>
    </row>
    <row r="334" spans="1:9">
      <c r="A334" s="560" t="s">
        <v>2337</v>
      </c>
      <c r="B334" s="554"/>
      <c r="C334" s="555">
        <v>90990</v>
      </c>
      <c r="D334" s="555">
        <v>90990</v>
      </c>
      <c r="E334" s="554"/>
    </row>
    <row r="335" spans="1:9">
      <c r="A335" s="190" t="s">
        <v>2338</v>
      </c>
      <c r="B335" s="96"/>
      <c r="C335" s="112">
        <v>3000</v>
      </c>
      <c r="D335" s="95"/>
      <c r="E335" s="505">
        <v>3000</v>
      </c>
      <c r="F335" s="254"/>
      <c r="G335" s="254"/>
      <c r="H335" s="254"/>
      <c r="I335" s="254"/>
    </row>
    <row r="336" spans="1:9">
      <c r="A336" s="190" t="s">
        <v>1270</v>
      </c>
      <c r="B336" s="263">
        <v>108190</v>
      </c>
      <c r="C336" s="112">
        <v>88190</v>
      </c>
      <c r="D336" s="95"/>
      <c r="E336" s="263">
        <v>20000</v>
      </c>
    </row>
    <row r="337" spans="1:9">
      <c r="A337" s="574" t="s">
        <v>2007</v>
      </c>
      <c r="B337" s="575">
        <v>90400</v>
      </c>
      <c r="C337" s="555">
        <v>1094028</v>
      </c>
      <c r="D337" s="555">
        <v>1003628</v>
      </c>
      <c r="E337" s="554"/>
    </row>
    <row r="338" spans="1:9">
      <c r="A338" s="574" t="s">
        <v>721</v>
      </c>
      <c r="B338" s="575">
        <v>5500</v>
      </c>
      <c r="C338" s="555">
        <v>5500</v>
      </c>
      <c r="D338" s="576"/>
      <c r="E338" s="554"/>
    </row>
    <row r="339" spans="1:9">
      <c r="A339" s="15" t="s">
        <v>2339</v>
      </c>
      <c r="B339" s="96"/>
      <c r="C339" s="112">
        <v>193324</v>
      </c>
      <c r="D339" s="112">
        <v>197256</v>
      </c>
      <c r="E339" s="263">
        <v>3932</v>
      </c>
      <c r="F339" s="254"/>
      <c r="G339" s="254"/>
      <c r="H339" s="254"/>
      <c r="I339" s="254"/>
    </row>
    <row r="340" spans="1:9">
      <c r="A340" s="560" t="s">
        <v>1043</v>
      </c>
      <c r="B340" s="554"/>
      <c r="C340" s="555">
        <v>11400</v>
      </c>
      <c r="D340" s="555">
        <v>11400</v>
      </c>
      <c r="E340" s="554"/>
      <c r="F340" s="254"/>
      <c r="G340" s="254"/>
      <c r="H340" s="254"/>
      <c r="I340" s="254"/>
    </row>
    <row r="341" spans="1:9">
      <c r="A341" s="15" t="s">
        <v>2008</v>
      </c>
      <c r="B341" s="96"/>
      <c r="C341" s="112">
        <v>68750</v>
      </c>
      <c r="D341" s="112">
        <v>156750</v>
      </c>
      <c r="E341" s="263">
        <v>88000</v>
      </c>
      <c r="F341" s="254"/>
      <c r="G341" s="254"/>
      <c r="H341" s="254"/>
      <c r="I341" s="254"/>
    </row>
    <row r="342" spans="1:9">
      <c r="A342" s="560" t="s">
        <v>2276</v>
      </c>
      <c r="B342" s="554"/>
      <c r="C342" s="555">
        <v>108000</v>
      </c>
      <c r="D342" s="555">
        <v>108000</v>
      </c>
      <c r="E342" s="554"/>
    </row>
    <row r="343" spans="1:9">
      <c r="A343" s="577" t="s">
        <v>2013</v>
      </c>
      <c r="B343" s="575">
        <v>412000</v>
      </c>
      <c r="C343" s="555">
        <v>412000</v>
      </c>
      <c r="D343" s="576"/>
      <c r="E343" s="554"/>
    </row>
    <row r="344" spans="1:9">
      <c r="A344" s="577" t="s">
        <v>1177</v>
      </c>
      <c r="B344" s="554"/>
      <c r="C344" s="555">
        <v>14294920</v>
      </c>
      <c r="D344" s="555">
        <v>14294920</v>
      </c>
      <c r="E344" s="554"/>
    </row>
    <row r="345" spans="1:9">
      <c r="A345" s="577" t="s">
        <v>2014</v>
      </c>
      <c r="B345" s="554"/>
      <c r="C345" s="555">
        <v>2938363</v>
      </c>
      <c r="D345" s="555">
        <v>2938363</v>
      </c>
      <c r="E345" s="554"/>
    </row>
    <row r="346" spans="1:9">
      <c r="A346" s="13"/>
      <c r="B346" s="96"/>
      <c r="C346" s="112"/>
      <c r="D346" s="112"/>
      <c r="E346" s="96"/>
      <c r="F346" s="644" t="s">
        <v>2421</v>
      </c>
      <c r="G346" s="644"/>
    </row>
    <row r="347" spans="1:9">
      <c r="A347" s="13" t="s">
        <v>1062</v>
      </c>
      <c r="B347" s="263">
        <v>78862</v>
      </c>
      <c r="C347" s="95"/>
      <c r="D347" s="95"/>
      <c r="E347" s="643">
        <v>78862</v>
      </c>
      <c r="F347" s="515"/>
    </row>
    <row r="348" spans="1:9">
      <c r="A348" s="13" t="s">
        <v>2015</v>
      </c>
      <c r="B348" s="263">
        <v>7968570</v>
      </c>
      <c r="C348" s="112">
        <v>12221896</v>
      </c>
      <c r="D348" s="112">
        <v>1924593</v>
      </c>
      <c r="E348" s="267">
        <v>2328733</v>
      </c>
      <c r="F348" s="515"/>
    </row>
    <row r="349" spans="1:9">
      <c r="A349" s="13" t="s">
        <v>91</v>
      </c>
      <c r="B349" s="263">
        <v>294347</v>
      </c>
      <c r="C349" s="112">
        <v>39647</v>
      </c>
      <c r="D349" s="112">
        <v>39647</v>
      </c>
      <c r="E349" s="643">
        <v>294347</v>
      </c>
      <c r="F349" s="515"/>
    </row>
    <row r="350" spans="1:9">
      <c r="A350" s="13" t="s">
        <v>1063</v>
      </c>
      <c r="B350" s="263">
        <v>32203.14</v>
      </c>
      <c r="C350" s="95"/>
      <c r="D350" s="95"/>
      <c r="E350" s="643">
        <v>32203.14</v>
      </c>
      <c r="F350" s="515"/>
    </row>
    <row r="351" spans="1:9">
      <c r="A351" s="1" t="s">
        <v>39</v>
      </c>
      <c r="B351" s="270">
        <v>45976627.259999998</v>
      </c>
      <c r="C351" s="93">
        <v>8059481</v>
      </c>
      <c r="D351" s="108"/>
      <c r="E351" s="270">
        <v>54036108.259999998</v>
      </c>
    </row>
    <row r="352" spans="1:9">
      <c r="A352" s="13" t="s">
        <v>92</v>
      </c>
      <c r="B352" s="267">
        <v>868251</v>
      </c>
      <c r="C352" s="95"/>
      <c r="D352" s="95"/>
      <c r="E352" s="267">
        <v>868251</v>
      </c>
    </row>
    <row r="353" spans="1:8">
      <c r="A353" s="13" t="s">
        <v>93</v>
      </c>
      <c r="B353" s="267">
        <v>742727.8</v>
      </c>
      <c r="C353" s="112">
        <v>217883</v>
      </c>
      <c r="D353" s="95"/>
      <c r="E353" s="267">
        <v>960610.8</v>
      </c>
    </row>
    <row r="354" spans="1:8">
      <c r="A354" s="13" t="s">
        <v>94</v>
      </c>
      <c r="B354" s="263">
        <v>66044.649999999994</v>
      </c>
      <c r="C354" s="95"/>
      <c r="D354" s="95"/>
      <c r="E354" s="263">
        <v>66044.649999999994</v>
      </c>
    </row>
    <row r="355" spans="1:8">
      <c r="A355" s="13" t="s">
        <v>83</v>
      </c>
      <c r="B355" s="267">
        <v>39882554.630000003</v>
      </c>
      <c r="C355" s="112">
        <v>7764316</v>
      </c>
      <c r="D355" s="95"/>
      <c r="E355" s="267">
        <v>47646870.630000003</v>
      </c>
    </row>
    <row r="356" spans="1:8">
      <c r="A356" s="13" t="s">
        <v>942</v>
      </c>
      <c r="B356" s="267">
        <v>4549138.4800000004</v>
      </c>
      <c r="C356" s="112">
        <v>77282</v>
      </c>
      <c r="D356" s="95"/>
      <c r="E356" s="267">
        <v>4626420.4800000004</v>
      </c>
    </row>
    <row r="357" spans="1:8">
      <c r="A357" s="1" t="s">
        <v>96</v>
      </c>
      <c r="B357" s="270">
        <v>95845505.019999996</v>
      </c>
      <c r="C357" s="93">
        <v>1108641377.3800001</v>
      </c>
      <c r="D357" s="93">
        <v>1118973188.1199999</v>
      </c>
      <c r="E357" s="270">
        <v>85513694.280000001</v>
      </c>
    </row>
    <row r="358" spans="1:8">
      <c r="A358" s="118" t="s">
        <v>97</v>
      </c>
      <c r="B358" s="527">
        <v>23203890</v>
      </c>
      <c r="C358" s="115"/>
      <c r="D358" s="115"/>
      <c r="E358" s="648">
        <v>23109475</v>
      </c>
    </row>
    <row r="359" spans="1:8">
      <c r="A359" s="14" t="s">
        <v>2366</v>
      </c>
      <c r="B359" s="198">
        <v>1718775</v>
      </c>
      <c r="C359" s="95"/>
      <c r="D359" s="95"/>
      <c r="E359" s="198">
        <v>1718775</v>
      </c>
      <c r="F359" s="515"/>
    </row>
    <row r="360" spans="1:8">
      <c r="A360" s="14" t="s">
        <v>730</v>
      </c>
      <c r="B360" s="198">
        <v>20450000</v>
      </c>
      <c r="C360" s="95"/>
      <c r="D360" s="95"/>
      <c r="E360" s="198">
        <v>20450000</v>
      </c>
      <c r="F360" s="515"/>
      <c r="H360" s="100"/>
    </row>
    <row r="361" spans="1:8">
      <c r="A361" s="14" t="s">
        <v>141</v>
      </c>
      <c r="B361" s="198">
        <v>1035115</v>
      </c>
      <c r="C361" s="95">
        <v>1175000</v>
      </c>
      <c r="D361" s="95">
        <v>1269415</v>
      </c>
      <c r="E361" s="198">
        <v>940700</v>
      </c>
      <c r="F361" s="515"/>
    </row>
    <row r="362" spans="1:8">
      <c r="A362" s="14"/>
      <c r="B362" s="198"/>
      <c r="C362" s="95"/>
      <c r="D362" s="95"/>
      <c r="E362" s="198"/>
      <c r="F362" s="515"/>
    </row>
    <row r="363" spans="1:8">
      <c r="A363" s="13" t="s">
        <v>98</v>
      </c>
      <c r="B363" s="269">
        <v>34679553.009999998</v>
      </c>
      <c r="C363" s="106">
        <v>384791567.10000002</v>
      </c>
      <c r="D363" s="106">
        <v>375238809.66000003</v>
      </c>
      <c r="E363" s="269">
        <v>44232310.449999988</v>
      </c>
      <c r="F363" s="466"/>
    </row>
    <row r="364" spans="1:8">
      <c r="A364" s="17" t="s">
        <v>2017</v>
      </c>
      <c r="B364" s="264">
        <v>88200</v>
      </c>
      <c r="C364" s="93">
        <v>3929400</v>
      </c>
      <c r="D364" s="93">
        <v>2531400</v>
      </c>
      <c r="E364" s="270">
        <v>1309800</v>
      </c>
      <c r="F364" s="254"/>
      <c r="G364" s="254"/>
      <c r="H364" s="254"/>
    </row>
    <row r="365" spans="1:8">
      <c r="A365" s="560" t="s">
        <v>2018</v>
      </c>
      <c r="B365" s="578">
        <v>1103400</v>
      </c>
      <c r="C365" s="579">
        <v>11295000</v>
      </c>
      <c r="D365" s="579">
        <v>12398400</v>
      </c>
      <c r="E365" s="554"/>
    </row>
    <row r="366" spans="1:8">
      <c r="A366" s="17" t="s">
        <v>732</v>
      </c>
      <c r="B366" s="267">
        <v>155431</v>
      </c>
      <c r="C366" s="96"/>
      <c r="D366" s="96"/>
      <c r="E366" s="267">
        <v>155431</v>
      </c>
    </row>
    <row r="367" spans="1:8">
      <c r="A367" s="17" t="s">
        <v>733</v>
      </c>
      <c r="B367" s="267">
        <v>236250</v>
      </c>
      <c r="C367" s="96"/>
      <c r="D367" s="96"/>
      <c r="E367" s="267">
        <v>236250</v>
      </c>
    </row>
    <row r="368" spans="1:8">
      <c r="A368" s="17" t="s">
        <v>734</v>
      </c>
      <c r="B368" s="267">
        <v>545590</v>
      </c>
      <c r="C368" s="96"/>
      <c r="D368" s="96"/>
      <c r="E368" s="267">
        <v>545590</v>
      </c>
    </row>
    <row r="369" spans="1:9">
      <c r="A369" s="15" t="s">
        <v>1263</v>
      </c>
      <c r="B369" s="267">
        <v>1020296</v>
      </c>
      <c r="C369" s="96"/>
      <c r="D369" s="96"/>
      <c r="E369" s="267">
        <v>1020296</v>
      </c>
    </row>
    <row r="370" spans="1:9">
      <c r="A370" s="15" t="s">
        <v>736</v>
      </c>
      <c r="B370" s="267">
        <v>99600</v>
      </c>
      <c r="C370" s="104">
        <v>1666000</v>
      </c>
      <c r="D370" s="96"/>
      <c r="E370" s="267">
        <v>1765600</v>
      </c>
    </row>
    <row r="371" spans="1:9">
      <c r="A371" s="15" t="s">
        <v>737</v>
      </c>
      <c r="B371" s="267">
        <v>626800</v>
      </c>
      <c r="C371" s="96"/>
      <c r="D371" s="96"/>
      <c r="E371" s="267">
        <v>626800</v>
      </c>
    </row>
    <row r="372" spans="1:9">
      <c r="A372" s="17" t="s">
        <v>2019</v>
      </c>
      <c r="B372" s="263">
        <v>2145066.44</v>
      </c>
      <c r="C372" s="104">
        <v>23770632.719999999</v>
      </c>
      <c r="D372" s="104">
        <v>18869487</v>
      </c>
      <c r="E372" s="267">
        <v>2756079.28</v>
      </c>
      <c r="F372" s="254"/>
      <c r="G372" s="254"/>
      <c r="H372" s="254"/>
    </row>
    <row r="373" spans="1:9">
      <c r="A373" s="17" t="s">
        <v>2020</v>
      </c>
      <c r="B373" s="267">
        <v>1770035.08</v>
      </c>
      <c r="C373" s="104">
        <v>4088507.66</v>
      </c>
      <c r="D373" s="104">
        <v>5843100</v>
      </c>
      <c r="E373" s="267">
        <v>15442.74</v>
      </c>
    </row>
    <row r="374" spans="1:9">
      <c r="A374" s="15" t="s">
        <v>2021</v>
      </c>
      <c r="B374" s="267">
        <v>1119526</v>
      </c>
      <c r="C374" s="96"/>
      <c r="D374" s="104">
        <v>373174</v>
      </c>
      <c r="E374" s="267">
        <v>746352</v>
      </c>
    </row>
    <row r="375" spans="1:9">
      <c r="A375" s="560" t="s">
        <v>2341</v>
      </c>
      <c r="B375" s="554"/>
      <c r="C375" s="579">
        <v>5035500</v>
      </c>
      <c r="D375" s="579">
        <v>5035500</v>
      </c>
      <c r="E375" s="554"/>
    </row>
    <row r="376" spans="1:9">
      <c r="A376" s="560" t="s">
        <v>1485</v>
      </c>
      <c r="B376" s="578">
        <v>120000</v>
      </c>
      <c r="C376" s="554"/>
      <c r="D376" s="579">
        <v>120000</v>
      </c>
      <c r="E376" s="554"/>
    </row>
    <row r="377" spans="1:9">
      <c r="A377" s="15" t="s">
        <v>2022</v>
      </c>
      <c r="B377" s="267">
        <v>5159528.0199999996</v>
      </c>
      <c r="C377" s="104">
        <v>656698.31999999995</v>
      </c>
      <c r="D377" s="104">
        <v>5725611</v>
      </c>
      <c r="E377" s="267">
        <v>90615.34</v>
      </c>
    </row>
    <row r="378" spans="1:9">
      <c r="A378" s="17" t="s">
        <v>1335</v>
      </c>
      <c r="B378" s="263">
        <v>3324167</v>
      </c>
      <c r="C378" s="104">
        <v>4509118.66</v>
      </c>
      <c r="D378" s="104">
        <v>52818</v>
      </c>
      <c r="E378" s="582">
        <v>1132133.6599999999</v>
      </c>
      <c r="F378" s="515"/>
    </row>
    <row r="379" spans="1:9">
      <c r="A379" s="15" t="s">
        <v>2342</v>
      </c>
      <c r="B379" s="96"/>
      <c r="C379" s="104">
        <v>77490.600000000006</v>
      </c>
      <c r="D379" s="104">
        <v>25000</v>
      </c>
      <c r="E379" s="267">
        <v>52490.6</v>
      </c>
      <c r="F379" s="254"/>
      <c r="G379" s="254"/>
      <c r="H379" s="254"/>
    </row>
    <row r="380" spans="1:9">
      <c r="A380" s="15" t="s">
        <v>1064</v>
      </c>
      <c r="B380" s="267">
        <v>219102</v>
      </c>
      <c r="C380" s="96"/>
      <c r="D380" s="96"/>
      <c r="E380" s="267">
        <v>219102</v>
      </c>
    </row>
    <row r="381" spans="1:9">
      <c r="A381" s="15" t="s">
        <v>2343</v>
      </c>
      <c r="B381" s="96"/>
      <c r="C381" s="104">
        <v>10086227</v>
      </c>
      <c r="D381" s="104">
        <v>7560685</v>
      </c>
      <c r="E381" s="267">
        <v>2525542</v>
      </c>
      <c r="F381" s="254"/>
      <c r="G381" s="254"/>
      <c r="H381" s="254"/>
    </row>
    <row r="382" spans="1:9">
      <c r="A382" s="15" t="s">
        <v>1721</v>
      </c>
      <c r="B382" s="96"/>
      <c r="C382" s="104">
        <v>12185215.66</v>
      </c>
      <c r="D382" s="104">
        <v>12185453</v>
      </c>
      <c r="E382" s="263">
        <v>237.34</v>
      </c>
      <c r="F382" s="581"/>
      <c r="G382" s="581"/>
      <c r="H382" s="254"/>
      <c r="I382" s="254"/>
    </row>
    <row r="383" spans="1:9">
      <c r="A383" s="15" t="s">
        <v>2344</v>
      </c>
      <c r="B383" s="96"/>
      <c r="C383" s="104">
        <v>12189817</v>
      </c>
      <c r="D383" s="104">
        <v>12193591</v>
      </c>
      <c r="E383" s="263">
        <v>3774</v>
      </c>
      <c r="F383" s="581"/>
      <c r="G383" s="581"/>
      <c r="H383" s="254"/>
      <c r="I383" s="254"/>
    </row>
    <row r="384" spans="1:9">
      <c r="A384" s="15" t="s">
        <v>2024</v>
      </c>
      <c r="B384" s="267">
        <v>4405411.2300000004</v>
      </c>
      <c r="C384" s="104">
        <v>22749170.579999998</v>
      </c>
      <c r="D384" s="104">
        <v>22658167.829999998</v>
      </c>
      <c r="E384" s="267">
        <v>4496413.9800000004</v>
      </c>
    </row>
    <row r="385" spans="1:9">
      <c r="A385" s="15" t="s">
        <v>2345</v>
      </c>
      <c r="B385" s="96"/>
      <c r="C385" s="104">
        <v>510255.6</v>
      </c>
      <c r="D385" s="104">
        <v>400000</v>
      </c>
      <c r="E385" s="267">
        <v>110255.6</v>
      </c>
      <c r="F385" s="254"/>
      <c r="G385" s="254"/>
      <c r="H385" s="254"/>
    </row>
    <row r="386" spans="1:9">
      <c r="A386" s="560" t="s">
        <v>2346</v>
      </c>
      <c r="B386" s="554"/>
      <c r="C386" s="579">
        <v>1800000</v>
      </c>
      <c r="D386" s="579">
        <v>1800000</v>
      </c>
      <c r="E386" s="554"/>
    </row>
    <row r="387" spans="1:9">
      <c r="A387" s="15" t="s">
        <v>750</v>
      </c>
      <c r="B387" s="267">
        <v>1262140</v>
      </c>
      <c r="C387" s="96"/>
      <c r="D387" s="96"/>
      <c r="E387" s="267">
        <v>1262140</v>
      </c>
    </row>
    <row r="388" spans="1:9">
      <c r="A388" s="15" t="s">
        <v>752</v>
      </c>
      <c r="B388" s="267">
        <v>400133</v>
      </c>
      <c r="C388" s="96"/>
      <c r="D388" s="104">
        <v>200000</v>
      </c>
      <c r="E388" s="267">
        <v>200133</v>
      </c>
    </row>
    <row r="389" spans="1:9">
      <c r="A389" s="17" t="s">
        <v>753</v>
      </c>
      <c r="B389" s="267">
        <v>607145.86</v>
      </c>
      <c r="C389" s="96"/>
      <c r="D389" s="96"/>
      <c r="E389" s="267">
        <v>607145.86</v>
      </c>
    </row>
    <row r="390" spans="1:9">
      <c r="A390" s="560" t="s">
        <v>1067</v>
      </c>
      <c r="B390" s="578">
        <v>92441</v>
      </c>
      <c r="C390" s="554"/>
      <c r="D390" s="579">
        <v>92441</v>
      </c>
      <c r="E390" s="554"/>
    </row>
    <row r="391" spans="1:9">
      <c r="A391" s="15" t="s">
        <v>1723</v>
      </c>
      <c r="B391" s="267">
        <v>356740</v>
      </c>
      <c r="C391" s="104">
        <v>2513280</v>
      </c>
      <c r="D391" s="104">
        <v>2700952</v>
      </c>
      <c r="E391" s="267">
        <v>169068</v>
      </c>
    </row>
    <row r="392" spans="1:9">
      <c r="A392" s="560" t="s">
        <v>2025</v>
      </c>
      <c r="B392" s="578">
        <v>319031.2</v>
      </c>
      <c r="C392" s="579">
        <v>1457496.82</v>
      </c>
      <c r="D392" s="579">
        <v>1776528.02</v>
      </c>
      <c r="E392" s="554"/>
    </row>
    <row r="393" spans="1:9">
      <c r="A393" s="560" t="s">
        <v>1724</v>
      </c>
      <c r="B393" s="578">
        <v>35108</v>
      </c>
      <c r="C393" s="554"/>
      <c r="D393" s="579">
        <v>35108</v>
      </c>
      <c r="E393" s="554"/>
    </row>
    <row r="394" spans="1:9">
      <c r="A394" s="580" t="s">
        <v>1068</v>
      </c>
      <c r="B394" s="578">
        <v>52926</v>
      </c>
      <c r="C394" s="554"/>
      <c r="D394" s="579">
        <v>52926</v>
      </c>
      <c r="E394" s="554"/>
    </row>
    <row r="395" spans="1:9">
      <c r="A395" s="560" t="s">
        <v>756</v>
      </c>
      <c r="B395" s="578">
        <v>98880</v>
      </c>
      <c r="C395" s="554"/>
      <c r="D395" s="579">
        <v>98880</v>
      </c>
      <c r="E395" s="554"/>
    </row>
    <row r="396" spans="1:9">
      <c r="A396" s="560" t="s">
        <v>1259</v>
      </c>
      <c r="B396" s="578">
        <v>46383</v>
      </c>
      <c r="C396" s="554"/>
      <c r="D396" s="579">
        <v>46383</v>
      </c>
      <c r="E396" s="554"/>
    </row>
    <row r="397" spans="1:9">
      <c r="A397" s="560" t="s">
        <v>1725</v>
      </c>
      <c r="B397" s="578">
        <v>26427.919999999998</v>
      </c>
      <c r="C397" s="579">
        <v>2768163.18</v>
      </c>
      <c r="D397" s="579">
        <v>2794591.1</v>
      </c>
      <c r="E397" s="554"/>
    </row>
    <row r="398" spans="1:9">
      <c r="A398" s="15" t="s">
        <v>2026</v>
      </c>
      <c r="B398" s="263">
        <v>0.9</v>
      </c>
      <c r="C398" s="104">
        <v>29025944.399999999</v>
      </c>
      <c r="D398" s="104">
        <v>21276208</v>
      </c>
      <c r="E398" s="267">
        <v>7749735.5</v>
      </c>
      <c r="F398" s="254"/>
      <c r="G398" s="254"/>
      <c r="H398" s="254"/>
    </row>
    <row r="399" spans="1:9">
      <c r="A399" s="17" t="s">
        <v>757</v>
      </c>
      <c r="B399" s="263">
        <v>376638</v>
      </c>
      <c r="C399" s="96"/>
      <c r="D399" s="96"/>
      <c r="E399" s="263">
        <v>376638</v>
      </c>
      <c r="F399" s="581"/>
      <c r="G399" s="581"/>
      <c r="H399" s="254"/>
      <c r="I399" s="254"/>
    </row>
    <row r="400" spans="1:9">
      <c r="A400" s="560" t="s">
        <v>2347</v>
      </c>
      <c r="B400" s="554"/>
      <c r="C400" s="579">
        <v>8283062.5199999996</v>
      </c>
      <c r="D400" s="579">
        <v>8283062.5199999996</v>
      </c>
      <c r="E400" s="554"/>
    </row>
    <row r="401" spans="1:9">
      <c r="A401" s="17" t="s">
        <v>2027</v>
      </c>
      <c r="B401" s="267">
        <v>3894985.52</v>
      </c>
      <c r="C401" s="104">
        <v>1532168.64</v>
      </c>
      <c r="D401" s="104">
        <v>5234562.5199999996</v>
      </c>
      <c r="E401" s="267">
        <v>192591.64</v>
      </c>
    </row>
    <row r="402" spans="1:9">
      <c r="A402" s="560" t="s">
        <v>1488</v>
      </c>
      <c r="B402" s="578">
        <v>16491.28</v>
      </c>
      <c r="C402" s="554"/>
      <c r="D402" s="579">
        <v>16491.28</v>
      </c>
      <c r="E402" s="554"/>
    </row>
    <row r="403" spans="1:9">
      <c r="A403" s="15" t="s">
        <v>1256</v>
      </c>
      <c r="B403" s="267">
        <v>328423.65999999997</v>
      </c>
      <c r="C403" s="96"/>
      <c r="D403" s="96"/>
      <c r="E403" s="267">
        <v>328423.65999999997</v>
      </c>
    </row>
    <row r="404" spans="1:9">
      <c r="A404" s="15" t="s">
        <v>2348</v>
      </c>
      <c r="B404" s="96"/>
      <c r="C404" s="104">
        <v>376007</v>
      </c>
      <c r="D404" s="104">
        <v>142366</v>
      </c>
      <c r="E404" s="267">
        <v>233641</v>
      </c>
      <c r="F404" s="254"/>
      <c r="G404" s="254"/>
      <c r="H404" s="254"/>
    </row>
    <row r="405" spans="1:9">
      <c r="A405" s="17" t="s">
        <v>1490</v>
      </c>
      <c r="B405" s="263">
        <v>55773</v>
      </c>
      <c r="C405" s="96"/>
      <c r="D405" s="96"/>
      <c r="E405" s="263">
        <v>55773</v>
      </c>
      <c r="F405" s="515"/>
    </row>
    <row r="406" spans="1:9">
      <c r="A406" s="15" t="s">
        <v>2349</v>
      </c>
      <c r="B406" s="96"/>
      <c r="C406" s="96"/>
      <c r="D406" s="104">
        <v>1500000</v>
      </c>
      <c r="E406" s="263">
        <v>1500000</v>
      </c>
      <c r="F406" s="581"/>
      <c r="G406" s="581"/>
      <c r="H406" s="254"/>
      <c r="I406" s="254"/>
    </row>
    <row r="407" spans="1:9">
      <c r="A407" s="560" t="s">
        <v>772</v>
      </c>
      <c r="B407" s="578">
        <v>811076</v>
      </c>
      <c r="C407" s="554"/>
      <c r="D407" s="579">
        <v>811076</v>
      </c>
      <c r="E407" s="554"/>
    </row>
    <row r="408" spans="1:9">
      <c r="A408" s="15" t="s">
        <v>2350</v>
      </c>
      <c r="B408" s="96"/>
      <c r="C408" s="104">
        <v>1156400</v>
      </c>
      <c r="D408" s="104">
        <v>980000</v>
      </c>
      <c r="E408" s="267">
        <v>176400</v>
      </c>
      <c r="F408" s="254"/>
      <c r="G408" s="254"/>
      <c r="H408" s="254"/>
    </row>
    <row r="409" spans="1:9">
      <c r="A409" s="15" t="s">
        <v>1492</v>
      </c>
      <c r="B409" s="267">
        <v>918354.6</v>
      </c>
      <c r="C409" s="96"/>
      <c r="D409" s="104">
        <v>52823.6</v>
      </c>
      <c r="E409" s="267">
        <v>865531</v>
      </c>
    </row>
    <row r="410" spans="1:9">
      <c r="A410" s="580" t="s">
        <v>776</v>
      </c>
      <c r="B410" s="578">
        <v>67872</v>
      </c>
      <c r="C410" s="554"/>
      <c r="D410" s="579">
        <v>67872</v>
      </c>
      <c r="E410" s="554"/>
    </row>
    <row r="411" spans="1:9">
      <c r="A411" s="560" t="s">
        <v>1727</v>
      </c>
      <c r="B411" s="578">
        <v>171458</v>
      </c>
      <c r="C411" s="554"/>
      <c r="D411" s="579">
        <v>171458</v>
      </c>
      <c r="E411" s="554"/>
    </row>
    <row r="412" spans="1:9">
      <c r="A412" s="17" t="s">
        <v>2351</v>
      </c>
      <c r="B412" s="96"/>
      <c r="C412" s="104">
        <v>30632800</v>
      </c>
      <c r="D412" s="104">
        <v>30622699</v>
      </c>
      <c r="E412" s="267">
        <v>10101</v>
      </c>
      <c r="F412" s="254"/>
      <c r="G412" s="254"/>
      <c r="H412" s="254"/>
    </row>
    <row r="413" spans="1:9">
      <c r="A413" s="15" t="s">
        <v>2352</v>
      </c>
      <c r="B413" s="96"/>
      <c r="C413" s="104">
        <v>5811797.3600000003</v>
      </c>
      <c r="D413" s="104">
        <v>3921257</v>
      </c>
      <c r="E413" s="267">
        <v>1890540.36</v>
      </c>
      <c r="F413" s="254"/>
      <c r="G413" s="254"/>
      <c r="H413" s="254"/>
    </row>
    <row r="414" spans="1:9">
      <c r="A414" s="15" t="s">
        <v>1728</v>
      </c>
      <c r="B414" s="267">
        <v>980339.08</v>
      </c>
      <c r="C414" s="96"/>
      <c r="D414" s="104">
        <v>56237</v>
      </c>
      <c r="E414" s="267">
        <v>924102.08</v>
      </c>
    </row>
    <row r="415" spans="1:9">
      <c r="A415" s="15" t="s">
        <v>2353</v>
      </c>
      <c r="B415" s="96"/>
      <c r="C415" s="104">
        <v>51678339.829999998</v>
      </c>
      <c r="D415" s="104">
        <v>51676931</v>
      </c>
      <c r="E415" s="267">
        <v>1408.83</v>
      </c>
      <c r="F415" s="254"/>
      <c r="G415" s="254"/>
      <c r="H415" s="254"/>
    </row>
    <row r="416" spans="1:9">
      <c r="A416" s="560" t="s">
        <v>2354</v>
      </c>
      <c r="B416" s="554"/>
      <c r="C416" s="579">
        <v>7000000.7199999997</v>
      </c>
      <c r="D416" s="579">
        <v>7000000.7199999997</v>
      </c>
      <c r="E416" s="554"/>
    </row>
    <row r="417" spans="1:9">
      <c r="A417" s="560" t="s">
        <v>2029</v>
      </c>
      <c r="B417" s="578">
        <v>725000</v>
      </c>
      <c r="C417" s="554"/>
      <c r="D417" s="579">
        <v>725000</v>
      </c>
      <c r="E417" s="554"/>
    </row>
    <row r="418" spans="1:9">
      <c r="A418" s="15" t="s">
        <v>2030</v>
      </c>
      <c r="B418" s="96"/>
      <c r="C418" s="104">
        <v>9939109.1199999992</v>
      </c>
      <c r="D418" s="104">
        <v>9721950.9299999997</v>
      </c>
      <c r="E418" s="267">
        <v>217158.19</v>
      </c>
      <c r="F418" s="254"/>
      <c r="G418" s="254"/>
      <c r="H418" s="254"/>
    </row>
    <row r="419" spans="1:9">
      <c r="A419" s="15" t="s">
        <v>2031</v>
      </c>
      <c r="B419" s="267">
        <v>2867945</v>
      </c>
      <c r="C419" s="104">
        <v>52111771.270000003</v>
      </c>
      <c r="D419" s="104">
        <v>51827578.520000003</v>
      </c>
      <c r="E419" s="267">
        <v>3152137.75</v>
      </c>
      <c r="F419" s="254"/>
      <c r="G419" s="254"/>
      <c r="H419" s="254"/>
    </row>
    <row r="420" spans="1:9">
      <c r="A420" s="15" t="s">
        <v>1730</v>
      </c>
      <c r="B420" s="267">
        <v>3813737.57</v>
      </c>
      <c r="C420" s="96"/>
      <c r="D420" s="104">
        <v>4569729</v>
      </c>
      <c r="E420" s="263">
        <v>755991.43</v>
      </c>
      <c r="F420" s="581"/>
      <c r="G420" s="581"/>
      <c r="H420" s="254"/>
      <c r="I420" s="254"/>
    </row>
    <row r="421" spans="1:9">
      <c r="A421" s="15" t="s">
        <v>2355</v>
      </c>
      <c r="B421" s="96"/>
      <c r="C421" s="104">
        <v>7048416.2599999998</v>
      </c>
      <c r="D421" s="104">
        <v>7159217.1100000003</v>
      </c>
      <c r="E421" s="263">
        <v>110800.85</v>
      </c>
      <c r="F421" s="581"/>
      <c r="G421" s="581"/>
      <c r="H421" s="254"/>
      <c r="I421" s="254"/>
    </row>
    <row r="422" spans="1:9">
      <c r="A422" s="15" t="s">
        <v>2356</v>
      </c>
      <c r="B422" s="96"/>
      <c r="C422" s="104">
        <v>6948741.5199999996</v>
      </c>
      <c r="D422" s="104">
        <v>7243180</v>
      </c>
      <c r="E422" s="263">
        <v>294438.48</v>
      </c>
      <c r="F422" s="581"/>
      <c r="G422" s="581"/>
      <c r="H422" s="254"/>
      <c r="I422" s="254"/>
    </row>
    <row r="423" spans="1:9">
      <c r="A423" s="15" t="s">
        <v>2357</v>
      </c>
      <c r="B423" s="96"/>
      <c r="C423" s="104">
        <v>25833740</v>
      </c>
      <c r="D423" s="104">
        <v>22450047</v>
      </c>
      <c r="E423" s="267">
        <v>3383693</v>
      </c>
      <c r="F423" s="254"/>
      <c r="G423" s="254"/>
      <c r="H423" s="254"/>
    </row>
    <row r="424" spans="1:9">
      <c r="A424" s="17" t="s">
        <v>778</v>
      </c>
      <c r="B424" s="267">
        <v>718081</v>
      </c>
      <c r="C424" s="96"/>
      <c r="D424" s="96"/>
      <c r="E424" s="267">
        <v>718081</v>
      </c>
    </row>
    <row r="425" spans="1:9">
      <c r="A425" s="15" t="s">
        <v>1255</v>
      </c>
      <c r="B425" s="267">
        <v>127610</v>
      </c>
      <c r="C425" s="96"/>
      <c r="D425" s="96"/>
      <c r="E425" s="267">
        <v>127610</v>
      </c>
    </row>
    <row r="426" spans="1:9">
      <c r="A426" s="15" t="s">
        <v>782</v>
      </c>
      <c r="B426" s="267">
        <v>836602</v>
      </c>
      <c r="C426" s="96"/>
      <c r="D426" s="96"/>
      <c r="E426" s="267">
        <v>836602</v>
      </c>
    </row>
    <row r="427" spans="1:9">
      <c r="A427" s="15" t="s">
        <v>1254</v>
      </c>
      <c r="B427" s="267">
        <v>1183593</v>
      </c>
      <c r="C427" s="96"/>
      <c r="D427" s="96"/>
      <c r="E427" s="267">
        <v>1183593</v>
      </c>
    </row>
    <row r="428" spans="1:9">
      <c r="A428" s="15" t="s">
        <v>2032</v>
      </c>
      <c r="B428" s="263">
        <v>247154.14</v>
      </c>
      <c r="C428" s="104">
        <v>478369.64</v>
      </c>
      <c r="D428" s="104">
        <v>230250</v>
      </c>
      <c r="E428" s="267">
        <v>965.5</v>
      </c>
      <c r="F428" s="254"/>
      <c r="G428" s="254"/>
      <c r="H428" s="254"/>
    </row>
    <row r="429" spans="1:9">
      <c r="A429" s="15" t="s">
        <v>1499</v>
      </c>
      <c r="B429" s="263">
        <v>400000</v>
      </c>
      <c r="C429" s="96"/>
      <c r="D429" s="96"/>
      <c r="E429" s="263">
        <v>400000</v>
      </c>
      <c r="F429" s="515"/>
    </row>
    <row r="430" spans="1:9">
      <c r="A430" s="15" t="s">
        <v>2358</v>
      </c>
      <c r="B430" s="96"/>
      <c r="C430" s="104">
        <v>9640100.8599999994</v>
      </c>
      <c r="D430" s="104">
        <v>9444154</v>
      </c>
      <c r="E430" s="267">
        <v>195946.86</v>
      </c>
      <c r="F430" s="254"/>
      <c r="G430" s="254"/>
      <c r="H430" s="254"/>
    </row>
    <row r="431" spans="1:9">
      <c r="A431" s="560" t="s">
        <v>1500</v>
      </c>
      <c r="B431" s="578">
        <v>255012.51</v>
      </c>
      <c r="C431" s="554"/>
      <c r="D431" s="579">
        <v>255012.51</v>
      </c>
      <c r="E431" s="554"/>
    </row>
    <row r="432" spans="1:9">
      <c r="A432" s="560" t="s">
        <v>1732</v>
      </c>
      <c r="B432" s="578">
        <v>2710000</v>
      </c>
      <c r="C432" s="579">
        <v>9470370</v>
      </c>
      <c r="D432" s="579">
        <v>12180370</v>
      </c>
      <c r="E432" s="554"/>
    </row>
    <row r="433" spans="1:9">
      <c r="A433" s="17" t="s">
        <v>2359</v>
      </c>
      <c r="B433" s="96"/>
      <c r="C433" s="104">
        <v>4857891.62</v>
      </c>
      <c r="D433" s="104">
        <v>370517</v>
      </c>
      <c r="E433" s="267">
        <v>4487374.62</v>
      </c>
      <c r="F433" s="254"/>
      <c r="G433" s="254"/>
      <c r="H433" s="254"/>
    </row>
    <row r="434" spans="1:9">
      <c r="A434" s="15" t="s">
        <v>2360</v>
      </c>
      <c r="B434" s="96"/>
      <c r="C434" s="104">
        <v>1000000</v>
      </c>
      <c r="D434" s="104">
        <v>1000000</v>
      </c>
      <c r="E434" s="96"/>
    </row>
    <row r="435" spans="1:9">
      <c r="A435" s="15" t="s">
        <v>1248</v>
      </c>
      <c r="B435" s="267">
        <v>517480</v>
      </c>
      <c r="C435" s="96"/>
      <c r="D435" s="96"/>
      <c r="E435" s="267">
        <v>517480</v>
      </c>
      <c r="F435" s="254"/>
      <c r="G435" s="254"/>
      <c r="H435" s="254"/>
    </row>
    <row r="436" spans="1:9">
      <c r="A436" s="15" t="s">
        <v>1501</v>
      </c>
      <c r="B436" s="267">
        <v>494165.96</v>
      </c>
      <c r="C436" s="96"/>
      <c r="D436" s="96"/>
      <c r="E436" s="267">
        <v>494165.96</v>
      </c>
      <c r="F436" s="254"/>
      <c r="G436" s="254"/>
      <c r="H436" s="254"/>
    </row>
    <row r="437" spans="1:9">
      <c r="A437" s="15" t="s">
        <v>2361</v>
      </c>
      <c r="B437" s="96"/>
      <c r="C437" s="104">
        <v>678562.54</v>
      </c>
      <c r="D437" s="104">
        <v>678563</v>
      </c>
      <c r="E437" s="263">
        <v>0.46</v>
      </c>
      <c r="F437" s="581"/>
      <c r="G437" s="581"/>
      <c r="H437" s="254"/>
      <c r="I437" s="254"/>
    </row>
    <row r="438" spans="1:9">
      <c r="A438" s="14" t="s">
        <v>69</v>
      </c>
      <c r="B438" s="198">
        <v>54632</v>
      </c>
      <c r="C438" s="112">
        <v>40914060</v>
      </c>
      <c r="D438" s="112">
        <v>40958771</v>
      </c>
      <c r="E438" s="198">
        <v>9919</v>
      </c>
      <c r="G438" s="254"/>
      <c r="H438" s="254"/>
    </row>
    <row r="439" spans="1:9">
      <c r="A439" s="13" t="s">
        <v>70</v>
      </c>
      <c r="B439" s="269">
        <v>20073247.010000002</v>
      </c>
      <c r="C439" s="106">
        <v>672208284.27999997</v>
      </c>
      <c r="D439" s="106">
        <v>678814545.46000004</v>
      </c>
      <c r="E439" s="633">
        <v>13466985.829999924</v>
      </c>
      <c r="G439" s="466"/>
    </row>
    <row r="440" spans="1:9">
      <c r="A440" s="17" t="s">
        <v>804</v>
      </c>
      <c r="B440" s="273">
        <v>19627619.5</v>
      </c>
      <c r="C440" s="107">
        <v>619801960.27999997</v>
      </c>
      <c r="D440" s="107">
        <v>628009022.21000004</v>
      </c>
      <c r="E440" s="273">
        <v>11420557.57</v>
      </c>
      <c r="F440" s="515"/>
    </row>
    <row r="441" spans="1:9">
      <c r="A441" s="190" t="s">
        <v>806</v>
      </c>
      <c r="B441" s="269">
        <v>12797.11</v>
      </c>
      <c r="C441" s="108"/>
      <c r="D441" s="108"/>
      <c r="E441" s="269">
        <v>12797.11</v>
      </c>
      <c r="F441" s="515"/>
    </row>
    <row r="442" spans="1:9">
      <c r="A442" s="15" t="s">
        <v>807</v>
      </c>
      <c r="B442" s="267">
        <v>140064.47</v>
      </c>
      <c r="C442" s="112">
        <v>5764988.2000000002</v>
      </c>
      <c r="D442" s="112">
        <v>5886319.5</v>
      </c>
      <c r="E442" s="267">
        <v>18733.169999999998</v>
      </c>
      <c r="F442" s="515"/>
    </row>
    <row r="443" spans="1:9">
      <c r="A443" s="190" t="s">
        <v>808</v>
      </c>
      <c r="B443" s="267">
        <v>14093.85</v>
      </c>
      <c r="C443" s="112">
        <v>10560652</v>
      </c>
      <c r="D443" s="112">
        <v>10500590</v>
      </c>
      <c r="E443" s="267">
        <v>74155.850000000006</v>
      </c>
      <c r="F443" s="515"/>
    </row>
    <row r="444" spans="1:9">
      <c r="A444" s="560" t="s">
        <v>809</v>
      </c>
      <c r="B444" s="578">
        <v>24337.5</v>
      </c>
      <c r="C444" s="576"/>
      <c r="D444" s="555">
        <v>24337.5</v>
      </c>
      <c r="E444" s="554"/>
    </row>
    <row r="445" spans="1:9">
      <c r="A445" s="15" t="s">
        <v>261</v>
      </c>
      <c r="B445" s="267">
        <v>13975117.98</v>
      </c>
      <c r="C445" s="112">
        <v>340195606.73000002</v>
      </c>
      <c r="D445" s="112">
        <v>348995939.35000002</v>
      </c>
      <c r="E445" s="267">
        <v>5174785.3600000003</v>
      </c>
      <c r="F445" s="515"/>
    </row>
    <row r="446" spans="1:9">
      <c r="A446" s="190" t="s">
        <v>811</v>
      </c>
      <c r="B446" s="267">
        <v>2540565.2200000002</v>
      </c>
      <c r="C446" s="112">
        <v>176254810.84999999</v>
      </c>
      <c r="D446" s="112">
        <v>174528467.5</v>
      </c>
      <c r="E446" s="267">
        <v>4266908.57</v>
      </c>
      <c r="F446" s="515"/>
    </row>
    <row r="447" spans="1:9">
      <c r="A447" s="190" t="s">
        <v>812</v>
      </c>
      <c r="B447" s="267">
        <v>2885227.5</v>
      </c>
      <c r="C447" s="112">
        <v>67460467</v>
      </c>
      <c r="D447" s="112">
        <v>68646990</v>
      </c>
      <c r="E447" s="267">
        <v>1698704.5</v>
      </c>
      <c r="F447" s="515"/>
    </row>
    <row r="448" spans="1:9">
      <c r="A448" s="190" t="s">
        <v>813</v>
      </c>
      <c r="B448" s="267">
        <v>21297.87</v>
      </c>
      <c r="C448" s="95"/>
      <c r="D448" s="95"/>
      <c r="E448" s="267">
        <v>21297.87</v>
      </c>
      <c r="F448" s="515"/>
    </row>
    <row r="449" spans="1:7">
      <c r="A449" s="190" t="s">
        <v>2223</v>
      </c>
      <c r="B449" s="96"/>
      <c r="C449" s="112">
        <v>19565435.5</v>
      </c>
      <c r="D449" s="112">
        <v>19426378.359999999</v>
      </c>
      <c r="E449" s="267">
        <v>139057.14000000001</v>
      </c>
      <c r="F449" s="515"/>
    </row>
    <row r="450" spans="1:7">
      <c r="A450" s="190" t="s">
        <v>814</v>
      </c>
      <c r="B450" s="267">
        <v>14118</v>
      </c>
      <c r="C450" s="95"/>
      <c r="D450" s="95"/>
      <c r="E450" s="267">
        <v>14118</v>
      </c>
      <c r="F450" s="515"/>
    </row>
    <row r="451" spans="1:7">
      <c r="A451" s="17" t="s">
        <v>815</v>
      </c>
      <c r="B451" s="269">
        <v>445627.51</v>
      </c>
      <c r="C451" s="93">
        <v>52406324</v>
      </c>
      <c r="D451" s="93">
        <v>50805523.25</v>
      </c>
      <c r="E451" s="269">
        <v>2046428.26</v>
      </c>
      <c r="F451" s="515"/>
    </row>
    <row r="452" spans="1:7">
      <c r="A452" s="15" t="s">
        <v>816</v>
      </c>
      <c r="B452" s="267">
        <v>11681.17</v>
      </c>
      <c r="C452" s="95"/>
      <c r="D452" s="95"/>
      <c r="E452" s="267">
        <v>11681.17</v>
      </c>
      <c r="F452" s="515"/>
    </row>
    <row r="453" spans="1:7">
      <c r="A453" s="190" t="s">
        <v>817</v>
      </c>
      <c r="B453" s="267">
        <v>26862.32</v>
      </c>
      <c r="C453" s="112">
        <v>1000</v>
      </c>
      <c r="D453" s="95"/>
      <c r="E453" s="267">
        <v>27862.32</v>
      </c>
      <c r="F453" s="515"/>
    </row>
    <row r="454" spans="1:7">
      <c r="A454" s="190" t="s">
        <v>818</v>
      </c>
      <c r="B454" s="267">
        <v>320500.88</v>
      </c>
      <c r="C454" s="112">
        <v>49692524</v>
      </c>
      <c r="D454" s="112">
        <v>48067483.25</v>
      </c>
      <c r="E454" s="267">
        <v>1945541.63</v>
      </c>
      <c r="F454" s="515"/>
    </row>
    <row r="455" spans="1:7">
      <c r="A455" s="190" t="s">
        <v>819</v>
      </c>
      <c r="B455" s="267">
        <v>75377.75</v>
      </c>
      <c r="C455" s="112">
        <v>2712800</v>
      </c>
      <c r="D455" s="112">
        <v>2738040</v>
      </c>
      <c r="E455" s="267">
        <v>50137.75</v>
      </c>
      <c r="F455" s="515"/>
    </row>
    <row r="456" spans="1:7">
      <c r="A456" s="15" t="s">
        <v>820</v>
      </c>
      <c r="B456" s="267">
        <v>11037.14</v>
      </c>
      <c r="C456" s="95"/>
      <c r="D456" s="95"/>
      <c r="E456" s="267">
        <v>11037.14</v>
      </c>
      <c r="F456" s="515"/>
    </row>
    <row r="457" spans="1:7">
      <c r="A457" s="190" t="s">
        <v>821</v>
      </c>
      <c r="B457" s="267">
        <v>168.25</v>
      </c>
      <c r="C457" s="95"/>
      <c r="D457" s="95"/>
      <c r="E457" s="267">
        <v>168.25</v>
      </c>
      <c r="F457" s="515"/>
    </row>
    <row r="458" spans="1:7">
      <c r="A458" s="13" t="s">
        <v>99</v>
      </c>
      <c r="B458" s="267">
        <v>18844298</v>
      </c>
      <c r="C458" s="112">
        <v>10727466</v>
      </c>
      <c r="D458" s="112">
        <v>23961062</v>
      </c>
      <c r="E458" s="267">
        <v>5610702</v>
      </c>
      <c r="F458" s="515"/>
      <c r="G458" s="100"/>
    </row>
    <row r="459" spans="1:7">
      <c r="A459" s="1" t="s">
        <v>100</v>
      </c>
      <c r="B459" s="270">
        <v>4617661.75</v>
      </c>
      <c r="C459" s="93">
        <v>175635521.84999999</v>
      </c>
      <c r="D459" s="93">
        <v>174073655.15000001</v>
      </c>
      <c r="E459" s="270">
        <v>6179528.4499999881</v>
      </c>
      <c r="F459" s="651"/>
      <c r="G459" s="252"/>
    </row>
    <row r="460" spans="1:7">
      <c r="A460" s="577" t="s">
        <v>2036</v>
      </c>
      <c r="B460" s="578">
        <v>109460</v>
      </c>
      <c r="C460" s="555">
        <v>2212764</v>
      </c>
      <c r="D460" s="555">
        <v>2322224</v>
      </c>
      <c r="E460" s="554"/>
    </row>
    <row r="461" spans="1:7">
      <c r="A461" s="577" t="s">
        <v>2037</v>
      </c>
      <c r="B461" s="578">
        <v>217196</v>
      </c>
      <c r="C461" s="555">
        <v>4058790</v>
      </c>
      <c r="D461" s="555">
        <v>4275986</v>
      </c>
      <c r="E461" s="554"/>
    </row>
    <row r="462" spans="1:7">
      <c r="A462" s="13" t="s">
        <v>822</v>
      </c>
      <c r="B462" s="263">
        <v>201</v>
      </c>
      <c r="C462" s="95"/>
      <c r="D462" s="95"/>
      <c r="E462" s="263">
        <v>-201</v>
      </c>
      <c r="F462" s="515"/>
    </row>
    <row r="463" spans="1:7">
      <c r="A463" s="13" t="s">
        <v>1246</v>
      </c>
      <c r="B463" s="263">
        <v>34050</v>
      </c>
      <c r="C463" s="95"/>
      <c r="D463" s="95"/>
      <c r="E463" s="263">
        <v>-34050</v>
      </c>
      <c r="F463" s="515"/>
    </row>
    <row r="464" spans="1:7">
      <c r="A464" s="13" t="s">
        <v>1245</v>
      </c>
      <c r="B464" s="263">
        <v>1544</v>
      </c>
      <c r="C464" s="95"/>
      <c r="D464" s="95"/>
      <c r="E464" s="263">
        <v>-1544</v>
      </c>
      <c r="F464" s="515"/>
    </row>
    <row r="465" spans="1:6">
      <c r="A465" s="13" t="s">
        <v>823</v>
      </c>
      <c r="B465" s="263">
        <v>2</v>
      </c>
      <c r="C465" s="95"/>
      <c r="D465" s="95"/>
      <c r="E465" s="263">
        <v>-2</v>
      </c>
      <c r="F465" s="515"/>
    </row>
    <row r="466" spans="1:6">
      <c r="A466" s="13" t="s">
        <v>2038</v>
      </c>
      <c r="B466" s="267">
        <v>258219</v>
      </c>
      <c r="C466" s="112">
        <v>4063476</v>
      </c>
      <c r="D466" s="112">
        <v>4319195</v>
      </c>
      <c r="E466" s="267">
        <v>0</v>
      </c>
      <c r="F466" s="515"/>
    </row>
    <row r="467" spans="1:6">
      <c r="A467" s="577" t="s">
        <v>2039</v>
      </c>
      <c r="B467" s="578">
        <v>14076</v>
      </c>
      <c r="C467" s="555">
        <v>817844</v>
      </c>
      <c r="D467" s="555">
        <v>831920</v>
      </c>
      <c r="E467" s="554"/>
    </row>
    <row r="468" spans="1:6">
      <c r="A468" s="13" t="s">
        <v>2040</v>
      </c>
      <c r="B468" s="267">
        <v>37345</v>
      </c>
      <c r="C468" s="112">
        <v>5040</v>
      </c>
      <c r="D468" s="112">
        <v>41085</v>
      </c>
      <c r="E468" s="267">
        <v>0</v>
      </c>
      <c r="F468" s="515"/>
    </row>
    <row r="469" spans="1:6">
      <c r="A469" s="577" t="s">
        <v>2041</v>
      </c>
      <c r="B469" s="578">
        <v>3155</v>
      </c>
      <c r="C469" s="555">
        <v>2527785</v>
      </c>
      <c r="D469" s="555">
        <v>2530940</v>
      </c>
      <c r="E469" s="554"/>
    </row>
    <row r="470" spans="1:6">
      <c r="A470" s="13" t="s">
        <v>824</v>
      </c>
      <c r="B470" s="263">
        <v>800</v>
      </c>
      <c r="C470" s="95"/>
      <c r="D470" s="95"/>
      <c r="E470" s="263">
        <v>-800</v>
      </c>
      <c r="F470" s="515"/>
    </row>
    <row r="471" spans="1:6">
      <c r="A471" s="13" t="s">
        <v>1839</v>
      </c>
      <c r="B471" s="267">
        <v>41936</v>
      </c>
      <c r="C471" s="112">
        <v>670441</v>
      </c>
      <c r="D471" s="112">
        <v>689334</v>
      </c>
      <c r="E471" s="267">
        <v>0</v>
      </c>
      <c r="F471" s="515"/>
    </row>
    <row r="472" spans="1:6">
      <c r="A472" s="13" t="s">
        <v>825</v>
      </c>
      <c r="B472" s="267">
        <v>2727</v>
      </c>
      <c r="C472" s="95"/>
      <c r="D472" s="95"/>
      <c r="E472" s="267">
        <v>0</v>
      </c>
      <c r="F472" s="515"/>
    </row>
    <row r="473" spans="1:6">
      <c r="A473" s="13" t="s">
        <v>1078</v>
      </c>
      <c r="B473" s="267">
        <v>45000</v>
      </c>
      <c r="C473" s="95"/>
      <c r="D473" s="95"/>
      <c r="E473" s="267">
        <v>0</v>
      </c>
      <c r="F473" s="515"/>
    </row>
    <row r="474" spans="1:6">
      <c r="A474" s="577" t="s">
        <v>2042</v>
      </c>
      <c r="B474" s="578">
        <v>91620</v>
      </c>
      <c r="C474" s="555">
        <v>4600100</v>
      </c>
      <c r="D474" s="555">
        <v>4691720</v>
      </c>
      <c r="E474" s="554"/>
    </row>
    <row r="475" spans="1:6">
      <c r="A475" s="13" t="s">
        <v>1733</v>
      </c>
      <c r="B475" s="267">
        <v>166417</v>
      </c>
      <c r="C475" s="112">
        <v>6883333</v>
      </c>
      <c r="D475" s="112">
        <v>6971684</v>
      </c>
      <c r="E475" s="267">
        <v>0</v>
      </c>
      <c r="F475" s="515"/>
    </row>
    <row r="476" spans="1:6">
      <c r="A476" s="13" t="s">
        <v>2178</v>
      </c>
      <c r="B476" s="96"/>
      <c r="C476" s="112">
        <v>3005613</v>
      </c>
      <c r="D476" s="112">
        <v>2790461</v>
      </c>
      <c r="E476" s="267">
        <v>0</v>
      </c>
      <c r="F476" s="515"/>
    </row>
    <row r="477" spans="1:6">
      <c r="A477" s="13" t="s">
        <v>830</v>
      </c>
      <c r="B477" s="263">
        <v>500</v>
      </c>
      <c r="C477" s="112">
        <v>10825315.25</v>
      </c>
      <c r="D477" s="112">
        <v>10813355.25</v>
      </c>
      <c r="E477" s="267">
        <v>0</v>
      </c>
      <c r="F477" s="515"/>
    </row>
    <row r="478" spans="1:6">
      <c r="A478" s="13" t="s">
        <v>2179</v>
      </c>
      <c r="B478" s="96"/>
      <c r="C478" s="112">
        <v>4021717</v>
      </c>
      <c r="D478" s="112">
        <v>3875241</v>
      </c>
      <c r="E478" s="267">
        <v>0</v>
      </c>
      <c r="F478" s="515"/>
    </row>
    <row r="479" spans="1:6">
      <c r="A479" s="13" t="s">
        <v>2043</v>
      </c>
      <c r="B479" s="267">
        <v>256119</v>
      </c>
      <c r="C479" s="112">
        <v>8449347</v>
      </c>
      <c r="D479" s="112">
        <v>8641520</v>
      </c>
      <c r="E479" s="267">
        <v>0</v>
      </c>
      <c r="F479" s="515"/>
    </row>
    <row r="480" spans="1:6">
      <c r="A480" s="13" t="s">
        <v>1505</v>
      </c>
      <c r="B480" s="267">
        <v>5875</v>
      </c>
      <c r="C480" s="95"/>
      <c r="D480" s="95"/>
      <c r="E480" s="267">
        <v>0</v>
      </c>
      <c r="F480" s="515"/>
    </row>
    <row r="481" spans="1:6">
      <c r="A481" s="13" t="s">
        <v>833</v>
      </c>
      <c r="B481" s="267">
        <v>6924</v>
      </c>
      <c r="C481" s="95"/>
      <c r="D481" s="95"/>
      <c r="E481" s="267">
        <v>0</v>
      </c>
      <c r="F481" s="515"/>
    </row>
    <row r="482" spans="1:6">
      <c r="A482" s="13" t="s">
        <v>1506</v>
      </c>
      <c r="B482" s="263">
        <v>41010</v>
      </c>
      <c r="C482" s="95"/>
      <c r="D482" s="95"/>
      <c r="E482" s="263">
        <v>-41010</v>
      </c>
      <c r="F482" s="515"/>
    </row>
    <row r="483" spans="1:6">
      <c r="A483" s="13" t="s">
        <v>2180</v>
      </c>
      <c r="B483" s="96"/>
      <c r="C483" s="112">
        <v>434250</v>
      </c>
      <c r="D483" s="112">
        <v>299912</v>
      </c>
      <c r="E483" s="267">
        <v>0</v>
      </c>
      <c r="F483" s="515"/>
    </row>
    <row r="484" spans="1:6">
      <c r="A484" s="13" t="s">
        <v>835</v>
      </c>
      <c r="B484" s="263">
        <v>2000</v>
      </c>
      <c r="C484" s="95"/>
      <c r="D484" s="95"/>
      <c r="E484" s="263">
        <v>-2000</v>
      </c>
      <c r="F484" s="515"/>
    </row>
    <row r="485" spans="1:6">
      <c r="A485" s="577" t="s">
        <v>2044</v>
      </c>
      <c r="B485" s="554"/>
      <c r="C485" s="555">
        <v>587792</v>
      </c>
      <c r="D485" s="555">
        <v>587792</v>
      </c>
      <c r="E485" s="554"/>
    </row>
    <row r="486" spans="1:6">
      <c r="A486" s="13" t="s">
        <v>2045</v>
      </c>
      <c r="B486" s="267">
        <v>138374</v>
      </c>
      <c r="C486" s="112">
        <v>2044498</v>
      </c>
      <c r="D486" s="112">
        <v>2136846</v>
      </c>
      <c r="E486" s="267">
        <v>0</v>
      </c>
      <c r="F486" s="515"/>
    </row>
    <row r="487" spans="1:6">
      <c r="A487" s="13" t="s">
        <v>1737</v>
      </c>
      <c r="B487" s="263">
        <v>11728</v>
      </c>
      <c r="C487" s="112">
        <v>209883</v>
      </c>
      <c r="D487" s="112">
        <v>264010</v>
      </c>
      <c r="E487" s="263">
        <v>-65855</v>
      </c>
      <c r="F487" s="515"/>
    </row>
    <row r="488" spans="1:6">
      <c r="A488" s="577" t="s">
        <v>2046</v>
      </c>
      <c r="B488" s="578">
        <v>1811</v>
      </c>
      <c r="C488" s="555">
        <v>1143263</v>
      </c>
      <c r="D488" s="555">
        <v>1145074</v>
      </c>
      <c r="E488" s="554"/>
    </row>
    <row r="489" spans="1:6">
      <c r="A489" s="13" t="s">
        <v>2047</v>
      </c>
      <c r="B489" s="267">
        <v>265583</v>
      </c>
      <c r="C489" s="112">
        <v>9038867</v>
      </c>
      <c r="D489" s="112">
        <v>9283905</v>
      </c>
      <c r="E489" s="267">
        <v>0</v>
      </c>
      <c r="F489" s="515"/>
    </row>
    <row r="490" spans="1:6">
      <c r="A490" s="13" t="s">
        <v>2181</v>
      </c>
      <c r="B490" s="96"/>
      <c r="C490" s="112">
        <v>1751050</v>
      </c>
      <c r="D490" s="112">
        <v>1407363</v>
      </c>
      <c r="E490" s="267">
        <v>0</v>
      </c>
      <c r="F490" s="515"/>
    </row>
    <row r="491" spans="1:6">
      <c r="A491" s="13" t="s">
        <v>836</v>
      </c>
      <c r="B491" s="267">
        <v>88647</v>
      </c>
      <c r="C491" s="95"/>
      <c r="D491" s="95"/>
      <c r="E491" s="267">
        <v>0</v>
      </c>
      <c r="F491" s="515"/>
    </row>
    <row r="492" spans="1:6">
      <c r="A492" s="13" t="s">
        <v>1243</v>
      </c>
      <c r="B492" s="267">
        <v>32269</v>
      </c>
      <c r="C492" s="95"/>
      <c r="D492" s="95"/>
      <c r="E492" s="267">
        <v>0</v>
      </c>
      <c r="F492" s="515"/>
    </row>
    <row r="493" spans="1:6">
      <c r="A493" s="13" t="s">
        <v>2048</v>
      </c>
      <c r="B493" s="267">
        <v>82384</v>
      </c>
      <c r="C493" s="112">
        <v>301740</v>
      </c>
      <c r="D493" s="112">
        <v>387124</v>
      </c>
      <c r="E493" s="263">
        <v>-3000</v>
      </c>
      <c r="F493" s="515"/>
    </row>
    <row r="494" spans="1:6">
      <c r="A494" s="13" t="s">
        <v>837</v>
      </c>
      <c r="B494" s="267">
        <v>75</v>
      </c>
      <c r="C494" s="95"/>
      <c r="D494" s="95"/>
      <c r="E494" s="267">
        <v>0</v>
      </c>
      <c r="F494" s="515"/>
    </row>
    <row r="495" spans="1:6">
      <c r="A495" s="13" t="s">
        <v>838</v>
      </c>
      <c r="B495" s="267">
        <v>5578</v>
      </c>
      <c r="C495" s="95"/>
      <c r="D495" s="95"/>
      <c r="E495" s="267">
        <v>0</v>
      </c>
      <c r="F495" s="515"/>
    </row>
    <row r="496" spans="1:6">
      <c r="A496" s="13" t="s">
        <v>839</v>
      </c>
      <c r="B496" s="267">
        <v>22244</v>
      </c>
      <c r="C496" s="95"/>
      <c r="D496" s="95"/>
      <c r="E496" s="267">
        <v>0</v>
      </c>
      <c r="F496" s="515"/>
    </row>
    <row r="497" spans="1:6">
      <c r="A497" s="13" t="s">
        <v>840</v>
      </c>
      <c r="B497" s="267">
        <v>18095</v>
      </c>
      <c r="C497" s="95"/>
      <c r="D497" s="95"/>
      <c r="E497" s="267">
        <v>0</v>
      </c>
      <c r="F497" s="515"/>
    </row>
    <row r="498" spans="1:6">
      <c r="A498" s="13" t="s">
        <v>841</v>
      </c>
      <c r="B498" s="267">
        <v>31056</v>
      </c>
      <c r="C498" s="95"/>
      <c r="D498" s="95"/>
      <c r="E498" s="267">
        <v>0</v>
      </c>
      <c r="F498" s="515"/>
    </row>
    <row r="499" spans="1:6">
      <c r="A499" s="13" t="s">
        <v>842</v>
      </c>
      <c r="B499" s="267">
        <v>27512</v>
      </c>
      <c r="C499" s="95"/>
      <c r="D499" s="95"/>
      <c r="E499" s="267">
        <v>0</v>
      </c>
      <c r="F499" s="515"/>
    </row>
    <row r="500" spans="1:6">
      <c r="A500" s="13" t="s">
        <v>843</v>
      </c>
      <c r="B500" s="263">
        <v>2000</v>
      </c>
      <c r="C500" s="95"/>
      <c r="D500" s="95"/>
      <c r="E500" s="263">
        <v>-2000</v>
      </c>
      <c r="F500" s="515"/>
    </row>
    <row r="501" spans="1:6">
      <c r="A501" s="13" t="s">
        <v>844</v>
      </c>
      <c r="B501" s="263">
        <v>2100</v>
      </c>
      <c r="C501" s="95"/>
      <c r="D501" s="95"/>
      <c r="E501" s="263">
        <v>-2100</v>
      </c>
      <c r="F501" s="515"/>
    </row>
    <row r="502" spans="1:6">
      <c r="A502" s="13" t="s">
        <v>1841</v>
      </c>
      <c r="B502" s="267">
        <v>23368</v>
      </c>
      <c r="C502" s="112">
        <v>4786525.05</v>
      </c>
      <c r="D502" s="112">
        <v>4786654.05</v>
      </c>
      <c r="E502" s="267">
        <v>0</v>
      </c>
      <c r="F502" s="515"/>
    </row>
    <row r="503" spans="1:6">
      <c r="A503" s="13" t="s">
        <v>845</v>
      </c>
      <c r="B503" s="263">
        <v>5745</v>
      </c>
      <c r="C503" s="95"/>
      <c r="D503" s="95"/>
      <c r="E503" s="263">
        <v>-5745</v>
      </c>
      <c r="F503" s="515"/>
    </row>
    <row r="504" spans="1:6">
      <c r="A504" s="13" t="s">
        <v>846</v>
      </c>
      <c r="B504" s="267">
        <v>3188</v>
      </c>
      <c r="C504" s="95"/>
      <c r="D504" s="95"/>
      <c r="E504" s="267">
        <v>0</v>
      </c>
      <c r="F504" s="515"/>
    </row>
    <row r="505" spans="1:6">
      <c r="A505" s="13" t="s">
        <v>1516</v>
      </c>
      <c r="B505" s="263">
        <v>60</v>
      </c>
      <c r="C505" s="95"/>
      <c r="D505" s="95"/>
      <c r="E505" s="263">
        <v>-60</v>
      </c>
      <c r="F505" s="515"/>
    </row>
    <row r="506" spans="1:6">
      <c r="A506" s="13" t="s">
        <v>941</v>
      </c>
      <c r="B506" s="267">
        <v>3752</v>
      </c>
      <c r="C506" s="95"/>
      <c r="D506" s="95"/>
      <c r="E506" s="267">
        <v>0</v>
      </c>
      <c r="F506" s="515"/>
    </row>
    <row r="507" spans="1:6">
      <c r="A507" s="577" t="s">
        <v>2050</v>
      </c>
      <c r="B507" s="554"/>
      <c r="C507" s="555">
        <v>943278</v>
      </c>
      <c r="D507" s="555">
        <v>943278</v>
      </c>
      <c r="E507" s="554"/>
    </row>
    <row r="508" spans="1:6">
      <c r="A508" s="13" t="s">
        <v>2182</v>
      </c>
      <c r="B508" s="267">
        <v>204479.85</v>
      </c>
      <c r="C508" s="112">
        <v>18666008.5</v>
      </c>
      <c r="D508" s="112">
        <v>18634254.800000001</v>
      </c>
      <c r="E508" s="267">
        <v>0</v>
      </c>
      <c r="F508" s="515"/>
    </row>
    <row r="509" spans="1:6">
      <c r="A509" s="577" t="s">
        <v>2202</v>
      </c>
      <c r="B509" s="554"/>
      <c r="C509" s="555">
        <v>90200</v>
      </c>
      <c r="D509" s="555">
        <v>90200</v>
      </c>
      <c r="E509" s="554"/>
    </row>
    <row r="510" spans="1:6">
      <c r="A510" s="13" t="s">
        <v>1517</v>
      </c>
      <c r="B510" s="267">
        <v>29772</v>
      </c>
      <c r="C510" s="95"/>
      <c r="D510" s="95"/>
      <c r="E510" s="267">
        <v>0</v>
      </c>
      <c r="F510" s="515"/>
    </row>
    <row r="511" spans="1:6">
      <c r="A511" s="13" t="s">
        <v>849</v>
      </c>
      <c r="B511" s="263">
        <v>1000</v>
      </c>
      <c r="C511" s="95"/>
      <c r="D511" s="95"/>
      <c r="E511" s="263">
        <v>-1000</v>
      </c>
      <c r="F511" s="515"/>
    </row>
    <row r="512" spans="1:6">
      <c r="A512" s="13" t="s">
        <v>850</v>
      </c>
      <c r="B512" s="267">
        <v>2950</v>
      </c>
      <c r="C512" s="95"/>
      <c r="D512" s="95"/>
      <c r="E512" s="267">
        <v>0</v>
      </c>
      <c r="F512" s="515"/>
    </row>
    <row r="513" spans="1:6">
      <c r="A513" s="13" t="s">
        <v>2183</v>
      </c>
      <c r="B513" s="96"/>
      <c r="C513" s="112">
        <v>306000</v>
      </c>
      <c r="D513" s="112">
        <v>167929</v>
      </c>
      <c r="E513" s="267">
        <v>0</v>
      </c>
      <c r="F513" s="515"/>
    </row>
    <row r="514" spans="1:6">
      <c r="A514" s="13" t="s">
        <v>1739</v>
      </c>
      <c r="B514" s="267">
        <v>5501</v>
      </c>
      <c r="C514" s="95"/>
      <c r="D514" s="95"/>
      <c r="E514" s="267">
        <v>0</v>
      </c>
      <c r="F514" s="515"/>
    </row>
    <row r="515" spans="1:6">
      <c r="A515" s="13" t="s">
        <v>1240</v>
      </c>
      <c r="B515" s="267">
        <v>15054</v>
      </c>
      <c r="C515" s="95"/>
      <c r="D515" s="95"/>
      <c r="E515" s="267">
        <v>0</v>
      </c>
      <c r="F515" s="515"/>
    </row>
    <row r="516" spans="1:6">
      <c r="A516" s="13" t="s">
        <v>2184</v>
      </c>
      <c r="B516" s="96"/>
      <c r="C516" s="112">
        <v>10317027</v>
      </c>
      <c r="D516" s="112">
        <v>10153478</v>
      </c>
      <c r="E516" s="267">
        <v>0</v>
      </c>
      <c r="F516" s="515"/>
    </row>
    <row r="517" spans="1:6">
      <c r="A517" s="13" t="s">
        <v>2185</v>
      </c>
      <c r="B517" s="96"/>
      <c r="C517" s="112">
        <v>2187521</v>
      </c>
      <c r="D517" s="112">
        <v>1900746</v>
      </c>
      <c r="E517" s="267">
        <v>0</v>
      </c>
      <c r="F517" s="515"/>
    </row>
    <row r="518" spans="1:6">
      <c r="A518" s="13" t="s">
        <v>2186</v>
      </c>
      <c r="B518" s="96"/>
      <c r="C518" s="112">
        <v>1106268</v>
      </c>
      <c r="D518" s="112">
        <v>838218</v>
      </c>
      <c r="E518" s="267">
        <v>0</v>
      </c>
      <c r="F518" s="515"/>
    </row>
    <row r="519" spans="1:6">
      <c r="A519" s="13" t="s">
        <v>854</v>
      </c>
      <c r="B519" s="263">
        <v>2494</v>
      </c>
      <c r="C519" s="95"/>
      <c r="D519" s="95"/>
      <c r="E519" s="263">
        <v>-2494</v>
      </c>
      <c r="F519" s="515"/>
    </row>
    <row r="520" spans="1:6">
      <c r="A520" s="13" t="s">
        <v>2187</v>
      </c>
      <c r="B520" s="96"/>
      <c r="C520" s="112">
        <v>96055</v>
      </c>
      <c r="D520" s="112">
        <v>53603</v>
      </c>
      <c r="E520" s="267">
        <v>0</v>
      </c>
      <c r="F520" s="515"/>
    </row>
    <row r="521" spans="1:6">
      <c r="A521" s="13" t="s">
        <v>1521</v>
      </c>
      <c r="B521" s="263">
        <v>1577</v>
      </c>
      <c r="C521" s="95"/>
      <c r="D521" s="95"/>
      <c r="E521" s="263">
        <v>-1577</v>
      </c>
      <c r="F521" s="515"/>
    </row>
    <row r="522" spans="1:6">
      <c r="A522" s="13" t="s">
        <v>2188</v>
      </c>
      <c r="B522" s="96"/>
      <c r="C522" s="112">
        <v>1026528</v>
      </c>
      <c r="D522" s="112">
        <v>710047</v>
      </c>
      <c r="E522" s="267">
        <v>0</v>
      </c>
      <c r="F522" s="515"/>
    </row>
    <row r="523" spans="1:6">
      <c r="A523" s="13" t="s">
        <v>2189</v>
      </c>
      <c r="B523" s="96"/>
      <c r="C523" s="112">
        <v>8928479</v>
      </c>
      <c r="D523" s="112">
        <v>8302758</v>
      </c>
      <c r="E523" s="267">
        <v>0</v>
      </c>
      <c r="F523" s="515"/>
    </row>
    <row r="524" spans="1:6">
      <c r="A524" s="13" t="s">
        <v>2203</v>
      </c>
      <c r="B524" s="96"/>
      <c r="C524" s="112">
        <v>7201436</v>
      </c>
      <c r="D524" s="112">
        <v>7145762</v>
      </c>
      <c r="E524" s="267">
        <v>0</v>
      </c>
      <c r="F524" s="515"/>
    </row>
    <row r="525" spans="1:6">
      <c r="A525" s="13" t="s">
        <v>2190</v>
      </c>
      <c r="B525" s="96"/>
      <c r="C525" s="112">
        <v>5000</v>
      </c>
      <c r="D525" s="95"/>
      <c r="E525" s="267">
        <v>0</v>
      </c>
      <c r="F525" s="515"/>
    </row>
    <row r="526" spans="1:6">
      <c r="A526" s="13" t="s">
        <v>1743</v>
      </c>
      <c r="B526" s="267">
        <v>3530</v>
      </c>
      <c r="C526" s="112">
        <v>40755</v>
      </c>
      <c r="D526" s="112">
        <v>40755</v>
      </c>
      <c r="E526" s="267">
        <v>0</v>
      </c>
      <c r="F526" s="515"/>
    </row>
    <row r="527" spans="1:6">
      <c r="A527" s="577" t="s">
        <v>1744</v>
      </c>
      <c r="B527" s="578">
        <v>32292</v>
      </c>
      <c r="C527" s="555">
        <v>74292</v>
      </c>
      <c r="D527" s="555">
        <v>106584</v>
      </c>
      <c r="E527" s="554"/>
    </row>
    <row r="528" spans="1:6">
      <c r="A528" s="577" t="s">
        <v>2052</v>
      </c>
      <c r="B528" s="578">
        <v>42762</v>
      </c>
      <c r="C528" s="555">
        <v>4021744</v>
      </c>
      <c r="D528" s="555">
        <v>4064506</v>
      </c>
      <c r="E528" s="554"/>
    </row>
    <row r="529" spans="1:6">
      <c r="A529" s="13" t="s">
        <v>2053</v>
      </c>
      <c r="B529" s="267">
        <v>900100</v>
      </c>
      <c r="C529" s="112">
        <v>17128336</v>
      </c>
      <c r="D529" s="112">
        <v>17693552</v>
      </c>
      <c r="E529" s="267">
        <v>0</v>
      </c>
      <c r="F529" s="515"/>
    </row>
    <row r="530" spans="1:6">
      <c r="A530" s="13" t="s">
        <v>2191</v>
      </c>
      <c r="B530" s="96"/>
      <c r="C530" s="112">
        <v>2848730</v>
      </c>
      <c r="D530" s="112">
        <v>2411533</v>
      </c>
      <c r="E530" s="267">
        <v>0</v>
      </c>
      <c r="F530" s="515"/>
    </row>
    <row r="531" spans="1:6">
      <c r="A531" s="13" t="s">
        <v>855</v>
      </c>
      <c r="B531" s="267">
        <v>1184066.7</v>
      </c>
      <c r="C531" s="112">
        <v>130000</v>
      </c>
      <c r="D531" s="95"/>
      <c r="E531" s="267">
        <v>0</v>
      </c>
      <c r="F531" s="515"/>
    </row>
    <row r="532" spans="1:6">
      <c r="A532" s="13" t="s">
        <v>2192</v>
      </c>
      <c r="B532" s="96"/>
      <c r="C532" s="112">
        <v>2236576</v>
      </c>
      <c r="D532" s="112">
        <v>2397037</v>
      </c>
      <c r="E532" s="263">
        <v>-160461</v>
      </c>
      <c r="F532" s="515"/>
    </row>
    <row r="533" spans="1:6">
      <c r="A533" s="13" t="s">
        <v>1239</v>
      </c>
      <c r="B533" s="267">
        <v>1500</v>
      </c>
      <c r="C533" s="95"/>
      <c r="D533" s="95"/>
      <c r="E533" s="267">
        <v>0</v>
      </c>
      <c r="F533" s="515"/>
    </row>
    <row r="534" spans="1:6">
      <c r="A534" s="13" t="s">
        <v>256</v>
      </c>
      <c r="B534" s="267">
        <v>233932443.25</v>
      </c>
      <c r="C534" s="112">
        <v>16550265.050000001</v>
      </c>
      <c r="D534" s="112">
        <v>68640</v>
      </c>
      <c r="E534" s="267">
        <v>0</v>
      </c>
      <c r="F534" s="515"/>
    </row>
    <row r="535" spans="1:6">
      <c r="A535" s="13" t="s">
        <v>856</v>
      </c>
      <c r="B535" s="263">
        <v>3682429</v>
      </c>
      <c r="C535" s="95"/>
      <c r="D535" s="112">
        <v>943278</v>
      </c>
      <c r="E535" s="263">
        <v>-4625707</v>
      </c>
      <c r="F535" s="515"/>
    </row>
    <row r="536" spans="1:6">
      <c r="A536" s="13" t="s">
        <v>857</v>
      </c>
      <c r="B536" s="263">
        <v>155952519</v>
      </c>
      <c r="C536" s="95"/>
      <c r="D536" s="112">
        <v>11386532</v>
      </c>
      <c r="E536" s="263">
        <v>-167339051</v>
      </c>
      <c r="F536" s="515"/>
    </row>
    <row r="537" spans="1:6">
      <c r="A537" s="13" t="s">
        <v>858</v>
      </c>
      <c r="B537" s="263">
        <v>74297495.25</v>
      </c>
      <c r="C537" s="112">
        <v>27368</v>
      </c>
      <c r="D537" s="112">
        <v>4179183.05</v>
      </c>
      <c r="E537" s="263">
        <v>-78449310.299999997</v>
      </c>
      <c r="F537" s="515"/>
    </row>
    <row r="538" spans="1:6">
      <c r="A538" s="13" t="s">
        <v>859</v>
      </c>
      <c r="B538" s="267">
        <v>10812</v>
      </c>
      <c r="C538" s="95"/>
      <c r="D538" s="95"/>
      <c r="E538" s="267">
        <v>0</v>
      </c>
      <c r="F538" s="515"/>
    </row>
    <row r="539" spans="1:6">
      <c r="A539" s="13" t="s">
        <v>860</v>
      </c>
      <c r="B539" s="267">
        <v>6042</v>
      </c>
      <c r="C539" s="95"/>
      <c r="D539" s="95"/>
      <c r="E539" s="267">
        <v>0</v>
      </c>
      <c r="F539" s="515"/>
    </row>
    <row r="540" spans="1:6">
      <c r="A540" s="13" t="s">
        <v>861</v>
      </c>
      <c r="B540" s="263">
        <v>6589</v>
      </c>
      <c r="C540" s="95"/>
      <c r="D540" s="95"/>
      <c r="E540" s="263">
        <v>-6589</v>
      </c>
      <c r="F540" s="515"/>
    </row>
    <row r="541" spans="1:6">
      <c r="A541" s="577" t="s">
        <v>2054</v>
      </c>
      <c r="B541" s="578">
        <v>38664</v>
      </c>
      <c r="C541" s="555">
        <v>222096</v>
      </c>
      <c r="D541" s="555">
        <v>260760</v>
      </c>
      <c r="E541" s="554"/>
    </row>
    <row r="542" spans="1:6">
      <c r="A542" s="577" t="s">
        <v>1528</v>
      </c>
      <c r="B542" s="554"/>
      <c r="C542" s="555">
        <v>47140</v>
      </c>
      <c r="D542" s="555">
        <v>47140</v>
      </c>
      <c r="E542" s="554"/>
    </row>
    <row r="543" spans="1:6">
      <c r="A543" s="13" t="s">
        <v>2193</v>
      </c>
      <c r="B543" s="96"/>
      <c r="C543" s="112">
        <v>5678642</v>
      </c>
      <c r="D543" s="112">
        <v>5663453</v>
      </c>
      <c r="E543" s="267">
        <v>0</v>
      </c>
      <c r="F543" s="515"/>
    </row>
    <row r="544" spans="1:6">
      <c r="A544" s="577" t="s">
        <v>1529</v>
      </c>
      <c r="B544" s="578">
        <v>50068</v>
      </c>
      <c r="C544" s="555">
        <v>12000</v>
      </c>
      <c r="D544" s="555">
        <v>62068</v>
      </c>
      <c r="E544" s="554"/>
    </row>
    <row r="545" spans="1:6">
      <c r="A545" s="13" t="s">
        <v>1237</v>
      </c>
      <c r="B545" s="267">
        <v>69540</v>
      </c>
      <c r="C545" s="95"/>
      <c r="D545" s="95"/>
      <c r="E545" s="267">
        <v>0</v>
      </c>
      <c r="F545" s="515"/>
    </row>
    <row r="546" spans="1:6">
      <c r="A546" s="13" t="s">
        <v>863</v>
      </c>
      <c r="B546" s="267">
        <v>6023</v>
      </c>
      <c r="C546" s="95"/>
      <c r="D546" s="95"/>
      <c r="E546" s="267">
        <v>0</v>
      </c>
      <c r="F546" s="515"/>
    </row>
    <row r="547" spans="1:6">
      <c r="A547" s="13" t="s">
        <v>1089</v>
      </c>
      <c r="B547" s="267">
        <v>40029.199999999997</v>
      </c>
      <c r="C547" s="95"/>
      <c r="D547" s="95"/>
      <c r="E547" s="267">
        <v>0</v>
      </c>
      <c r="F547" s="515"/>
    </row>
    <row r="548" spans="1:6">
      <c r="A548" s="13" t="s">
        <v>1236</v>
      </c>
      <c r="B548" s="267">
        <v>38444</v>
      </c>
      <c r="C548" s="95"/>
      <c r="D548" s="95"/>
      <c r="E548" s="267">
        <v>0</v>
      </c>
      <c r="F548" s="515"/>
    </row>
    <row r="549" spans="1:6">
      <c r="A549" s="13" t="s">
        <v>1235</v>
      </c>
      <c r="B549" s="263">
        <v>2987</v>
      </c>
      <c r="C549" s="95"/>
      <c r="D549" s="95"/>
      <c r="E549" s="263">
        <v>-2987</v>
      </c>
      <c r="F549" s="515"/>
    </row>
    <row r="550" spans="1:6">
      <c r="A550" s="13" t="s">
        <v>864</v>
      </c>
      <c r="B550" s="267">
        <v>19090</v>
      </c>
      <c r="C550" s="95"/>
      <c r="D550" s="95"/>
      <c r="E550" s="267">
        <v>0</v>
      </c>
      <c r="F550" s="515"/>
    </row>
    <row r="551" spans="1:6">
      <c r="A551" s="13" t="s">
        <v>2194</v>
      </c>
      <c r="B551" s="96"/>
      <c r="C551" s="112">
        <v>1677634</v>
      </c>
      <c r="D551" s="112">
        <v>1095586</v>
      </c>
      <c r="E551" s="267">
        <v>0</v>
      </c>
      <c r="F551" s="515"/>
    </row>
    <row r="552" spans="1:6">
      <c r="A552" s="13" t="s">
        <v>2204</v>
      </c>
      <c r="B552" s="96"/>
      <c r="C552" s="112">
        <v>956699</v>
      </c>
      <c r="D552" s="112">
        <v>949418</v>
      </c>
      <c r="E552" s="267">
        <v>0</v>
      </c>
      <c r="F552" s="515"/>
    </row>
    <row r="553" spans="1:6">
      <c r="A553" s="13" t="s">
        <v>865</v>
      </c>
      <c r="B553" s="267">
        <v>6188</v>
      </c>
      <c r="C553" s="95"/>
      <c r="D553" s="95"/>
      <c r="E553" s="267">
        <v>0</v>
      </c>
      <c r="F553" s="515"/>
    </row>
    <row r="554" spans="1:6">
      <c r="A554" s="13" t="s">
        <v>866</v>
      </c>
      <c r="B554" s="267">
        <v>6576</v>
      </c>
      <c r="C554" s="95"/>
      <c r="D554" s="95"/>
      <c r="E554" s="267">
        <v>0</v>
      </c>
      <c r="F554" s="515"/>
    </row>
    <row r="555" spans="1:6">
      <c r="A555" s="13" t="s">
        <v>867</v>
      </c>
      <c r="B555" s="267">
        <v>486</v>
      </c>
      <c r="C555" s="95"/>
      <c r="D555" s="95"/>
      <c r="E555" s="267">
        <v>0</v>
      </c>
      <c r="F555" s="515"/>
    </row>
    <row r="556" spans="1:6">
      <c r="A556" s="13" t="s">
        <v>868</v>
      </c>
      <c r="B556" s="267">
        <v>2101</v>
      </c>
      <c r="C556" s="95"/>
      <c r="D556" s="95"/>
      <c r="E556" s="267">
        <v>0</v>
      </c>
      <c r="F556" s="515"/>
    </row>
    <row r="557" spans="1:6">
      <c r="A557" s="13" t="s">
        <v>869</v>
      </c>
      <c r="B557" s="263">
        <v>300</v>
      </c>
      <c r="C557" s="95"/>
      <c r="D557" s="95"/>
      <c r="E557" s="263">
        <v>-300</v>
      </c>
      <c r="F557" s="515"/>
    </row>
    <row r="558" spans="1:6">
      <c r="A558" s="13" t="s">
        <v>1530</v>
      </c>
      <c r="B558" s="267">
        <v>18273</v>
      </c>
      <c r="C558" s="112">
        <v>670011</v>
      </c>
      <c r="D558" s="112">
        <v>670011</v>
      </c>
      <c r="E558" s="267">
        <v>0</v>
      </c>
      <c r="F558" s="515"/>
    </row>
    <row r="559" spans="1:6">
      <c r="A559" s="1" t="s">
        <v>101</v>
      </c>
      <c r="B559" s="270">
        <v>273232</v>
      </c>
      <c r="C559" s="93">
        <v>36636991</v>
      </c>
      <c r="D559" s="93">
        <v>35341157</v>
      </c>
      <c r="E559" s="270">
        <v>1569066</v>
      </c>
    </row>
    <row r="560" spans="1:6">
      <c r="A560" s="13" t="s">
        <v>2195</v>
      </c>
      <c r="B560" s="96"/>
      <c r="C560" s="112">
        <v>25500</v>
      </c>
      <c r="D560" s="112">
        <v>10000</v>
      </c>
      <c r="E560" s="267">
        <v>15500</v>
      </c>
      <c r="F560" s="515"/>
    </row>
    <row r="561" spans="1:6">
      <c r="A561" s="577" t="s">
        <v>2196</v>
      </c>
      <c r="B561" s="554"/>
      <c r="C561" s="555">
        <v>5000</v>
      </c>
      <c r="D561" s="555">
        <v>5000</v>
      </c>
      <c r="E561" s="554"/>
    </row>
    <row r="562" spans="1:6">
      <c r="A562" s="13" t="s">
        <v>870</v>
      </c>
      <c r="B562" s="267">
        <v>2171.5</v>
      </c>
      <c r="C562" s="112">
        <v>253944</v>
      </c>
      <c r="D562" s="112">
        <v>242172</v>
      </c>
      <c r="E562" s="267">
        <v>13943.5</v>
      </c>
      <c r="F562" s="515"/>
    </row>
    <row r="563" spans="1:6">
      <c r="A563" s="577" t="s">
        <v>2197</v>
      </c>
      <c r="B563" s="554"/>
      <c r="C563" s="555">
        <v>5000</v>
      </c>
      <c r="D563" s="555">
        <v>5000</v>
      </c>
      <c r="E563" s="554"/>
    </row>
    <row r="564" spans="1:6">
      <c r="A564" s="13" t="s">
        <v>871</v>
      </c>
      <c r="B564" s="267">
        <v>1922.5</v>
      </c>
      <c r="C564" s="112">
        <v>50280</v>
      </c>
      <c r="D564" s="112">
        <v>52295</v>
      </c>
      <c r="E564" s="263">
        <v>92.5</v>
      </c>
      <c r="F564" s="515"/>
    </row>
    <row r="565" spans="1:6">
      <c r="A565" s="13" t="s">
        <v>872</v>
      </c>
      <c r="B565" s="96"/>
      <c r="C565" s="112">
        <v>43686</v>
      </c>
      <c r="D565" s="112">
        <v>38686</v>
      </c>
      <c r="E565" s="267">
        <v>5000</v>
      </c>
      <c r="F565" s="515"/>
    </row>
    <row r="566" spans="1:6">
      <c r="A566" s="13" t="s">
        <v>873</v>
      </c>
      <c r="B566" s="267">
        <v>2037</v>
      </c>
      <c r="C566" s="112">
        <v>296800</v>
      </c>
      <c r="D566" s="112">
        <v>282753</v>
      </c>
      <c r="E566" s="267">
        <v>16084</v>
      </c>
      <c r="F566" s="515"/>
    </row>
    <row r="567" spans="1:6">
      <c r="A567" s="13" t="s">
        <v>2198</v>
      </c>
      <c r="B567" s="96"/>
      <c r="C567" s="112">
        <v>3000</v>
      </c>
      <c r="D567" s="95"/>
      <c r="E567" s="267">
        <v>3000</v>
      </c>
      <c r="F567" s="515"/>
    </row>
    <row r="568" spans="1:6">
      <c r="A568" s="13" t="s">
        <v>874</v>
      </c>
      <c r="B568" s="267">
        <v>23534.2</v>
      </c>
      <c r="C568" s="112">
        <v>126000</v>
      </c>
      <c r="D568" s="112">
        <v>122398</v>
      </c>
      <c r="E568" s="267">
        <v>27136.2</v>
      </c>
      <c r="F568" s="515"/>
    </row>
    <row r="569" spans="1:6">
      <c r="A569" s="13" t="s">
        <v>875</v>
      </c>
      <c r="B569" s="267">
        <v>908</v>
      </c>
      <c r="C569" s="95"/>
      <c r="D569" s="95"/>
      <c r="E569" s="267">
        <v>908</v>
      </c>
      <c r="F569" s="515"/>
    </row>
    <row r="570" spans="1:6">
      <c r="A570" s="577" t="s">
        <v>2055</v>
      </c>
      <c r="B570" s="554"/>
      <c r="C570" s="555">
        <v>10000</v>
      </c>
      <c r="D570" s="555">
        <v>10000</v>
      </c>
      <c r="E570" s="554"/>
    </row>
    <row r="571" spans="1:6">
      <c r="A571" s="13" t="s">
        <v>1747</v>
      </c>
      <c r="B571" s="267">
        <v>29105</v>
      </c>
      <c r="C571" s="112">
        <v>2227</v>
      </c>
      <c r="D571" s="95"/>
      <c r="E571" s="267">
        <v>31332</v>
      </c>
      <c r="F571" s="515"/>
    </row>
    <row r="572" spans="1:6">
      <c r="A572" s="13" t="s">
        <v>876</v>
      </c>
      <c r="B572" s="267">
        <v>5128</v>
      </c>
      <c r="C572" s="112">
        <v>2500</v>
      </c>
      <c r="D572" s="95"/>
      <c r="E572" s="267">
        <v>7628</v>
      </c>
      <c r="F572" s="515"/>
    </row>
    <row r="573" spans="1:6">
      <c r="A573" s="577" t="s">
        <v>2057</v>
      </c>
      <c r="B573" s="578">
        <v>15000</v>
      </c>
      <c r="C573" s="576"/>
      <c r="D573" s="555">
        <v>15000</v>
      </c>
      <c r="E573" s="554"/>
    </row>
    <row r="574" spans="1:6">
      <c r="A574" s="577" t="s">
        <v>2199</v>
      </c>
      <c r="B574" s="554"/>
      <c r="C574" s="555">
        <v>11431</v>
      </c>
      <c r="D574" s="555">
        <v>11431</v>
      </c>
      <c r="E574" s="554"/>
    </row>
    <row r="575" spans="1:6">
      <c r="A575" s="13" t="s">
        <v>877</v>
      </c>
      <c r="B575" s="267">
        <v>169004</v>
      </c>
      <c r="C575" s="112">
        <v>6989</v>
      </c>
      <c r="D575" s="112">
        <v>4000</v>
      </c>
      <c r="E575" s="267">
        <v>171993</v>
      </c>
      <c r="F575" s="515"/>
    </row>
    <row r="576" spans="1:6">
      <c r="A576" s="13" t="s">
        <v>2062</v>
      </c>
      <c r="B576" s="263">
        <v>3000</v>
      </c>
      <c r="C576" s="95"/>
      <c r="D576" s="95"/>
      <c r="E576" s="263">
        <v>3000</v>
      </c>
      <c r="F576" s="515"/>
    </row>
    <row r="577" spans="1:6">
      <c r="A577" s="13" t="s">
        <v>879</v>
      </c>
      <c r="B577" s="263">
        <v>24410</v>
      </c>
      <c r="C577" s="112">
        <v>55000</v>
      </c>
      <c r="D577" s="112">
        <v>25987</v>
      </c>
      <c r="E577" s="267">
        <v>4603</v>
      </c>
      <c r="F577" s="515"/>
    </row>
    <row r="578" spans="1:6">
      <c r="A578" s="13" t="s">
        <v>2063</v>
      </c>
      <c r="B578" s="263">
        <v>6000</v>
      </c>
      <c r="C578" s="112">
        <v>129000</v>
      </c>
      <c r="D578" s="112">
        <v>129764</v>
      </c>
      <c r="E578" s="263">
        <v>6764</v>
      </c>
      <c r="F578" s="515"/>
    </row>
    <row r="579" spans="1:6">
      <c r="A579" s="13" t="s">
        <v>1532</v>
      </c>
      <c r="B579" s="263">
        <v>1</v>
      </c>
      <c r="C579" s="95"/>
      <c r="D579" s="95"/>
      <c r="E579" s="263">
        <v>1</v>
      </c>
      <c r="F579" s="515"/>
    </row>
    <row r="580" spans="1:6">
      <c r="A580" s="13" t="s">
        <v>880</v>
      </c>
      <c r="B580" s="267">
        <v>4362.5</v>
      </c>
      <c r="C580" s="112">
        <v>62867</v>
      </c>
      <c r="D580" s="112">
        <v>65312</v>
      </c>
      <c r="E580" s="267">
        <v>1917.5</v>
      </c>
      <c r="F580" s="515"/>
    </row>
    <row r="581" spans="1:6">
      <c r="A581" s="13" t="s">
        <v>881</v>
      </c>
      <c r="B581" s="96"/>
      <c r="C581" s="112">
        <v>8000</v>
      </c>
      <c r="D581" s="95"/>
      <c r="E581" s="267">
        <v>8000</v>
      </c>
      <c r="F581" s="515"/>
    </row>
    <row r="582" spans="1:6">
      <c r="A582" s="13" t="s">
        <v>1533</v>
      </c>
      <c r="B582" s="267">
        <v>11866</v>
      </c>
      <c r="C582" s="112">
        <v>135500</v>
      </c>
      <c r="D582" s="112">
        <v>92229</v>
      </c>
      <c r="E582" s="267">
        <v>55137</v>
      </c>
      <c r="F582" s="515"/>
    </row>
    <row r="583" spans="1:6">
      <c r="A583" s="13" t="s">
        <v>1534</v>
      </c>
      <c r="B583" s="267">
        <v>4415</v>
      </c>
      <c r="C583" s="95"/>
      <c r="D583" s="95"/>
      <c r="E583" s="267">
        <v>4415</v>
      </c>
      <c r="F583" s="515"/>
    </row>
    <row r="584" spans="1:6">
      <c r="A584" s="13" t="s">
        <v>883</v>
      </c>
      <c r="B584" s="267">
        <v>6125</v>
      </c>
      <c r="C584" s="112">
        <v>90759</v>
      </c>
      <c r="D584" s="112">
        <v>90208</v>
      </c>
      <c r="E584" s="267">
        <v>6676</v>
      </c>
      <c r="F584" s="515"/>
    </row>
    <row r="585" spans="1:6">
      <c r="A585" s="13" t="s">
        <v>884</v>
      </c>
      <c r="B585" s="263">
        <v>3988.7</v>
      </c>
      <c r="C585" s="112">
        <v>526770</v>
      </c>
      <c r="D585" s="112">
        <v>480293</v>
      </c>
      <c r="E585" s="267">
        <v>42488.3</v>
      </c>
      <c r="F585" s="515"/>
    </row>
    <row r="586" spans="1:6">
      <c r="A586" s="13" t="s">
        <v>885</v>
      </c>
      <c r="B586" s="267">
        <v>5134</v>
      </c>
      <c r="C586" s="112">
        <v>79900</v>
      </c>
      <c r="D586" s="112">
        <v>84434</v>
      </c>
      <c r="E586" s="267">
        <v>600</v>
      </c>
      <c r="F586" s="515"/>
    </row>
    <row r="587" spans="1:6">
      <c r="A587" s="13" t="s">
        <v>2064</v>
      </c>
      <c r="B587" s="96"/>
      <c r="C587" s="112">
        <v>34611039</v>
      </c>
      <c r="D587" s="112">
        <v>33485550</v>
      </c>
      <c r="E587" s="635">
        <v>1125489</v>
      </c>
      <c r="F587" s="515"/>
    </row>
    <row r="588" spans="1:6">
      <c r="A588" s="13" t="s">
        <v>1748</v>
      </c>
      <c r="B588" s="267">
        <v>18383</v>
      </c>
      <c r="C588" s="95"/>
      <c r="D588" s="95"/>
      <c r="E588" s="267">
        <v>18383</v>
      </c>
      <c r="F588" s="515"/>
    </row>
    <row r="589" spans="1:6">
      <c r="A589" s="577" t="s">
        <v>2065</v>
      </c>
      <c r="B589" s="578">
        <v>886</v>
      </c>
      <c r="C589" s="576"/>
      <c r="D589" s="555">
        <v>886</v>
      </c>
      <c r="E589" s="554"/>
    </row>
    <row r="590" spans="1:6">
      <c r="A590" s="13" t="s">
        <v>2066</v>
      </c>
      <c r="B590" s="267">
        <v>1495</v>
      </c>
      <c r="C590" s="112">
        <v>4000</v>
      </c>
      <c r="D590" s="95"/>
      <c r="E590" s="267">
        <v>5495</v>
      </c>
      <c r="F590" s="515"/>
    </row>
    <row r="591" spans="1:6">
      <c r="A591" s="13" t="s">
        <v>1233</v>
      </c>
      <c r="B591" s="96"/>
      <c r="C591" s="112">
        <v>3000</v>
      </c>
      <c r="D591" s="95"/>
      <c r="E591" s="267">
        <v>3000</v>
      </c>
      <c r="F591" s="515"/>
    </row>
    <row r="592" spans="1:6">
      <c r="A592" s="577" t="s">
        <v>2200</v>
      </c>
      <c r="B592" s="554"/>
      <c r="C592" s="555">
        <v>5299</v>
      </c>
      <c r="D592" s="555">
        <v>5299</v>
      </c>
      <c r="E592" s="554"/>
    </row>
    <row r="593" spans="1:7">
      <c r="A593" s="13" t="s">
        <v>1749</v>
      </c>
      <c r="B593" s="267">
        <v>3000</v>
      </c>
      <c r="C593" s="95"/>
      <c r="D593" s="95"/>
      <c r="E593" s="267">
        <v>3000</v>
      </c>
      <c r="F593" s="515"/>
    </row>
    <row r="594" spans="1:7">
      <c r="A594" s="13" t="s">
        <v>1093</v>
      </c>
      <c r="B594" s="96"/>
      <c r="C594" s="112">
        <v>64000</v>
      </c>
      <c r="D594" s="112">
        <v>63000</v>
      </c>
      <c r="E594" s="267">
        <v>1000</v>
      </c>
      <c r="F594" s="515"/>
    </row>
    <row r="595" spans="1:7">
      <c r="A595" s="13" t="s">
        <v>887</v>
      </c>
      <c r="B595" s="267">
        <v>500</v>
      </c>
      <c r="C595" s="95"/>
      <c r="D595" s="95"/>
      <c r="E595" s="267">
        <v>500</v>
      </c>
      <c r="F595" s="515"/>
    </row>
    <row r="596" spans="1:7">
      <c r="A596" s="13" t="s">
        <v>888</v>
      </c>
      <c r="B596" s="267">
        <v>750</v>
      </c>
      <c r="C596" s="95"/>
      <c r="D596" s="95"/>
      <c r="E596" s="267">
        <v>750</v>
      </c>
      <c r="F596" s="515"/>
    </row>
    <row r="597" spans="1:7">
      <c r="A597" s="577" t="s">
        <v>889</v>
      </c>
      <c r="B597" s="578">
        <v>1500</v>
      </c>
      <c r="C597" s="576"/>
      <c r="D597" s="555">
        <v>1500</v>
      </c>
      <c r="E597" s="554"/>
    </row>
    <row r="598" spans="1:7">
      <c r="A598" s="13" t="s">
        <v>1750</v>
      </c>
      <c r="B598" s="267">
        <v>3405</v>
      </c>
      <c r="C598" s="112">
        <v>2000</v>
      </c>
      <c r="D598" s="112">
        <v>1000</v>
      </c>
      <c r="E598" s="267">
        <v>4405</v>
      </c>
      <c r="F598" s="515"/>
    </row>
    <row r="599" spans="1:7">
      <c r="A599" s="13" t="s">
        <v>2067</v>
      </c>
      <c r="B599" s="96"/>
      <c r="C599" s="112">
        <v>17500</v>
      </c>
      <c r="D599" s="112">
        <v>16960</v>
      </c>
      <c r="E599" s="267">
        <v>540</v>
      </c>
      <c r="F599" s="515"/>
    </row>
    <row r="600" spans="1:7">
      <c r="A600" s="1" t="s">
        <v>102</v>
      </c>
      <c r="B600" s="109"/>
      <c r="C600" s="93">
        <v>3790</v>
      </c>
      <c r="D600" s="93">
        <v>328961538.06</v>
      </c>
      <c r="E600" s="264">
        <v>328957748.06</v>
      </c>
    </row>
    <row r="601" spans="1:7">
      <c r="A601" s="13" t="s">
        <v>103</v>
      </c>
      <c r="B601" s="96"/>
      <c r="C601" s="112">
        <v>3790</v>
      </c>
      <c r="D601" s="112">
        <v>328210468.06</v>
      </c>
      <c r="E601" s="263">
        <v>328206678.06</v>
      </c>
      <c r="F601" s="581"/>
      <c r="G601" s="581"/>
    </row>
    <row r="602" spans="1:7">
      <c r="A602" s="13" t="s">
        <v>2201</v>
      </c>
      <c r="B602" s="96"/>
      <c r="C602" s="95"/>
      <c r="D602" s="112">
        <v>751070</v>
      </c>
      <c r="E602" s="263">
        <v>751070</v>
      </c>
      <c r="F602" s="581"/>
      <c r="G602" s="581"/>
    </row>
    <row r="603" spans="1:7">
      <c r="A603" s="1" t="s">
        <v>104</v>
      </c>
      <c r="B603" s="109"/>
      <c r="C603" s="93">
        <v>81440680.049999997</v>
      </c>
      <c r="D603" s="93">
        <v>11509716</v>
      </c>
      <c r="E603" s="525">
        <v>69930964.049999997</v>
      </c>
    </row>
    <row r="604" spans="1:7">
      <c r="A604" s="13" t="s">
        <v>105</v>
      </c>
      <c r="B604" s="96"/>
      <c r="C604" s="112">
        <v>764695</v>
      </c>
      <c r="D604" s="112">
        <v>1332</v>
      </c>
      <c r="E604" s="267">
        <v>763363</v>
      </c>
      <c r="F604" s="581"/>
      <c r="G604" s="581"/>
    </row>
    <row r="605" spans="1:7">
      <c r="A605" s="13" t="s">
        <v>106</v>
      </c>
      <c r="B605" s="96"/>
      <c r="C605" s="112">
        <v>789848</v>
      </c>
      <c r="D605" s="95"/>
      <c r="E605" s="267">
        <v>789848</v>
      </c>
      <c r="F605" s="581"/>
      <c r="G605" s="581"/>
    </row>
    <row r="606" spans="1:7">
      <c r="A606" s="13" t="s">
        <v>107</v>
      </c>
      <c r="B606" s="96"/>
      <c r="C606" s="112">
        <v>978022</v>
      </c>
      <c r="D606" s="95"/>
      <c r="E606" s="267">
        <v>978022</v>
      </c>
      <c r="F606" s="581"/>
      <c r="G606" s="581"/>
    </row>
    <row r="607" spans="1:7">
      <c r="A607" s="13" t="s">
        <v>108</v>
      </c>
      <c r="B607" s="96"/>
      <c r="C607" s="112">
        <v>439837</v>
      </c>
      <c r="D607" s="95"/>
      <c r="E607" s="267">
        <v>439837</v>
      </c>
      <c r="F607" s="581"/>
      <c r="G607" s="581"/>
    </row>
    <row r="608" spans="1:7">
      <c r="A608" s="13" t="s">
        <v>109</v>
      </c>
      <c r="B608" s="96"/>
      <c r="C608" s="112">
        <v>386686</v>
      </c>
      <c r="D608" s="95"/>
      <c r="E608" s="267">
        <v>386686</v>
      </c>
      <c r="F608" s="581"/>
      <c r="G608" s="581"/>
    </row>
    <row r="609" spans="1:7">
      <c r="A609" s="13" t="s">
        <v>110</v>
      </c>
      <c r="B609" s="96"/>
      <c r="C609" s="112">
        <v>3806352</v>
      </c>
      <c r="D609" s="95"/>
      <c r="E609" s="267">
        <v>3806352</v>
      </c>
      <c r="F609" s="581"/>
      <c r="G609" s="581"/>
    </row>
    <row r="610" spans="1:7">
      <c r="A610" s="13" t="s">
        <v>111</v>
      </c>
      <c r="B610" s="96"/>
      <c r="C610" s="112">
        <v>179763</v>
      </c>
      <c r="D610" s="95"/>
      <c r="E610" s="267">
        <v>179763</v>
      </c>
      <c r="F610" s="581"/>
      <c r="G610" s="581"/>
    </row>
    <row r="611" spans="1:7">
      <c r="A611" s="13" t="s">
        <v>1875</v>
      </c>
      <c r="B611" s="96"/>
      <c r="C611" s="95"/>
      <c r="D611" s="112">
        <v>11500000</v>
      </c>
      <c r="E611" s="263">
        <v>11500000</v>
      </c>
      <c r="F611" s="581"/>
      <c r="G611" s="581"/>
    </row>
    <row r="612" spans="1:7">
      <c r="A612" s="13" t="s">
        <v>113</v>
      </c>
      <c r="B612" s="96"/>
      <c r="C612" s="112">
        <v>2614243.75</v>
      </c>
      <c r="D612" s="95"/>
      <c r="E612" s="267">
        <v>2614243.75</v>
      </c>
      <c r="F612" s="581"/>
      <c r="G612" s="581"/>
    </row>
    <row r="613" spans="1:7">
      <c r="A613" s="13" t="s">
        <v>2068</v>
      </c>
      <c r="B613" s="96"/>
      <c r="C613" s="112">
        <v>5040</v>
      </c>
      <c r="D613" s="95"/>
      <c r="E613" s="267">
        <v>5040</v>
      </c>
      <c r="F613" s="581"/>
      <c r="G613" s="581"/>
    </row>
    <row r="614" spans="1:7">
      <c r="A614" s="13" t="s">
        <v>114</v>
      </c>
      <c r="B614" s="96"/>
      <c r="C614" s="112">
        <v>80073</v>
      </c>
      <c r="D614" s="95"/>
      <c r="E614" s="267">
        <v>80073</v>
      </c>
      <c r="F614" s="581"/>
      <c r="G614" s="581"/>
    </row>
    <row r="615" spans="1:7">
      <c r="A615" s="13" t="s">
        <v>1535</v>
      </c>
      <c r="B615" s="96"/>
      <c r="C615" s="112">
        <v>36694</v>
      </c>
      <c r="D615" s="95"/>
      <c r="E615" s="267">
        <v>36694</v>
      </c>
      <c r="F615" s="581"/>
      <c r="G615" s="581"/>
    </row>
    <row r="616" spans="1:7">
      <c r="A616" s="13" t="s">
        <v>115</v>
      </c>
      <c r="B616" s="96"/>
      <c r="C616" s="112">
        <v>959407</v>
      </c>
      <c r="D616" s="95"/>
      <c r="E616" s="267">
        <v>959407</v>
      </c>
      <c r="F616" s="581"/>
      <c r="G616" s="581"/>
    </row>
    <row r="617" spans="1:7">
      <c r="A617" s="13" t="s">
        <v>116</v>
      </c>
      <c r="B617" s="96"/>
      <c r="C617" s="112">
        <v>3647359</v>
      </c>
      <c r="D617" s="95"/>
      <c r="E617" s="267">
        <v>3647359</v>
      </c>
      <c r="F617" s="581"/>
      <c r="G617" s="581"/>
    </row>
    <row r="618" spans="1:7">
      <c r="A618" s="13" t="s">
        <v>117</v>
      </c>
      <c r="B618" s="96"/>
      <c r="C618" s="112">
        <v>45850</v>
      </c>
      <c r="D618" s="95"/>
      <c r="E618" s="267">
        <v>45850</v>
      </c>
      <c r="F618" s="581"/>
      <c r="G618" s="581"/>
    </row>
    <row r="619" spans="1:7">
      <c r="A619" s="13" t="s">
        <v>940</v>
      </c>
      <c r="B619" s="96"/>
      <c r="C619" s="112">
        <v>716535</v>
      </c>
      <c r="D619" s="95"/>
      <c r="E619" s="267">
        <v>716535</v>
      </c>
      <c r="F619" s="581"/>
      <c r="G619" s="581"/>
    </row>
    <row r="620" spans="1:7">
      <c r="A620" s="13" t="s">
        <v>119</v>
      </c>
      <c r="B620" s="96"/>
      <c r="C620" s="112">
        <v>1026220</v>
      </c>
      <c r="D620" s="95"/>
      <c r="E620" s="267">
        <v>1026220</v>
      </c>
      <c r="F620" s="581"/>
      <c r="G620" s="581"/>
    </row>
    <row r="621" spans="1:7">
      <c r="A621" s="13" t="s">
        <v>120</v>
      </c>
      <c r="B621" s="96"/>
      <c r="C621" s="112">
        <v>2842640</v>
      </c>
      <c r="D621" s="95"/>
      <c r="E621" s="267">
        <v>2842640</v>
      </c>
      <c r="F621" s="581"/>
      <c r="G621" s="581"/>
    </row>
    <row r="622" spans="1:7">
      <c r="A622" s="13" t="s">
        <v>939</v>
      </c>
      <c r="B622" s="96"/>
      <c r="C622" s="112">
        <v>5788413.5499999998</v>
      </c>
      <c r="D622" s="95"/>
      <c r="E622" s="267">
        <v>5788413.5499999998</v>
      </c>
      <c r="F622" s="581"/>
      <c r="G622" s="581"/>
    </row>
    <row r="623" spans="1:7">
      <c r="A623" s="13" t="s">
        <v>938</v>
      </c>
      <c r="B623" s="96"/>
      <c r="C623" s="112">
        <v>3367998.3</v>
      </c>
      <c r="D623" s="95"/>
      <c r="E623" s="267">
        <v>3367998.3</v>
      </c>
      <c r="F623" s="581"/>
      <c r="G623" s="581"/>
    </row>
    <row r="624" spans="1:7">
      <c r="A624" s="13" t="s">
        <v>937</v>
      </c>
      <c r="B624" s="96"/>
      <c r="C624" s="112">
        <v>396514</v>
      </c>
      <c r="D624" s="95"/>
      <c r="E624" s="267">
        <v>396514</v>
      </c>
      <c r="F624" s="581"/>
      <c r="G624" s="581"/>
    </row>
    <row r="625" spans="1:7">
      <c r="A625" s="13" t="s">
        <v>936</v>
      </c>
      <c r="B625" s="96"/>
      <c r="C625" s="112">
        <v>2844164</v>
      </c>
      <c r="D625" s="95"/>
      <c r="E625" s="267">
        <v>2844164</v>
      </c>
      <c r="F625" s="581"/>
      <c r="G625" s="581"/>
    </row>
    <row r="626" spans="1:7">
      <c r="A626" s="13" t="s">
        <v>935</v>
      </c>
      <c r="B626" s="96"/>
      <c r="C626" s="112">
        <v>332893.05</v>
      </c>
      <c r="D626" s="95"/>
      <c r="E626" s="267">
        <v>332893.05</v>
      </c>
      <c r="F626" s="581"/>
      <c r="G626" s="581"/>
    </row>
    <row r="627" spans="1:7">
      <c r="A627" s="13" t="s">
        <v>121</v>
      </c>
      <c r="B627" s="96"/>
      <c r="C627" s="112">
        <v>5610841</v>
      </c>
      <c r="D627" s="95"/>
      <c r="E627" s="267">
        <v>5610841</v>
      </c>
      <c r="F627" s="581"/>
      <c r="G627" s="581"/>
    </row>
    <row r="628" spans="1:7">
      <c r="A628" s="13" t="s">
        <v>934</v>
      </c>
      <c r="B628" s="96"/>
      <c r="C628" s="112">
        <v>333598</v>
      </c>
      <c r="D628" s="95"/>
      <c r="E628" s="267">
        <v>333598</v>
      </c>
      <c r="F628" s="581"/>
      <c r="G628" s="581"/>
    </row>
    <row r="629" spans="1:7">
      <c r="A629" s="16" t="s">
        <v>112</v>
      </c>
      <c r="B629" s="96"/>
      <c r="C629" s="112">
        <v>17716457</v>
      </c>
      <c r="D629" s="95"/>
      <c r="E629" s="267">
        <v>17716457</v>
      </c>
      <c r="F629" s="581"/>
      <c r="G629" s="581"/>
    </row>
    <row r="630" spans="1:7">
      <c r="A630" s="16" t="s">
        <v>122</v>
      </c>
      <c r="B630" s="96"/>
      <c r="C630" s="112">
        <v>5508674</v>
      </c>
      <c r="D630" s="95"/>
      <c r="E630" s="267">
        <v>5508674</v>
      </c>
      <c r="F630" s="581"/>
      <c r="G630" s="581"/>
    </row>
    <row r="631" spans="1:7">
      <c r="A631" s="13" t="s">
        <v>933</v>
      </c>
      <c r="B631" s="96"/>
      <c r="C631" s="112">
        <v>185969</v>
      </c>
      <c r="D631" s="95"/>
      <c r="E631" s="267">
        <v>185969</v>
      </c>
      <c r="F631" s="581"/>
      <c r="G631" s="581"/>
    </row>
    <row r="632" spans="1:7">
      <c r="A632" s="13" t="s">
        <v>123</v>
      </c>
      <c r="B632" s="96"/>
      <c r="C632" s="112">
        <v>13509650.6</v>
      </c>
      <c r="D632" s="112">
        <v>8384</v>
      </c>
      <c r="E632" s="267">
        <v>13501266.6</v>
      </c>
      <c r="F632" s="581"/>
      <c r="G632" s="581"/>
    </row>
    <row r="633" spans="1:7">
      <c r="A633" s="16" t="s">
        <v>932</v>
      </c>
      <c r="B633" s="96"/>
      <c r="C633" s="112">
        <v>639762</v>
      </c>
      <c r="D633" s="95"/>
      <c r="E633" s="267">
        <v>639762</v>
      </c>
      <c r="F633" s="581"/>
      <c r="G633" s="581"/>
    </row>
    <row r="634" spans="1:7">
      <c r="A634" s="13" t="s">
        <v>124</v>
      </c>
      <c r="B634" s="96"/>
      <c r="C634" s="112">
        <v>5236897.8</v>
      </c>
      <c r="D634" s="95"/>
      <c r="E634" s="267">
        <v>5236897.8</v>
      </c>
      <c r="F634" s="581"/>
      <c r="G634" s="581"/>
    </row>
    <row r="635" spans="1:7">
      <c r="A635" s="13" t="s">
        <v>931</v>
      </c>
      <c r="B635" s="96"/>
      <c r="C635" s="112">
        <v>649583</v>
      </c>
      <c r="D635" s="95"/>
      <c r="E635" s="267">
        <v>649583</v>
      </c>
      <c r="F635" s="581"/>
      <c r="G635" s="581"/>
    </row>
    <row r="636" spans="1:7">
      <c r="A636" s="1" t="s">
        <v>125</v>
      </c>
      <c r="B636" s="264">
        <v>12452141</v>
      </c>
      <c r="C636" s="93">
        <v>11083695.380000001</v>
      </c>
      <c r="D636" s="93">
        <v>8108911</v>
      </c>
      <c r="E636" s="264">
        <v>9477356.6199999992</v>
      </c>
      <c r="F636" s="515"/>
      <c r="G636" s="515"/>
    </row>
    <row r="637" spans="1:7">
      <c r="A637" s="13" t="s">
        <v>126</v>
      </c>
      <c r="B637" s="263">
        <v>30000</v>
      </c>
      <c r="C637" s="95"/>
      <c r="D637" s="95"/>
      <c r="E637" s="263">
        <v>30000</v>
      </c>
      <c r="F637" s="646"/>
      <c r="G637" s="581"/>
    </row>
    <row r="638" spans="1:7">
      <c r="A638" s="13" t="s">
        <v>127</v>
      </c>
      <c r="B638" s="263">
        <v>230500</v>
      </c>
      <c r="C638" s="95"/>
      <c r="D638" s="95"/>
      <c r="E638" s="263">
        <v>230500</v>
      </c>
      <c r="F638" s="646"/>
      <c r="G638" s="581"/>
    </row>
    <row r="639" spans="1:7">
      <c r="A639" s="13" t="s">
        <v>128</v>
      </c>
      <c r="B639" s="263">
        <v>12071641</v>
      </c>
      <c r="C639" s="112">
        <v>11083695.380000001</v>
      </c>
      <c r="D639" s="112">
        <v>8108911</v>
      </c>
      <c r="E639" s="263">
        <v>9096856.6199999992</v>
      </c>
      <c r="F639" s="646"/>
      <c r="G639" s="581"/>
    </row>
    <row r="640" spans="1:7">
      <c r="A640" s="13" t="s">
        <v>129</v>
      </c>
      <c r="B640" s="263">
        <v>120000</v>
      </c>
      <c r="C640" s="95"/>
      <c r="D640" s="95"/>
      <c r="E640" s="263">
        <v>120000</v>
      </c>
      <c r="F640" s="646"/>
      <c r="G640" s="581"/>
    </row>
    <row r="641" spans="1:7">
      <c r="A641" s="1" t="s">
        <v>130</v>
      </c>
      <c r="B641" s="264">
        <v>273457.21999999997</v>
      </c>
      <c r="C641" s="108"/>
      <c r="D641" s="108"/>
      <c r="E641" s="264">
        <v>273457.21999999997</v>
      </c>
    </row>
    <row r="642" spans="1:7">
      <c r="A642" s="13" t="s">
        <v>130</v>
      </c>
      <c r="B642" s="263">
        <v>273457.21999999997</v>
      </c>
      <c r="C642" s="95"/>
      <c r="D642" s="95"/>
      <c r="E642" s="263">
        <v>273457.21999999997</v>
      </c>
    </row>
    <row r="643" spans="1:7">
      <c r="A643" s="1" t="s">
        <v>131</v>
      </c>
      <c r="B643" s="264">
        <v>41435</v>
      </c>
      <c r="C643" s="93">
        <v>6999940</v>
      </c>
      <c r="D643" s="93">
        <v>7444441</v>
      </c>
      <c r="E643" s="264">
        <v>485936</v>
      </c>
    </row>
    <row r="644" spans="1:7">
      <c r="A644" s="13" t="s">
        <v>1225</v>
      </c>
      <c r="B644" s="263">
        <v>86254</v>
      </c>
      <c r="C644" s="112">
        <v>6499940</v>
      </c>
      <c r="D644" s="112">
        <v>6500441</v>
      </c>
      <c r="E644" s="263">
        <v>86755</v>
      </c>
      <c r="F644" s="581"/>
      <c r="G644" s="581"/>
    </row>
    <row r="645" spans="1:7">
      <c r="A645" s="13" t="s">
        <v>1536</v>
      </c>
      <c r="B645" s="267">
        <v>4127</v>
      </c>
      <c r="C645" s="112">
        <v>500000</v>
      </c>
      <c r="D645" s="112">
        <v>592500</v>
      </c>
      <c r="E645" s="263">
        <v>88373</v>
      </c>
      <c r="F645" s="581"/>
      <c r="G645" s="581"/>
    </row>
    <row r="646" spans="1:7">
      <c r="A646" s="13" t="s">
        <v>1224</v>
      </c>
      <c r="B646" s="267">
        <v>40692</v>
      </c>
      <c r="C646" s="95"/>
      <c r="D646" s="112">
        <v>351500</v>
      </c>
      <c r="E646" s="263">
        <v>310808</v>
      </c>
      <c r="F646" s="581"/>
      <c r="G646" s="581"/>
    </row>
    <row r="647" spans="1:7">
      <c r="A647" s="1" t="s">
        <v>132</v>
      </c>
      <c r="B647" s="270">
        <v>58913773</v>
      </c>
      <c r="C647" s="93">
        <v>126429800</v>
      </c>
      <c r="D647" s="93">
        <v>107489387</v>
      </c>
      <c r="E647" s="270">
        <v>77854186</v>
      </c>
    </row>
    <row r="648" spans="1:7">
      <c r="A648" s="13" t="s">
        <v>133</v>
      </c>
      <c r="B648" s="267">
        <v>58913773</v>
      </c>
      <c r="C648" s="112">
        <v>126429800</v>
      </c>
      <c r="D648" s="112">
        <v>107489387</v>
      </c>
      <c r="E648" s="267">
        <v>77854186</v>
      </c>
      <c r="F648" s="581"/>
      <c r="G648" s="581"/>
    </row>
    <row r="649" spans="1:7">
      <c r="A649" s="1" t="s">
        <v>1754</v>
      </c>
      <c r="B649" s="264">
        <v>8414902.8399999999</v>
      </c>
      <c r="C649" s="93">
        <v>58060859</v>
      </c>
      <c r="D649" s="93">
        <v>54931159.039999999</v>
      </c>
      <c r="E649" s="264">
        <v>5285202.88</v>
      </c>
    </row>
    <row r="650" spans="1:7">
      <c r="A650" s="1"/>
      <c r="B650" s="526"/>
      <c r="C650" s="104"/>
      <c r="D650" s="104"/>
      <c r="E650" s="631">
        <v>5285202.8800000027</v>
      </c>
    </row>
    <row r="651" spans="1:7">
      <c r="A651" s="13" t="s">
        <v>1755</v>
      </c>
      <c r="B651" s="263">
        <v>3836155.75</v>
      </c>
      <c r="C651" s="112">
        <v>5437126</v>
      </c>
      <c r="D651" s="112">
        <v>5183817.3099999996</v>
      </c>
      <c r="E651" s="263">
        <v>3582847.06</v>
      </c>
      <c r="F651" s="581"/>
      <c r="G651" s="581"/>
    </row>
    <row r="652" spans="1:7">
      <c r="A652" s="13" t="s">
        <v>1756</v>
      </c>
      <c r="B652" s="263">
        <v>2465832.75</v>
      </c>
      <c r="C652" s="112">
        <v>6102785</v>
      </c>
      <c r="D652" s="112">
        <v>5183817.3099999996</v>
      </c>
      <c r="E652" s="263">
        <v>1546865.06</v>
      </c>
      <c r="F652" s="581"/>
      <c r="G652" s="581"/>
    </row>
    <row r="653" spans="1:7">
      <c r="A653" s="13" t="s">
        <v>1757</v>
      </c>
      <c r="B653" s="267">
        <v>0.36</v>
      </c>
      <c r="C653" s="112">
        <v>818879</v>
      </c>
      <c r="D653" s="112">
        <v>1212561.18</v>
      </c>
      <c r="E653" s="263">
        <v>393681.82</v>
      </c>
      <c r="F653" s="581"/>
      <c r="G653" s="581"/>
    </row>
    <row r="654" spans="1:7">
      <c r="A654" s="13" t="s">
        <v>1758</v>
      </c>
      <c r="B654" s="267">
        <v>0.36</v>
      </c>
      <c r="C654" s="112">
        <v>857348</v>
      </c>
      <c r="D654" s="112">
        <v>1212561.18</v>
      </c>
      <c r="E654" s="263">
        <v>355212.82</v>
      </c>
      <c r="F654" s="581"/>
      <c r="G654" s="581"/>
    </row>
    <row r="655" spans="1:7">
      <c r="A655" s="16" t="s">
        <v>1754</v>
      </c>
      <c r="B655" s="267">
        <v>13131236</v>
      </c>
      <c r="C655" s="112">
        <v>11500000</v>
      </c>
      <c r="D655" s="95"/>
      <c r="E655" s="267">
        <v>24631236</v>
      </c>
      <c r="F655" s="581"/>
      <c r="G655" s="581"/>
    </row>
    <row r="656" spans="1:7">
      <c r="A656" s="13" t="s">
        <v>1759</v>
      </c>
      <c r="B656" s="263">
        <v>2009910.64</v>
      </c>
      <c r="C656" s="112">
        <v>8528189</v>
      </c>
      <c r="D656" s="112">
        <v>9756829.6899999995</v>
      </c>
      <c r="E656" s="263">
        <v>3238551.33</v>
      </c>
      <c r="F656" s="581"/>
      <c r="G656" s="581"/>
    </row>
    <row r="657" spans="1:7">
      <c r="A657" s="13" t="s">
        <v>1760</v>
      </c>
      <c r="B657" s="263">
        <v>2794896.64</v>
      </c>
      <c r="C657" s="112">
        <v>9007266</v>
      </c>
      <c r="D657" s="112">
        <v>9397281.0099999998</v>
      </c>
      <c r="E657" s="263">
        <v>3184911.65</v>
      </c>
      <c r="F657" s="581"/>
      <c r="G657" s="581"/>
    </row>
    <row r="658" spans="1:7">
      <c r="A658" s="13" t="s">
        <v>1761</v>
      </c>
      <c r="B658" s="263">
        <v>105892.77</v>
      </c>
      <c r="C658" s="112">
        <v>11726</v>
      </c>
      <c r="D658" s="95"/>
      <c r="E658" s="263">
        <v>94166.77</v>
      </c>
      <c r="F658" s="581"/>
      <c r="G658" s="581"/>
    </row>
    <row r="659" spans="1:7">
      <c r="A659" s="13" t="s">
        <v>1762</v>
      </c>
      <c r="B659" s="263">
        <v>82604.77</v>
      </c>
      <c r="C659" s="112">
        <v>11726</v>
      </c>
      <c r="D659" s="95"/>
      <c r="E659" s="263">
        <v>70878.77</v>
      </c>
      <c r="F659" s="581"/>
      <c r="G659" s="581"/>
    </row>
    <row r="660" spans="1:7">
      <c r="A660" s="13" t="s">
        <v>1763</v>
      </c>
      <c r="B660" s="263">
        <v>108043.25</v>
      </c>
      <c r="C660" s="112">
        <v>88210</v>
      </c>
      <c r="D660" s="112">
        <v>88200</v>
      </c>
      <c r="E660" s="263">
        <v>108033.25</v>
      </c>
      <c r="F660" s="581"/>
      <c r="G660" s="581"/>
    </row>
    <row r="661" spans="1:7">
      <c r="A661" s="13" t="s">
        <v>1764</v>
      </c>
      <c r="B661" s="263">
        <v>3626.25</v>
      </c>
      <c r="C661" s="112">
        <v>88210</v>
      </c>
      <c r="D661" s="112">
        <v>88200</v>
      </c>
      <c r="E661" s="263">
        <v>3616.25</v>
      </c>
      <c r="F661" s="581"/>
      <c r="G661" s="581"/>
    </row>
    <row r="662" spans="1:7">
      <c r="A662" s="13" t="s">
        <v>1765</v>
      </c>
      <c r="B662" s="263">
        <v>108479.47</v>
      </c>
      <c r="C662" s="112">
        <v>128910</v>
      </c>
      <c r="D662" s="112">
        <v>299700</v>
      </c>
      <c r="E662" s="263">
        <v>279269.46999999997</v>
      </c>
      <c r="F662" s="581"/>
      <c r="G662" s="581"/>
    </row>
    <row r="663" spans="1:7">
      <c r="A663" s="13" t="s">
        <v>1766</v>
      </c>
      <c r="B663" s="263">
        <v>92002.47</v>
      </c>
      <c r="C663" s="112">
        <v>226236</v>
      </c>
      <c r="D663" s="112">
        <v>299700</v>
      </c>
      <c r="E663" s="263">
        <v>165466.47</v>
      </c>
      <c r="F663" s="581"/>
      <c r="G663" s="581"/>
    </row>
    <row r="664" spans="1:7">
      <c r="A664" s="13" t="s">
        <v>1767</v>
      </c>
      <c r="B664" s="96"/>
      <c r="C664" s="112">
        <v>258205</v>
      </c>
      <c r="D664" s="112">
        <v>529988.76</v>
      </c>
      <c r="E664" s="263">
        <v>271783.76</v>
      </c>
      <c r="F664" s="581"/>
      <c r="G664" s="581"/>
    </row>
    <row r="665" spans="1:7">
      <c r="A665" s="13" t="s">
        <v>1768</v>
      </c>
      <c r="B665" s="96"/>
      <c r="C665" s="112">
        <v>317491</v>
      </c>
      <c r="D665" s="112">
        <v>529988.76</v>
      </c>
      <c r="E665" s="263">
        <v>212497.76</v>
      </c>
      <c r="F665" s="581"/>
      <c r="G665" s="581"/>
    </row>
    <row r="666" spans="1:7">
      <c r="A666" s="13" t="s">
        <v>1769</v>
      </c>
      <c r="B666" s="263">
        <v>115509.31</v>
      </c>
      <c r="C666" s="112">
        <v>663089</v>
      </c>
      <c r="D666" s="112">
        <v>898181.71</v>
      </c>
      <c r="E666" s="263">
        <v>350602.02</v>
      </c>
      <c r="F666" s="581"/>
      <c r="G666" s="581"/>
    </row>
    <row r="667" spans="1:7">
      <c r="A667" s="13" t="s">
        <v>1770</v>
      </c>
      <c r="B667" s="263">
        <v>100272.31</v>
      </c>
      <c r="C667" s="112">
        <v>692634</v>
      </c>
      <c r="D667" s="112">
        <v>898181.71</v>
      </c>
      <c r="E667" s="263">
        <v>305820.02</v>
      </c>
      <c r="F667" s="581"/>
      <c r="G667" s="581"/>
    </row>
    <row r="668" spans="1:7">
      <c r="A668" s="13" t="s">
        <v>1771</v>
      </c>
      <c r="B668" s="263">
        <v>1121839.8500000001</v>
      </c>
      <c r="C668" s="112">
        <v>180858</v>
      </c>
      <c r="D668" s="112">
        <v>766399.01</v>
      </c>
      <c r="E668" s="263">
        <v>1707380.86</v>
      </c>
      <c r="F668" s="581"/>
      <c r="G668" s="581"/>
    </row>
    <row r="669" spans="1:7">
      <c r="A669" s="13" t="s">
        <v>1772</v>
      </c>
      <c r="B669" s="263">
        <v>799478.85</v>
      </c>
      <c r="C669" s="112">
        <v>180858</v>
      </c>
      <c r="D669" s="112">
        <v>766399.01</v>
      </c>
      <c r="E669" s="263">
        <v>1385019.86</v>
      </c>
      <c r="F669" s="581"/>
      <c r="G669" s="581"/>
    </row>
    <row r="670" spans="1:7">
      <c r="A670" s="13" t="s">
        <v>1773</v>
      </c>
      <c r="B670" s="263">
        <v>3969679.46</v>
      </c>
      <c r="C670" s="112">
        <v>5420417</v>
      </c>
      <c r="D670" s="112">
        <v>6608809.46</v>
      </c>
      <c r="E670" s="263">
        <v>5158071.92</v>
      </c>
      <c r="F670" s="581"/>
      <c r="G670" s="581"/>
    </row>
    <row r="671" spans="1:7">
      <c r="A671" s="13" t="s">
        <v>1774</v>
      </c>
      <c r="B671" s="263">
        <v>4085044.46</v>
      </c>
      <c r="C671" s="112">
        <v>5643681</v>
      </c>
      <c r="D671" s="112">
        <v>7584514.2199999997</v>
      </c>
      <c r="E671" s="263">
        <v>6025877.6799999997</v>
      </c>
      <c r="F671" s="581"/>
      <c r="G671" s="581"/>
    </row>
    <row r="672" spans="1:7">
      <c r="A672" s="13" t="s">
        <v>1775</v>
      </c>
      <c r="B672" s="267">
        <v>90668.72</v>
      </c>
      <c r="C672" s="112">
        <v>947959</v>
      </c>
      <c r="D672" s="112">
        <v>1813014.36</v>
      </c>
      <c r="E672" s="263">
        <v>774386.64</v>
      </c>
      <c r="F672" s="581"/>
      <c r="G672" s="581"/>
    </row>
    <row r="673" spans="1:7">
      <c r="A673" s="13" t="s">
        <v>1776</v>
      </c>
      <c r="B673" s="267">
        <v>162460.72</v>
      </c>
      <c r="C673" s="112">
        <v>949056</v>
      </c>
      <c r="D673" s="112">
        <v>1813014.36</v>
      </c>
      <c r="E673" s="263">
        <v>701497.64</v>
      </c>
      <c r="F673" s="581"/>
      <c r="G673" s="581"/>
    </row>
    <row r="674" spans="1:7">
      <c r="A674" s="1" t="s">
        <v>134</v>
      </c>
      <c r="B674" s="270">
        <v>117150</v>
      </c>
      <c r="C674" s="108"/>
      <c r="D674" s="108"/>
      <c r="E674" s="270">
        <v>117150</v>
      </c>
    </row>
    <row r="675" spans="1:7">
      <c r="A675" s="13" t="s">
        <v>135</v>
      </c>
      <c r="B675" s="267">
        <v>116150</v>
      </c>
      <c r="C675" s="95"/>
      <c r="D675" s="95"/>
      <c r="E675" s="267">
        <v>116150</v>
      </c>
    </row>
    <row r="676" spans="1:7">
      <c r="A676" s="13" t="s">
        <v>136</v>
      </c>
      <c r="B676" s="267">
        <v>1000</v>
      </c>
      <c r="C676" s="95"/>
      <c r="D676" s="95"/>
      <c r="E676" s="267">
        <v>1000</v>
      </c>
    </row>
    <row r="677" spans="1:7">
      <c r="A677" s="1" t="s">
        <v>137</v>
      </c>
      <c r="B677" s="270">
        <v>61390310.049999997</v>
      </c>
      <c r="C677" s="93">
        <v>35167928.789999999</v>
      </c>
      <c r="D677" s="93">
        <v>27479910.239999998</v>
      </c>
      <c r="E677" s="270">
        <v>69078328.599999994</v>
      </c>
      <c r="F677" s="223"/>
    </row>
    <row r="678" spans="1:7">
      <c r="A678" s="14" t="s">
        <v>29</v>
      </c>
      <c r="B678" s="198">
        <v>44177292.170000002</v>
      </c>
      <c r="C678" s="112">
        <v>18722605.789999999</v>
      </c>
      <c r="D678" s="112">
        <v>12107461.24</v>
      </c>
      <c r="E678" s="202">
        <v>50792436.719999999</v>
      </c>
    </row>
    <row r="679" spans="1:7">
      <c r="A679" s="14" t="s">
        <v>138</v>
      </c>
      <c r="B679" s="198">
        <v>8347405.5300000003</v>
      </c>
      <c r="C679" s="112">
        <v>7005436</v>
      </c>
      <c r="D679" s="112">
        <v>6409412</v>
      </c>
      <c r="E679" s="198">
        <v>8943429.5299999993</v>
      </c>
      <c r="F679" s="581"/>
      <c r="G679" s="581"/>
    </row>
    <row r="680" spans="1:7">
      <c r="A680" s="13" t="s">
        <v>139</v>
      </c>
      <c r="B680" s="267">
        <v>5816000</v>
      </c>
      <c r="C680" s="112">
        <v>6136000</v>
      </c>
      <c r="D680" s="112">
        <v>5816000</v>
      </c>
      <c r="E680" s="267">
        <v>6136000</v>
      </c>
      <c r="F680" s="581"/>
      <c r="G680" s="581"/>
    </row>
    <row r="681" spans="1:7">
      <c r="A681" s="13" t="s">
        <v>140</v>
      </c>
      <c r="B681" s="267">
        <v>40000</v>
      </c>
      <c r="C681" s="95"/>
      <c r="D681" s="95"/>
      <c r="E681" s="267">
        <v>40000</v>
      </c>
      <c r="F681" s="515"/>
      <c r="G681" s="515"/>
    </row>
    <row r="682" spans="1:7">
      <c r="A682" s="13" t="s">
        <v>923</v>
      </c>
      <c r="B682" s="267">
        <v>48000</v>
      </c>
      <c r="C682" s="95"/>
      <c r="D682" s="95"/>
      <c r="E682" s="267">
        <v>48000</v>
      </c>
      <c r="F682" s="515"/>
      <c r="G682" s="515"/>
    </row>
    <row r="683" spans="1:7">
      <c r="A683" s="13" t="s">
        <v>142</v>
      </c>
      <c r="B683" s="267">
        <v>9530</v>
      </c>
      <c r="C683" s="95"/>
      <c r="D683" s="95"/>
      <c r="E683" s="267">
        <v>9530</v>
      </c>
      <c r="F683" s="515"/>
      <c r="G683" s="515"/>
    </row>
    <row r="684" spans="1:7">
      <c r="A684" s="13" t="s">
        <v>143</v>
      </c>
      <c r="B684" s="267">
        <v>586400</v>
      </c>
      <c r="C684" s="112">
        <v>322326</v>
      </c>
      <c r="D684" s="112">
        <v>164800</v>
      </c>
      <c r="E684" s="267">
        <v>743926</v>
      </c>
      <c r="F684" s="515"/>
      <c r="G684" s="515"/>
    </row>
    <row r="685" spans="1:7">
      <c r="A685" s="13" t="s">
        <v>144</v>
      </c>
      <c r="B685" s="267">
        <v>5500</v>
      </c>
      <c r="C685" s="95"/>
      <c r="D685" s="95"/>
      <c r="E685" s="267">
        <v>5500</v>
      </c>
      <c r="F685" s="515"/>
      <c r="G685" s="515"/>
    </row>
    <row r="686" spans="1:7">
      <c r="A686" s="13" t="s">
        <v>145</v>
      </c>
      <c r="B686" s="267">
        <v>286113</v>
      </c>
      <c r="C686" s="95"/>
      <c r="D686" s="95"/>
      <c r="E686" s="267">
        <v>286113</v>
      </c>
      <c r="F686" s="515"/>
      <c r="G686" s="515"/>
    </row>
    <row r="687" spans="1:7">
      <c r="A687" s="13" t="s">
        <v>146</v>
      </c>
      <c r="B687" s="267">
        <v>13150</v>
      </c>
      <c r="C687" s="95"/>
      <c r="D687" s="95"/>
      <c r="E687" s="267">
        <v>13150</v>
      </c>
      <c r="F687" s="515"/>
      <c r="G687" s="515"/>
    </row>
    <row r="688" spans="1:7">
      <c r="A688" s="13" t="s">
        <v>147</v>
      </c>
      <c r="B688" s="267">
        <v>441587</v>
      </c>
      <c r="C688" s="112">
        <v>370500</v>
      </c>
      <c r="D688" s="112">
        <v>201500</v>
      </c>
      <c r="E688" s="267">
        <v>610587</v>
      </c>
      <c r="F688" s="515"/>
      <c r="G688" s="515"/>
    </row>
    <row r="689" spans="1:7">
      <c r="A689" s="13" t="s">
        <v>148</v>
      </c>
      <c r="B689" s="267">
        <v>328640.34999999998</v>
      </c>
      <c r="C689" s="95"/>
      <c r="D689" s="95"/>
      <c r="E689" s="267">
        <v>328640.34999999998</v>
      </c>
      <c r="F689" s="515"/>
      <c r="G689" s="515"/>
    </row>
    <row r="690" spans="1:7">
      <c r="A690" s="13" t="s">
        <v>149</v>
      </c>
      <c r="B690" s="267">
        <v>251995</v>
      </c>
      <c r="C690" s="112">
        <v>1436061</v>
      </c>
      <c r="D690" s="112">
        <v>1511322</v>
      </c>
      <c r="E690" s="632">
        <v>176734</v>
      </c>
      <c r="F690" s="515"/>
      <c r="G690" s="515"/>
    </row>
    <row r="691" spans="1:7">
      <c r="A691" s="13" t="s">
        <v>150</v>
      </c>
      <c r="B691" s="267">
        <v>28582</v>
      </c>
      <c r="C691" s="95"/>
      <c r="D691" s="95"/>
      <c r="E691" s="267">
        <v>28582</v>
      </c>
      <c r="F691" s="515"/>
      <c r="G691" s="515"/>
    </row>
    <row r="692" spans="1:7">
      <c r="A692" s="13" t="s">
        <v>141</v>
      </c>
      <c r="B692" s="267">
        <v>1035115</v>
      </c>
      <c r="C692" s="112">
        <v>1175000</v>
      </c>
      <c r="D692" s="112">
        <v>1269415</v>
      </c>
      <c r="E692" s="632">
        <v>940700</v>
      </c>
      <c r="F692" s="515"/>
      <c r="G692" s="515"/>
    </row>
    <row r="693" spans="1:7">
      <c r="A693" s="1" t="s">
        <v>151</v>
      </c>
      <c r="B693" s="264">
        <v>245092701.06</v>
      </c>
      <c r="C693" s="93">
        <v>20093283</v>
      </c>
      <c r="D693" s="108"/>
      <c r="E693" s="264">
        <v>224999418.06</v>
      </c>
    </row>
    <row r="694" spans="1:7">
      <c r="A694" s="13" t="s">
        <v>2212</v>
      </c>
      <c r="B694" s="263">
        <v>2860000</v>
      </c>
      <c r="C694" s="112">
        <v>2860000</v>
      </c>
      <c r="D694" s="95"/>
      <c r="E694" s="96"/>
    </row>
    <row r="695" spans="1:7">
      <c r="A695" s="13" t="s">
        <v>152</v>
      </c>
      <c r="B695" s="267">
        <v>87556385</v>
      </c>
      <c r="C695" s="112">
        <v>14294920</v>
      </c>
      <c r="D695" s="95"/>
      <c r="E695" s="267">
        <v>101851305</v>
      </c>
    </row>
    <row r="696" spans="1:7">
      <c r="A696" s="13" t="s">
        <v>153</v>
      </c>
      <c r="B696" s="267">
        <v>15444566</v>
      </c>
      <c r="C696" s="112">
        <v>2938363</v>
      </c>
      <c r="D696" s="95"/>
      <c r="E696" s="267">
        <v>18382929</v>
      </c>
    </row>
    <row r="697" spans="1:7">
      <c r="A697" s="13" t="s">
        <v>154</v>
      </c>
      <c r="B697" s="263">
        <v>44374031.420000002</v>
      </c>
      <c r="C697" s="95"/>
      <c r="D697" s="95"/>
      <c r="E697" s="263">
        <v>44374031.420000002</v>
      </c>
    </row>
    <row r="698" spans="1:7">
      <c r="A698" s="13" t="s">
        <v>155</v>
      </c>
      <c r="B698" s="263">
        <v>300859620.63999999</v>
      </c>
      <c r="C698" s="95"/>
      <c r="D698" s="95"/>
      <c r="E698" s="263">
        <v>300859620.63999999</v>
      </c>
    </row>
    <row r="699" spans="1:7">
      <c r="A699" s="1" t="s">
        <v>158</v>
      </c>
      <c r="B699" s="109"/>
      <c r="C699" s="93">
        <v>22225000</v>
      </c>
      <c r="D699" s="108"/>
      <c r="E699" s="270">
        <v>22225000</v>
      </c>
    </row>
    <row r="700" spans="1:7">
      <c r="A700" s="16" t="s">
        <v>158</v>
      </c>
      <c r="B700" s="96"/>
      <c r="C700" s="112">
        <v>22225000</v>
      </c>
      <c r="D700" s="95"/>
      <c r="E700" s="267">
        <v>22225000</v>
      </c>
    </row>
    <row r="701" spans="1:7">
      <c r="A701" s="1" t="s">
        <v>159</v>
      </c>
      <c r="B701" s="270">
        <v>22225000</v>
      </c>
      <c r="C701" s="108"/>
      <c r="D701" s="93">
        <v>22225000</v>
      </c>
      <c r="E701" s="109"/>
    </row>
    <row r="702" spans="1:7">
      <c r="A702" s="13" t="s">
        <v>1223</v>
      </c>
      <c r="B702" s="267">
        <v>22225000</v>
      </c>
      <c r="C702" s="95"/>
      <c r="D702" s="112">
        <v>22225000</v>
      </c>
      <c r="E702" s="96"/>
    </row>
    <row r="703" spans="1:7">
      <c r="A703" s="1" t="s">
        <v>160</v>
      </c>
      <c r="B703" s="109"/>
      <c r="C703" s="93">
        <v>144233572.00999999</v>
      </c>
      <c r="D703" s="93">
        <v>50408</v>
      </c>
      <c r="E703" s="270">
        <v>144183164.00999999</v>
      </c>
    </row>
    <row r="704" spans="1:7">
      <c r="A704" s="14" t="s">
        <v>161</v>
      </c>
      <c r="B704" s="95"/>
      <c r="C704" s="112">
        <v>102586357</v>
      </c>
      <c r="D704" s="112">
        <v>44618</v>
      </c>
      <c r="E704" s="202">
        <v>102541739</v>
      </c>
      <c r="F704" s="515"/>
      <c r="G704" s="515"/>
    </row>
    <row r="705" spans="1:7">
      <c r="A705" s="14" t="s">
        <v>178</v>
      </c>
      <c r="B705" s="95"/>
      <c r="C705" s="112">
        <v>41647215.009999998</v>
      </c>
      <c r="D705" s="112">
        <v>5790</v>
      </c>
      <c r="E705" s="202">
        <v>41641425.009999998</v>
      </c>
      <c r="F705" s="515"/>
      <c r="G705" s="515"/>
    </row>
    <row r="706" spans="1:7">
      <c r="A706" s="1" t="s">
        <v>189</v>
      </c>
      <c r="B706" s="109"/>
      <c r="C706" s="108"/>
      <c r="D706" s="93">
        <v>10727466</v>
      </c>
      <c r="E706" s="634">
        <v>10727466</v>
      </c>
    </row>
    <row r="707" spans="1:7">
      <c r="A707" s="13" t="s">
        <v>190</v>
      </c>
      <c r="B707" s="96"/>
      <c r="C707" s="95"/>
      <c r="D707" s="112">
        <v>10727466</v>
      </c>
      <c r="E707" s="263">
        <v>10727466</v>
      </c>
      <c r="F707" s="515"/>
      <c r="G707" s="515"/>
    </row>
    <row r="708" spans="1:7">
      <c r="A708" s="1" t="s">
        <v>192</v>
      </c>
      <c r="B708" s="109"/>
      <c r="C708" s="93">
        <v>56615715.649999999</v>
      </c>
      <c r="D708" s="93">
        <v>765592.85</v>
      </c>
      <c r="E708" s="270">
        <v>55850122.799999997</v>
      </c>
    </row>
    <row r="709" spans="1:7">
      <c r="A709" s="14" t="s">
        <v>193</v>
      </c>
      <c r="B709" s="95"/>
      <c r="C709" s="112">
        <v>154436</v>
      </c>
      <c r="D709" s="112">
        <v>176077.85</v>
      </c>
      <c r="E709" s="513">
        <v>21641.85</v>
      </c>
    </row>
    <row r="710" spans="1:7">
      <c r="A710" s="14" t="s">
        <v>194</v>
      </c>
      <c r="B710" s="95"/>
      <c r="C710" s="112">
        <v>22154</v>
      </c>
      <c r="D710" s="95"/>
      <c r="E710" s="202">
        <v>22154</v>
      </c>
      <c r="F710" s="515"/>
      <c r="G710" s="515"/>
    </row>
    <row r="711" spans="1:7">
      <c r="A711" s="13" t="s">
        <v>195</v>
      </c>
      <c r="B711" s="96"/>
      <c r="C711" s="112">
        <v>47753</v>
      </c>
      <c r="D711" s="95"/>
      <c r="E711" s="582">
        <v>47753</v>
      </c>
    </row>
    <row r="712" spans="1:7">
      <c r="A712" s="13" t="s">
        <v>1540</v>
      </c>
      <c r="B712" s="96"/>
      <c r="C712" s="112">
        <v>836275.24</v>
      </c>
      <c r="D712" s="95"/>
      <c r="E712" s="582">
        <v>836275.24</v>
      </c>
    </row>
    <row r="713" spans="1:7">
      <c r="A713" s="16" t="s">
        <v>1541</v>
      </c>
      <c r="B713" s="96"/>
      <c r="C713" s="112">
        <v>12800</v>
      </c>
      <c r="D713" s="112">
        <v>3650</v>
      </c>
      <c r="E713" s="582">
        <v>9150</v>
      </c>
      <c r="F713" s="515"/>
      <c r="G713" s="515"/>
    </row>
    <row r="714" spans="1:7">
      <c r="A714" s="13" t="s">
        <v>196</v>
      </c>
      <c r="B714" s="96"/>
      <c r="C714" s="112">
        <v>6925</v>
      </c>
      <c r="D714" s="95"/>
      <c r="E714" s="582">
        <v>6925</v>
      </c>
    </row>
    <row r="715" spans="1:7">
      <c r="A715" s="13" t="s">
        <v>1222</v>
      </c>
      <c r="B715" s="96"/>
      <c r="C715" s="112">
        <v>28302</v>
      </c>
      <c r="D715" s="95"/>
      <c r="E715" s="582">
        <v>28302</v>
      </c>
    </row>
    <row r="716" spans="1:7">
      <c r="A716" s="13" t="s">
        <v>1751</v>
      </c>
      <c r="B716" s="96"/>
      <c r="C716" s="112">
        <v>9243</v>
      </c>
      <c r="D716" s="95"/>
      <c r="E716" s="638">
        <v>9243</v>
      </c>
      <c r="F716" s="515"/>
      <c r="G716" s="515"/>
    </row>
    <row r="717" spans="1:7">
      <c r="A717" s="13" t="s">
        <v>893</v>
      </c>
      <c r="B717" s="96"/>
      <c r="C717" s="112">
        <v>57125</v>
      </c>
      <c r="D717" s="95"/>
      <c r="E717" s="582">
        <v>57125</v>
      </c>
    </row>
    <row r="718" spans="1:7">
      <c r="A718" s="13" t="s">
        <v>197</v>
      </c>
      <c r="B718" s="96"/>
      <c r="C718" s="112">
        <v>3780000</v>
      </c>
      <c r="D718" s="95"/>
      <c r="E718" s="582">
        <v>3780000</v>
      </c>
      <c r="F718" s="515"/>
      <c r="G718" s="515"/>
    </row>
    <row r="719" spans="1:7">
      <c r="A719" s="13" t="s">
        <v>198</v>
      </c>
      <c r="B719" s="96"/>
      <c r="C719" s="112">
        <v>6985</v>
      </c>
      <c r="D719" s="95"/>
      <c r="E719" s="636">
        <v>6985</v>
      </c>
      <c r="F719" s="515"/>
      <c r="G719" s="515"/>
    </row>
    <row r="720" spans="1:7">
      <c r="A720" s="13" t="s">
        <v>199</v>
      </c>
      <c r="B720" s="96"/>
      <c r="C720" s="112">
        <v>204000</v>
      </c>
      <c r="D720" s="95"/>
      <c r="E720" s="637">
        <v>204000</v>
      </c>
    </row>
    <row r="721" spans="1:7">
      <c r="A721" s="13" t="s">
        <v>200</v>
      </c>
      <c r="B721" s="96"/>
      <c r="C721" s="112">
        <v>130000</v>
      </c>
      <c r="D721" s="95"/>
      <c r="E721" s="582">
        <v>130000</v>
      </c>
    </row>
    <row r="722" spans="1:7">
      <c r="A722" s="13" t="s">
        <v>201</v>
      </c>
      <c r="B722" s="96"/>
      <c r="C722" s="112">
        <v>16234</v>
      </c>
      <c r="D722" s="95"/>
      <c r="E722" s="639">
        <v>16234</v>
      </c>
      <c r="F722" s="515"/>
      <c r="G722" s="515"/>
    </row>
    <row r="723" spans="1:7">
      <c r="A723" s="13" t="s">
        <v>202</v>
      </c>
      <c r="B723" s="96"/>
      <c r="C723" s="112">
        <v>206633</v>
      </c>
      <c r="D723" s="112">
        <v>10000</v>
      </c>
      <c r="E723" s="582">
        <v>196633</v>
      </c>
    </row>
    <row r="724" spans="1:7">
      <c r="A724" s="13" t="s">
        <v>203</v>
      </c>
      <c r="B724" s="96"/>
      <c r="C724" s="112">
        <v>83494</v>
      </c>
      <c r="D724" s="95"/>
      <c r="E724" s="582">
        <v>83494</v>
      </c>
      <c r="F724" s="515"/>
      <c r="G724" s="515"/>
    </row>
    <row r="725" spans="1:7">
      <c r="A725" s="13" t="s">
        <v>1542</v>
      </c>
      <c r="B725" s="96"/>
      <c r="C725" s="112">
        <v>107300</v>
      </c>
      <c r="D725" s="95"/>
      <c r="E725" s="582">
        <v>107300</v>
      </c>
    </row>
    <row r="726" spans="1:7">
      <c r="A726" s="13" t="s">
        <v>204</v>
      </c>
      <c r="B726" s="96"/>
      <c r="C726" s="112">
        <v>34679427</v>
      </c>
      <c r="D726" s="112">
        <v>541319</v>
      </c>
      <c r="E726" s="582">
        <v>34138108</v>
      </c>
      <c r="F726" s="515"/>
      <c r="G726" s="515"/>
    </row>
    <row r="727" spans="1:7">
      <c r="A727" s="13" t="s">
        <v>1753</v>
      </c>
      <c r="B727" s="96"/>
      <c r="C727" s="112">
        <v>9243</v>
      </c>
      <c r="D727" s="95"/>
      <c r="E727" s="638">
        <v>9243</v>
      </c>
      <c r="F727" s="515"/>
      <c r="G727" s="515"/>
    </row>
    <row r="728" spans="1:7">
      <c r="A728" s="13" t="s">
        <v>206</v>
      </c>
      <c r="B728" s="96"/>
      <c r="C728" s="112">
        <v>273028</v>
      </c>
      <c r="D728" s="95"/>
      <c r="E728" s="639">
        <v>273028</v>
      </c>
      <c r="F728" s="515"/>
      <c r="G728" s="515"/>
    </row>
    <row r="729" spans="1:7">
      <c r="A729" s="13" t="s">
        <v>207</v>
      </c>
      <c r="B729" s="96"/>
      <c r="C729" s="112">
        <v>2383378</v>
      </c>
      <c r="D729" s="112">
        <v>14397</v>
      </c>
      <c r="E729" s="632">
        <v>2368981</v>
      </c>
      <c r="F729" s="515"/>
      <c r="G729" s="515"/>
    </row>
    <row r="730" spans="1:7">
      <c r="A730" s="13" t="s">
        <v>208</v>
      </c>
      <c r="B730" s="96"/>
      <c r="C730" s="112">
        <v>296064</v>
      </c>
      <c r="D730" s="95"/>
      <c r="E730" s="582">
        <v>296064</v>
      </c>
      <c r="F730" s="515"/>
      <c r="G730" s="515"/>
    </row>
    <row r="731" spans="1:7">
      <c r="A731" s="13" t="s">
        <v>210</v>
      </c>
      <c r="B731" s="96"/>
      <c r="C731" s="112">
        <v>133032.41</v>
      </c>
      <c r="D731" s="112">
        <v>20</v>
      </c>
      <c r="E731" s="582">
        <v>133012.41</v>
      </c>
      <c r="F731" s="515"/>
      <c r="G731" s="515"/>
    </row>
    <row r="732" spans="1:7">
      <c r="A732" s="13" t="s">
        <v>211</v>
      </c>
      <c r="B732" s="96"/>
      <c r="C732" s="112">
        <v>144500</v>
      </c>
      <c r="D732" s="95"/>
      <c r="E732" s="582">
        <v>144500</v>
      </c>
    </row>
    <row r="733" spans="1:7">
      <c r="A733" s="13" t="s">
        <v>212</v>
      </c>
      <c r="B733" s="96"/>
      <c r="C733" s="112">
        <v>185913</v>
      </c>
      <c r="D733" s="95"/>
      <c r="E733" s="636">
        <v>185913</v>
      </c>
      <c r="F733" s="515"/>
      <c r="G733" s="515"/>
    </row>
    <row r="734" spans="1:7">
      <c r="A734" s="13" t="s">
        <v>57</v>
      </c>
      <c r="B734" s="96"/>
      <c r="C734" s="112">
        <v>2441345</v>
      </c>
      <c r="D734" s="112">
        <v>7150</v>
      </c>
      <c r="E734" s="582">
        <v>2434195</v>
      </c>
    </row>
    <row r="735" spans="1:7">
      <c r="A735" s="13" t="s">
        <v>930</v>
      </c>
      <c r="B735" s="96"/>
      <c r="C735" s="112">
        <v>1038118</v>
      </c>
      <c r="D735" s="95"/>
      <c r="E735" s="632">
        <v>1038118</v>
      </c>
      <c r="F735" s="515"/>
      <c r="G735" s="515"/>
    </row>
    <row r="736" spans="1:7">
      <c r="A736" s="13" t="s">
        <v>929</v>
      </c>
      <c r="B736" s="96"/>
      <c r="C736" s="112">
        <v>113174</v>
      </c>
      <c r="D736" s="95"/>
      <c r="E736" s="582">
        <v>113174</v>
      </c>
      <c r="F736" s="515"/>
      <c r="G736" s="515"/>
    </row>
    <row r="737" spans="1:7">
      <c r="A737" s="13" t="s">
        <v>213</v>
      </c>
      <c r="B737" s="96"/>
      <c r="C737" s="112">
        <v>421260</v>
      </c>
      <c r="D737" s="95"/>
      <c r="E737" s="582">
        <v>421260</v>
      </c>
      <c r="F737" s="515"/>
      <c r="G737" s="515"/>
    </row>
    <row r="738" spans="1:7">
      <c r="A738" s="13" t="s">
        <v>928</v>
      </c>
      <c r="B738" s="96"/>
      <c r="C738" s="112">
        <v>572303</v>
      </c>
      <c r="D738" s="95"/>
      <c r="E738" s="582">
        <v>572303</v>
      </c>
      <c r="F738" s="515"/>
      <c r="G738" s="515"/>
    </row>
    <row r="739" spans="1:7">
      <c r="A739" s="13" t="s">
        <v>77</v>
      </c>
      <c r="B739" s="96"/>
      <c r="C739" s="112">
        <v>489849</v>
      </c>
      <c r="D739" s="95"/>
      <c r="E739" s="582">
        <v>489849</v>
      </c>
    </row>
    <row r="740" spans="1:7">
      <c r="A740" s="13" t="s">
        <v>71</v>
      </c>
      <c r="B740" s="96"/>
      <c r="C740" s="112">
        <v>1112554</v>
      </c>
      <c r="D740" s="112">
        <v>1440</v>
      </c>
      <c r="E740" s="582">
        <v>1111114</v>
      </c>
    </row>
    <row r="741" spans="1:7">
      <c r="A741" s="16" t="s">
        <v>927</v>
      </c>
      <c r="B741" s="96"/>
      <c r="C741" s="112">
        <v>1073994</v>
      </c>
      <c r="D741" s="112">
        <v>6750</v>
      </c>
      <c r="E741" s="637">
        <v>1067244</v>
      </c>
    </row>
    <row r="742" spans="1:7">
      <c r="A742" s="13" t="s">
        <v>926</v>
      </c>
      <c r="B742" s="96"/>
      <c r="C742" s="112">
        <v>5538874</v>
      </c>
      <c r="D742" s="112">
        <v>4789</v>
      </c>
      <c r="E742" s="582">
        <v>5534085</v>
      </c>
      <c r="F742" s="515"/>
      <c r="G742" s="515"/>
    </row>
    <row r="743" spans="1:7">
      <c r="A743" s="2" t="s">
        <v>74</v>
      </c>
      <c r="B743" s="199">
        <v>5.71</v>
      </c>
      <c r="C743" s="96"/>
      <c r="D743" s="96"/>
      <c r="E743" s="199">
        <v>5.71</v>
      </c>
    </row>
    <row r="744" spans="1:7">
      <c r="A744" s="19" t="s">
        <v>75</v>
      </c>
      <c r="B744" s="102"/>
      <c r="C744" s="201">
        <v>2099383789.21</v>
      </c>
      <c r="D744" s="201">
        <v>2099383789.21</v>
      </c>
      <c r="E744" s="102"/>
    </row>
    <row r="749" spans="1:7">
      <c r="E749">
        <v>2075463</v>
      </c>
    </row>
    <row r="750" spans="1:7">
      <c r="E750">
        <v>7969523</v>
      </c>
    </row>
    <row r="751" spans="1:7">
      <c r="E751">
        <v>3123734</v>
      </c>
    </row>
    <row r="753" spans="5:5">
      <c r="E753">
        <v>13168720</v>
      </c>
    </row>
  </sheetData>
  <mergeCells count="10">
    <mergeCell ref="A8:C8"/>
    <mergeCell ref="B9:E9"/>
    <mergeCell ref="B10:E10"/>
    <mergeCell ref="C11:D11"/>
    <mergeCell ref="A2:C2"/>
    <mergeCell ref="A3:C3"/>
    <mergeCell ref="A4:C4"/>
    <mergeCell ref="A5:E5"/>
    <mergeCell ref="A6:E6"/>
    <mergeCell ref="A7:D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63</vt:i4>
      </vt:variant>
      <vt:variant>
        <vt:lpstr>Named Ranges</vt:lpstr>
      </vt:variant>
      <vt:variant>
        <vt:i4>19</vt:i4>
      </vt:variant>
    </vt:vector>
  </HeadingPairs>
  <TitlesOfParts>
    <vt:vector size="82" baseType="lpstr">
      <vt:lpstr>Analysis 20-21</vt:lpstr>
      <vt:lpstr>WIP</vt:lpstr>
      <vt:lpstr>IT</vt:lpstr>
      <vt:lpstr>Disallowance</vt:lpstr>
      <vt:lpstr>policies old</vt:lpstr>
      <vt:lpstr>Cash Flow</vt:lpstr>
      <vt:lpstr>Audit entries FY 22-23</vt:lpstr>
      <vt:lpstr>BS</vt:lpstr>
      <vt:lpstr>Corporate &amp; Acctg Policies</vt:lpstr>
      <vt:lpstr>Sheet5</vt:lpstr>
      <vt:lpstr>bS TALLY</vt:lpstr>
      <vt:lpstr>PL TALLY</vt:lpstr>
      <vt:lpstr>TDS</vt:lpstr>
      <vt:lpstr>consolidated tb 18-19</vt:lpstr>
      <vt:lpstr>Sheet3</vt:lpstr>
      <vt:lpstr>PL</vt:lpstr>
      <vt:lpstr>Dep_Co</vt:lpstr>
      <vt:lpstr>Dep_IT</vt:lpstr>
      <vt:lpstr>Additional Disclosures</vt:lpstr>
      <vt:lpstr>Ratio</vt:lpstr>
      <vt:lpstr>Notes</vt:lpstr>
      <vt:lpstr>Trial Balance FY 22-23</vt:lpstr>
      <vt:lpstr>FA Register Final</vt:lpstr>
      <vt:lpstr>Sheet8</vt:lpstr>
      <vt:lpstr>Sheet1 (2)</vt:lpstr>
      <vt:lpstr>Fixed Assets</vt:lpstr>
      <vt:lpstr>Dep - Calc</vt:lpstr>
      <vt:lpstr>Sheet9</vt:lpstr>
      <vt:lpstr>Sheet10</vt:lpstr>
      <vt:lpstr>FA Register 22-23</vt:lpstr>
      <vt:lpstr>FA Register</vt:lpstr>
      <vt:lpstr>Final TB for Finan</vt:lpstr>
      <vt:lpstr>Divisions</vt:lpstr>
      <vt:lpstr>Sundry Creditors FY 22-23</vt:lpstr>
      <vt:lpstr>Audit Entries 21-22</vt:lpstr>
      <vt:lpstr>TB, 2014-15</vt:lpstr>
      <vt:lpstr>TB 16-17</vt:lpstr>
      <vt:lpstr>dep workings2</vt:lpstr>
      <vt:lpstr>Sheet4</vt:lpstr>
      <vt:lpstr>DTA</vt:lpstr>
      <vt:lpstr>TB2021</vt:lpstr>
      <vt:lpstr>Sheet6</vt:lpstr>
      <vt:lpstr>TRADE RECEIVABLE 20-21</vt:lpstr>
      <vt:lpstr>Sundry Creditor</vt:lpstr>
      <vt:lpstr>TB2021(SEIL)</vt:lpstr>
      <vt:lpstr>closing Entries 20-21</vt:lpstr>
      <vt:lpstr>TB2020</vt:lpstr>
      <vt:lpstr>bava</vt:lpstr>
      <vt:lpstr>bava 1</vt:lpstr>
      <vt:lpstr>DEP WORKINGS</vt:lpstr>
      <vt:lpstr>Sheet1</vt:lpstr>
      <vt:lpstr>Sheet2</vt:lpstr>
      <vt:lpstr>CONSOLIDATED TB 2019-20</vt:lpstr>
      <vt:lpstr>Consolidated TB 19-20</vt:lpstr>
      <vt:lpstr>Entries passed</vt:lpstr>
      <vt:lpstr>Trial Balance</vt:lpstr>
      <vt:lpstr>Demerger</vt:lpstr>
      <vt:lpstr>Sundry Debtors</vt:lpstr>
      <vt:lpstr>CF</vt:lpstr>
      <vt:lpstr>HO TB 17-18</vt:lpstr>
      <vt:lpstr>Branch TB 17-18</vt:lpstr>
      <vt:lpstr>Sheet7</vt:lpstr>
      <vt:lpstr>TB</vt:lpstr>
      <vt:lpstr>'Additional Disclosures'!Print_Area</vt:lpstr>
      <vt:lpstr>BS!Print_Area</vt:lpstr>
      <vt:lpstr>'Cash Flow'!Print_Area</vt:lpstr>
      <vt:lpstr>CF!Print_Area</vt:lpstr>
      <vt:lpstr>'Corporate &amp; Acctg Policies'!Print_Area</vt:lpstr>
      <vt:lpstr>Demerger!Print_Area</vt:lpstr>
      <vt:lpstr>Dep_Co!Print_Area</vt:lpstr>
      <vt:lpstr>Dep_IT!Print_Area</vt:lpstr>
      <vt:lpstr>IT!Print_Area</vt:lpstr>
      <vt:lpstr>Notes!Print_Area</vt:lpstr>
      <vt:lpstr>PL!Print_Area</vt:lpstr>
      <vt:lpstr>'policies old'!Print_Area</vt:lpstr>
      <vt:lpstr>Ratio!Print_Area</vt:lpstr>
      <vt:lpstr>'TB 16-17'!Print_Area</vt:lpstr>
      <vt:lpstr>BS!Print_Area_1</vt:lpstr>
      <vt:lpstr>Notes!Print_Area_2</vt:lpstr>
      <vt:lpstr>BS!Print_Area_3</vt:lpstr>
      <vt:lpstr>'Cash Flow'!Print_Titles</vt:lpstr>
      <vt:lpstr>CF!Print_Titles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2026-04-05T18:06:58Z</dcterms:modified>
</cp:coreProperties>
</file>